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f9dc2a65e82d9d/Documents/Gutenberg/16-Coop Program/2021 (Fall)/Model Submissions/Assignment 2 (Babson)/Done/"/>
    </mc:Choice>
  </mc:AlternateContent>
  <xr:revisionPtr revIDLastSave="6" documentId="13_ncr:1_{05516A3E-F005-0443-8F0D-7202B6E99484}" xr6:coauthVersionLast="47" xr6:coauthVersionMax="47" xr10:uidLastSave="{94938C16-4C53-4556-B8FA-4BA8A31E718A}"/>
  <bookViews>
    <workbookView xWindow="-120" yWindow="-120" windowWidth="38640" windowHeight="21240" tabRatio="767" xr2:uid="{00000000-000D-0000-FFFF-FFFF00000000}"/>
  </bookViews>
  <sheets>
    <sheet name="Earnings Model" sheetId="33" r:id="rId1"/>
    <sheet name="Recon of ASRs" sheetId="31" state="hidden" r:id="rId2"/>
    <sheet name="Charts" sheetId="21" r:id="rId3"/>
    <sheet name="Std Dev" sheetId="29" r:id="rId4"/>
    <sheet name="Class" sheetId="35" state="hidden" r:id="rId5"/>
  </sheets>
  <definedNames>
    <definedName name="DATA" localSheetId="2">#REF!</definedName>
    <definedName name="DATA">#REF!</definedName>
    <definedName name="_xlnm.Print_Area" localSheetId="0">'Earnings Model'!$B$2:$AB$336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0" i="33" l="1"/>
  <c r="Q16" i="33"/>
  <c r="Q23" i="33"/>
  <c r="Q25" i="33"/>
  <c r="Q27" i="33"/>
  <c r="H16" i="33"/>
  <c r="H23" i="33"/>
  <c r="H25" i="33"/>
  <c r="H31" i="33"/>
  <c r="H33" i="33"/>
  <c r="H244" i="33"/>
  <c r="H260" i="33"/>
  <c r="H277" i="33"/>
  <c r="H279" i="33"/>
  <c r="I278" i="33"/>
  <c r="M13" i="33"/>
  <c r="M14" i="33"/>
  <c r="M15" i="33"/>
  <c r="M16" i="33"/>
  <c r="M18" i="33"/>
  <c r="M19" i="33"/>
  <c r="M20" i="33"/>
  <c r="M21" i="33"/>
  <c r="M22" i="33"/>
  <c r="M17" i="33"/>
  <c r="M23" i="33"/>
  <c r="M25" i="33"/>
  <c r="M31" i="33"/>
  <c r="M33" i="33"/>
  <c r="M244" i="33"/>
  <c r="M260" i="33"/>
  <c r="M277" i="33"/>
  <c r="M279" i="33"/>
  <c r="N278" i="33"/>
  <c r="N16" i="33"/>
  <c r="N23" i="33"/>
  <c r="N25" i="33"/>
  <c r="N31" i="33"/>
  <c r="N33" i="33"/>
  <c r="N244" i="33"/>
  <c r="N260" i="33"/>
  <c r="N277" i="33"/>
  <c r="N279" i="33"/>
  <c r="O278" i="33"/>
  <c r="O16" i="33"/>
  <c r="O23" i="33"/>
  <c r="O25" i="33"/>
  <c r="O31" i="33"/>
  <c r="O33" i="33"/>
  <c r="O244" i="33"/>
  <c r="O260" i="33"/>
  <c r="O277" i="33"/>
  <c r="O279" i="33"/>
  <c r="P278" i="33"/>
  <c r="P16" i="33"/>
  <c r="P23" i="33"/>
  <c r="P25" i="33"/>
  <c r="P31" i="33"/>
  <c r="P33" i="33"/>
  <c r="P244" i="33"/>
  <c r="P260" i="33"/>
  <c r="P277" i="33"/>
  <c r="P279" i="33"/>
  <c r="P187" i="33"/>
  <c r="O187" i="33"/>
  <c r="P154" i="33"/>
  <c r="N187" i="33"/>
  <c r="O154" i="33"/>
  <c r="I16" i="33"/>
  <c r="I23" i="33"/>
  <c r="I25" i="33"/>
  <c r="I31" i="33"/>
  <c r="I33" i="33"/>
  <c r="I244" i="33"/>
  <c r="I260" i="33"/>
  <c r="I277" i="33"/>
  <c r="I279" i="33"/>
  <c r="J278" i="33"/>
  <c r="J16" i="33"/>
  <c r="J23" i="33"/>
  <c r="J25" i="33"/>
  <c r="J31" i="33"/>
  <c r="J33" i="33"/>
  <c r="J244" i="33"/>
  <c r="J260" i="33"/>
  <c r="J277" i="33"/>
  <c r="J279" i="33"/>
  <c r="K278" i="33"/>
  <c r="K16" i="33"/>
  <c r="K23" i="33"/>
  <c r="K25" i="33"/>
  <c r="K31" i="33"/>
  <c r="K33" i="33"/>
  <c r="K244" i="33"/>
  <c r="K260" i="33"/>
  <c r="K277" i="33"/>
  <c r="K279" i="33"/>
  <c r="L278" i="33"/>
  <c r="L244" i="33"/>
  <c r="L260" i="33"/>
  <c r="L277" i="33"/>
  <c r="L279" i="33"/>
  <c r="L187" i="33"/>
  <c r="N154" i="33"/>
  <c r="K187" i="33"/>
  <c r="L154" i="33"/>
  <c r="Q154" i="33"/>
  <c r="Q29" i="33"/>
  <c r="Q31" i="33"/>
  <c r="Q32" i="33"/>
  <c r="Q37" i="33"/>
  <c r="Q42" i="33"/>
  <c r="S16" i="33"/>
  <c r="Q263" i="33"/>
  <c r="Q195" i="33"/>
  <c r="R195" i="33"/>
  <c r="S245" i="33"/>
  <c r="S75" i="33"/>
  <c r="S110" i="33"/>
  <c r="S125" i="33"/>
  <c r="S138" i="33"/>
  <c r="S20" i="33"/>
  <c r="S23" i="33"/>
  <c r="S25" i="33"/>
  <c r="S172" i="33"/>
  <c r="K172" i="33"/>
  <c r="K177" i="33"/>
  <c r="S176" i="33"/>
  <c r="S177" i="33"/>
  <c r="S179" i="33"/>
  <c r="S26" i="33"/>
  <c r="S27" i="33"/>
  <c r="Q278" i="33"/>
  <c r="P291" i="33"/>
  <c r="O291" i="33"/>
  <c r="N291" i="33"/>
  <c r="L16" i="33"/>
  <c r="L291" i="33"/>
  <c r="Q291" i="33"/>
  <c r="Q250" i="33"/>
  <c r="Q273" i="33"/>
  <c r="Q275" i="33"/>
  <c r="L192" i="33"/>
  <c r="L201" i="33"/>
  <c r="L234" i="33"/>
  <c r="N192" i="33"/>
  <c r="N201" i="33"/>
  <c r="N234" i="33"/>
  <c r="O192" i="33"/>
  <c r="O201" i="33"/>
  <c r="O234" i="33"/>
  <c r="P192" i="33"/>
  <c r="P201" i="33"/>
  <c r="P234" i="33"/>
  <c r="Q234" i="33"/>
  <c r="Q218" i="33"/>
  <c r="Q33" i="33"/>
  <c r="Q244" i="33"/>
  <c r="Q219" i="33"/>
  <c r="Q222" i="33"/>
  <c r="G17" i="33"/>
  <c r="G232" i="33"/>
  <c r="L232" i="33"/>
  <c r="Q232" i="33"/>
  <c r="Q203" i="33"/>
  <c r="L23" i="33"/>
  <c r="Q204" i="33"/>
  <c r="Q211" i="33"/>
  <c r="Q216" i="33"/>
  <c r="Q223" i="33"/>
  <c r="Q188" i="33"/>
  <c r="Q193" i="33"/>
  <c r="Q262" i="33"/>
  <c r="Q198" i="33"/>
  <c r="Q264" i="33"/>
  <c r="Q265" i="33"/>
  <c r="Q189" i="33"/>
  <c r="Q253" i="33"/>
  <c r="Q190" i="33"/>
  <c r="Q254" i="33"/>
  <c r="Q256" i="33"/>
  <c r="Q259" i="33"/>
  <c r="Q260" i="33"/>
  <c r="Q277" i="33"/>
  <c r="Q279" i="33"/>
  <c r="Q187" i="33"/>
  <c r="S154" i="33"/>
  <c r="S29" i="33"/>
  <c r="S31" i="33"/>
  <c r="N153" i="33"/>
  <c r="O153" i="33"/>
  <c r="P153" i="33"/>
  <c r="S153" i="33"/>
  <c r="S32" i="33"/>
  <c r="S181" i="33"/>
  <c r="S36" i="33"/>
  <c r="S37" i="33"/>
  <c r="S42" i="33"/>
  <c r="T16" i="33"/>
  <c r="S263" i="33"/>
  <c r="S195" i="33"/>
  <c r="T245" i="33"/>
  <c r="T75" i="33"/>
  <c r="T110" i="33"/>
  <c r="T125" i="33"/>
  <c r="T138" i="33"/>
  <c r="T20" i="33"/>
  <c r="T23" i="33"/>
  <c r="T25" i="33"/>
  <c r="T172" i="33"/>
  <c r="T176" i="33"/>
  <c r="T177" i="33"/>
  <c r="T179" i="33"/>
  <c r="T26" i="33"/>
  <c r="T27" i="33"/>
  <c r="R273" i="33"/>
  <c r="R275" i="33"/>
  <c r="R262" i="33"/>
  <c r="R263" i="33"/>
  <c r="R264" i="33"/>
  <c r="R265" i="33"/>
  <c r="R13" i="33"/>
  <c r="R14" i="33"/>
  <c r="R15" i="33"/>
  <c r="R16" i="33"/>
  <c r="R18" i="33"/>
  <c r="R19" i="33"/>
  <c r="R20" i="33"/>
  <c r="R21" i="33"/>
  <c r="R22" i="33"/>
  <c r="R17" i="33"/>
  <c r="R23" i="33"/>
  <c r="R25" i="33"/>
  <c r="R29" i="33"/>
  <c r="R31" i="33"/>
  <c r="R32" i="33"/>
  <c r="R33" i="33"/>
  <c r="R244" i="33"/>
  <c r="R250" i="33"/>
  <c r="R253" i="33"/>
  <c r="R254" i="33"/>
  <c r="R256" i="33"/>
  <c r="R259" i="33"/>
  <c r="R260" i="33"/>
  <c r="R277" i="33"/>
  <c r="R279" i="33"/>
  <c r="S278" i="33"/>
  <c r="S291" i="33"/>
  <c r="S250" i="33"/>
  <c r="S273" i="33"/>
  <c r="S275" i="33"/>
  <c r="S234" i="33"/>
  <c r="S218" i="33"/>
  <c r="S33" i="33"/>
  <c r="S244" i="33"/>
  <c r="S219" i="33"/>
  <c r="S222" i="33"/>
  <c r="I232" i="33"/>
  <c r="N232" i="33"/>
  <c r="S232" i="33"/>
  <c r="S203" i="33"/>
  <c r="R204" i="33"/>
  <c r="S204" i="33"/>
  <c r="S211" i="33"/>
  <c r="S216" i="33"/>
  <c r="S223" i="33"/>
  <c r="S188" i="33"/>
  <c r="S193" i="33"/>
  <c r="S262" i="33"/>
  <c r="S198" i="33"/>
  <c r="S264" i="33"/>
  <c r="S265" i="33"/>
  <c r="N228" i="33"/>
  <c r="S228" i="33"/>
  <c r="S189" i="33"/>
  <c r="S253" i="33"/>
  <c r="N230" i="33"/>
  <c r="S230" i="33"/>
  <c r="S190" i="33"/>
  <c r="S254" i="33"/>
  <c r="S256" i="33"/>
  <c r="S259" i="33"/>
  <c r="S260" i="33"/>
  <c r="S277" i="33"/>
  <c r="S279" i="33"/>
  <c r="S187" i="33"/>
  <c r="T154" i="33"/>
  <c r="T29" i="33"/>
  <c r="T31" i="33"/>
  <c r="T153" i="33"/>
  <c r="T32" i="33"/>
  <c r="T181" i="33"/>
  <c r="T36" i="33"/>
  <c r="T37" i="33"/>
  <c r="T42" i="33"/>
  <c r="U16" i="33"/>
  <c r="T263" i="33"/>
  <c r="T195" i="33"/>
  <c r="U245" i="33"/>
  <c r="U75" i="33"/>
  <c r="U110" i="33"/>
  <c r="U125" i="33"/>
  <c r="U138" i="33"/>
  <c r="U20" i="33"/>
  <c r="U23" i="33"/>
  <c r="U25" i="33"/>
  <c r="U172" i="33"/>
  <c r="U176" i="33"/>
  <c r="U177" i="33"/>
  <c r="U179" i="33"/>
  <c r="U26" i="33"/>
  <c r="U27" i="33"/>
  <c r="T278" i="33"/>
  <c r="T291" i="33"/>
  <c r="T250" i="33"/>
  <c r="T273" i="33"/>
  <c r="T275" i="33"/>
  <c r="T234" i="33"/>
  <c r="T218" i="33"/>
  <c r="T33" i="33"/>
  <c r="T244" i="33"/>
  <c r="T219" i="33"/>
  <c r="T222" i="33"/>
  <c r="J232" i="33"/>
  <c r="O232" i="33"/>
  <c r="T232" i="33"/>
  <c r="T203" i="33"/>
  <c r="T204" i="33"/>
  <c r="T211" i="33"/>
  <c r="T216" i="33"/>
  <c r="T223" i="33"/>
  <c r="T188" i="33"/>
  <c r="T193" i="33"/>
  <c r="T262" i="33"/>
  <c r="T198" i="33"/>
  <c r="T264" i="33"/>
  <c r="T265" i="33"/>
  <c r="O228" i="33"/>
  <c r="T228" i="33"/>
  <c r="T189" i="33"/>
  <c r="T253" i="33"/>
  <c r="O230" i="33"/>
  <c r="T230" i="33"/>
  <c r="T190" i="33"/>
  <c r="T254" i="33"/>
  <c r="T256" i="33"/>
  <c r="T259" i="33"/>
  <c r="T260" i="33"/>
  <c r="T277" i="33"/>
  <c r="T279" i="33"/>
  <c r="T187" i="33"/>
  <c r="U154" i="33"/>
  <c r="U29" i="33"/>
  <c r="U31" i="33"/>
  <c r="U153" i="33"/>
  <c r="U32" i="33"/>
  <c r="U181" i="33"/>
  <c r="U36" i="33"/>
  <c r="U37" i="33"/>
  <c r="U42" i="33"/>
  <c r="C302" i="33"/>
  <c r="C6" i="33"/>
  <c r="AQ13" i="33"/>
  <c r="AQ14" i="33"/>
  <c r="AQ15" i="33"/>
  <c r="AQ16" i="33"/>
  <c r="U263" i="33"/>
  <c r="U195" i="33"/>
  <c r="V245" i="33"/>
  <c r="V75" i="33"/>
  <c r="V110" i="33"/>
  <c r="V125" i="33"/>
  <c r="V138" i="33"/>
  <c r="V16" i="33"/>
  <c r="V263" i="33"/>
  <c r="V195" i="33"/>
  <c r="W195" i="33"/>
  <c r="X245" i="33"/>
  <c r="X75" i="33"/>
  <c r="X110" i="33"/>
  <c r="X125" i="33"/>
  <c r="X138" i="33"/>
  <c r="X16" i="33"/>
  <c r="X263" i="33"/>
  <c r="X195" i="33"/>
  <c r="Y245" i="33"/>
  <c r="Y75" i="33"/>
  <c r="Y110" i="33"/>
  <c r="Y125" i="33"/>
  <c r="Y138" i="33"/>
  <c r="Y16" i="33"/>
  <c r="Y263" i="33"/>
  <c r="Y195" i="33"/>
  <c r="Z245" i="33"/>
  <c r="Z75" i="33"/>
  <c r="Z110" i="33"/>
  <c r="Z125" i="33"/>
  <c r="Z138" i="33"/>
  <c r="Z16" i="33"/>
  <c r="Z263" i="33"/>
  <c r="Z195" i="33"/>
  <c r="AA245" i="33"/>
  <c r="AA75" i="33"/>
  <c r="AA110" i="33"/>
  <c r="AA125" i="33"/>
  <c r="AA138" i="33"/>
  <c r="AA16" i="33"/>
  <c r="AA263" i="33"/>
  <c r="AA195" i="33"/>
  <c r="AB195" i="33"/>
  <c r="AC245" i="33"/>
  <c r="AC75" i="33"/>
  <c r="AC110" i="33"/>
  <c r="AC125" i="33"/>
  <c r="AC138" i="33"/>
  <c r="AC16" i="33"/>
  <c r="AC263" i="33"/>
  <c r="AC195" i="33"/>
  <c r="AD245" i="33"/>
  <c r="AD75" i="33"/>
  <c r="AD110" i="33"/>
  <c r="AD125" i="33"/>
  <c r="AD138" i="33"/>
  <c r="AD16" i="33"/>
  <c r="AD263" i="33"/>
  <c r="AD195" i="33"/>
  <c r="AE245" i="33"/>
  <c r="AE75" i="33"/>
  <c r="AE110" i="33"/>
  <c r="AE125" i="33"/>
  <c r="AE138" i="33"/>
  <c r="AE16" i="33"/>
  <c r="AE263" i="33"/>
  <c r="AE195" i="33"/>
  <c r="AF245" i="33"/>
  <c r="AF75" i="33"/>
  <c r="AF110" i="33"/>
  <c r="AF125" i="33"/>
  <c r="AF138" i="33"/>
  <c r="AF16" i="33"/>
  <c r="AF263" i="33"/>
  <c r="AF195" i="33"/>
  <c r="AG195" i="33"/>
  <c r="AH245" i="33"/>
  <c r="AH75" i="33"/>
  <c r="AH110" i="33"/>
  <c r="AH125" i="33"/>
  <c r="AH138" i="33"/>
  <c r="AH16" i="33"/>
  <c r="AH263" i="33"/>
  <c r="AH195" i="33"/>
  <c r="AI245" i="33"/>
  <c r="AI75" i="33"/>
  <c r="AI110" i="33"/>
  <c r="AI125" i="33"/>
  <c r="AI138" i="33"/>
  <c r="AI16" i="33"/>
  <c r="AI263" i="33"/>
  <c r="AI195" i="33"/>
  <c r="AJ245" i="33"/>
  <c r="AJ75" i="33"/>
  <c r="AJ110" i="33"/>
  <c r="AJ125" i="33"/>
  <c r="AJ138" i="33"/>
  <c r="AJ16" i="33"/>
  <c r="AJ263" i="33"/>
  <c r="AJ195" i="33"/>
  <c r="AK245" i="33"/>
  <c r="AK75" i="33"/>
  <c r="AK110" i="33"/>
  <c r="AK125" i="33"/>
  <c r="AK138" i="33"/>
  <c r="AK16" i="33"/>
  <c r="AK263" i="33"/>
  <c r="AK195" i="33"/>
  <c r="AL195" i="33"/>
  <c r="AM245" i="33"/>
  <c r="AM75" i="33"/>
  <c r="AM110" i="33"/>
  <c r="AM125" i="33"/>
  <c r="AM138" i="33"/>
  <c r="AM20" i="33"/>
  <c r="AM16" i="33"/>
  <c r="AM263" i="33"/>
  <c r="AM195" i="33"/>
  <c r="AN245" i="33"/>
  <c r="AN75" i="33"/>
  <c r="AN110" i="33"/>
  <c r="AN125" i="33"/>
  <c r="AN138" i="33"/>
  <c r="AN20" i="33"/>
  <c r="AN16" i="33"/>
  <c r="AN263" i="33"/>
  <c r="AN195" i="33"/>
  <c r="AO245" i="33"/>
  <c r="AO75" i="33"/>
  <c r="AO110" i="33"/>
  <c r="AO125" i="33"/>
  <c r="AO138" i="33"/>
  <c r="AO20" i="33"/>
  <c r="AO16" i="33"/>
  <c r="AO263" i="33"/>
  <c r="AO195" i="33"/>
  <c r="AP245" i="33"/>
  <c r="AP75" i="33"/>
  <c r="AP110" i="33"/>
  <c r="AP125" i="33"/>
  <c r="AP138" i="33"/>
  <c r="AP20" i="33"/>
  <c r="AQ20" i="33"/>
  <c r="AQ18" i="33"/>
  <c r="AQ19" i="33"/>
  <c r="AQ21" i="33"/>
  <c r="AQ22" i="33"/>
  <c r="AQ17" i="33"/>
  <c r="AQ23" i="33"/>
  <c r="AQ25" i="33"/>
  <c r="U291" i="33"/>
  <c r="U250" i="33"/>
  <c r="U273" i="33"/>
  <c r="V291" i="33"/>
  <c r="V250" i="33"/>
  <c r="V273" i="33"/>
  <c r="W273" i="33"/>
  <c r="W275" i="33"/>
  <c r="U234" i="33"/>
  <c r="U218" i="33"/>
  <c r="U33" i="33"/>
  <c r="U244" i="33"/>
  <c r="U219" i="33"/>
  <c r="U222" i="33"/>
  <c r="K232" i="33"/>
  <c r="P232" i="33"/>
  <c r="U232" i="33"/>
  <c r="U203" i="33"/>
  <c r="U204" i="33"/>
  <c r="U211" i="33"/>
  <c r="U216" i="33"/>
  <c r="U223" i="33"/>
  <c r="U188" i="33"/>
  <c r="U193" i="33"/>
  <c r="U262" i="33"/>
  <c r="V234" i="33"/>
  <c r="V218" i="33"/>
  <c r="V20" i="33"/>
  <c r="V23" i="33"/>
  <c r="V25" i="33"/>
  <c r="U278" i="33"/>
  <c r="U275" i="33"/>
  <c r="U198" i="33"/>
  <c r="U264" i="33"/>
  <c r="U265" i="33"/>
  <c r="P228" i="33"/>
  <c r="U228" i="33"/>
  <c r="U189" i="33"/>
  <c r="U253" i="33"/>
  <c r="P230" i="33"/>
  <c r="U230" i="33"/>
  <c r="U190" i="33"/>
  <c r="U254" i="33"/>
  <c r="U256" i="33"/>
  <c r="U259" i="33"/>
  <c r="U260" i="33"/>
  <c r="U277" i="33"/>
  <c r="U279" i="33"/>
  <c r="U187" i="33"/>
  <c r="V154" i="33"/>
  <c r="V29" i="33"/>
  <c r="V31" i="33"/>
  <c r="V153" i="33"/>
  <c r="V32" i="33"/>
  <c r="V33" i="33"/>
  <c r="V244" i="33"/>
  <c r="V219" i="33"/>
  <c r="V222" i="33"/>
  <c r="V232" i="33"/>
  <c r="V203" i="33"/>
  <c r="V204" i="33"/>
  <c r="V211" i="33"/>
  <c r="V216" i="33"/>
  <c r="V223" i="33"/>
  <c r="V188" i="33"/>
  <c r="V193" i="33"/>
  <c r="V262" i="33"/>
  <c r="W262" i="33"/>
  <c r="W263" i="33"/>
  <c r="V198" i="33"/>
  <c r="V264" i="33"/>
  <c r="W264" i="33"/>
  <c r="W265" i="33"/>
  <c r="W13" i="33"/>
  <c r="W14" i="33"/>
  <c r="W15" i="33"/>
  <c r="W16" i="33"/>
  <c r="W20" i="33"/>
  <c r="W18" i="33"/>
  <c r="W19" i="33"/>
  <c r="W21" i="33"/>
  <c r="W22" i="33"/>
  <c r="W17" i="33"/>
  <c r="W23" i="33"/>
  <c r="W25" i="33"/>
  <c r="W29" i="33"/>
  <c r="W31" i="33"/>
  <c r="W32" i="33"/>
  <c r="W33" i="33"/>
  <c r="W244" i="33"/>
  <c r="W245" i="33"/>
  <c r="W250" i="33"/>
  <c r="V189" i="33"/>
  <c r="V253" i="33"/>
  <c r="W253" i="33"/>
  <c r="V190" i="33"/>
  <c r="V254" i="33"/>
  <c r="W254" i="33"/>
  <c r="V256" i="33"/>
  <c r="W256" i="33"/>
  <c r="V259" i="33"/>
  <c r="W259" i="33"/>
  <c r="W260" i="33"/>
  <c r="W277" i="33"/>
  <c r="W279" i="33"/>
  <c r="X278" i="33"/>
  <c r="X291" i="33"/>
  <c r="X250" i="33"/>
  <c r="X273" i="33"/>
  <c r="Y291" i="33"/>
  <c r="Y250" i="33"/>
  <c r="Y273" i="33"/>
  <c r="Z291" i="33"/>
  <c r="Z250" i="33"/>
  <c r="Z273" i="33"/>
  <c r="AA291" i="33"/>
  <c r="AA250" i="33"/>
  <c r="AA273" i="33"/>
  <c r="AB273" i="33"/>
  <c r="AB275" i="33"/>
  <c r="X234" i="33"/>
  <c r="X218" i="33"/>
  <c r="X20" i="33"/>
  <c r="X23" i="33"/>
  <c r="X25" i="33"/>
  <c r="V278" i="33"/>
  <c r="V275" i="33"/>
  <c r="V265" i="33"/>
  <c r="V260" i="33"/>
  <c r="V277" i="33"/>
  <c r="V279" i="33"/>
  <c r="V187" i="33"/>
  <c r="X154" i="33"/>
  <c r="X29" i="33"/>
  <c r="X31" i="33"/>
  <c r="X153" i="33"/>
  <c r="X32" i="33"/>
  <c r="X33" i="33"/>
  <c r="X244" i="33"/>
  <c r="X219" i="33"/>
  <c r="X222" i="33"/>
  <c r="W204" i="33"/>
  <c r="X204" i="33"/>
  <c r="X232" i="33"/>
  <c r="X203" i="33"/>
  <c r="X211" i="33"/>
  <c r="X216" i="33"/>
  <c r="X223" i="33"/>
  <c r="X188" i="33"/>
  <c r="X193" i="33"/>
  <c r="X262" i="33"/>
  <c r="Y234" i="33"/>
  <c r="Y218" i="33"/>
  <c r="Y20" i="33"/>
  <c r="Y23" i="33"/>
  <c r="Y25" i="33"/>
  <c r="X275" i="33"/>
  <c r="X198" i="33"/>
  <c r="X264" i="33"/>
  <c r="X265" i="33"/>
  <c r="X228" i="33"/>
  <c r="X189" i="33"/>
  <c r="X253" i="33"/>
  <c r="X259" i="33"/>
  <c r="X230" i="33"/>
  <c r="X190" i="33"/>
  <c r="X254" i="33"/>
  <c r="X256" i="33"/>
  <c r="X260" i="33"/>
  <c r="X277" i="33"/>
  <c r="X279" i="33"/>
  <c r="X187" i="33"/>
  <c r="Y154" i="33"/>
  <c r="Y29" i="33"/>
  <c r="Y31" i="33"/>
  <c r="Y153" i="33"/>
  <c r="Y32" i="33"/>
  <c r="Y33" i="33"/>
  <c r="Y244" i="33"/>
  <c r="Y219" i="33"/>
  <c r="Y222" i="33"/>
  <c r="Y204" i="33"/>
  <c r="Y232" i="33"/>
  <c r="Y203" i="33"/>
  <c r="Y211" i="33"/>
  <c r="Y216" i="33"/>
  <c r="Y223" i="33"/>
  <c r="Y188" i="33"/>
  <c r="Y193" i="33"/>
  <c r="Y262" i="33"/>
  <c r="Z234" i="33"/>
  <c r="Z218" i="33"/>
  <c r="Z20" i="33"/>
  <c r="Z23" i="33"/>
  <c r="Z25" i="33"/>
  <c r="Y278" i="33"/>
  <c r="Y275" i="33"/>
  <c r="Y198" i="33"/>
  <c r="Y264" i="33"/>
  <c r="Y265" i="33"/>
  <c r="Y228" i="33"/>
  <c r="Y189" i="33"/>
  <c r="Y253" i="33"/>
  <c r="Y259" i="33"/>
  <c r="Y230" i="33"/>
  <c r="Y190" i="33"/>
  <c r="Y254" i="33"/>
  <c r="Y256" i="33"/>
  <c r="Y260" i="33"/>
  <c r="Y277" i="33"/>
  <c r="Y279" i="33"/>
  <c r="Y187" i="33"/>
  <c r="Z154" i="33"/>
  <c r="Z29" i="33"/>
  <c r="Z31" i="33"/>
  <c r="Z153" i="33"/>
  <c r="Z32" i="33"/>
  <c r="Z33" i="33"/>
  <c r="Z244" i="33"/>
  <c r="Z219" i="33"/>
  <c r="Z222" i="33"/>
  <c r="Z204" i="33"/>
  <c r="Z232" i="33"/>
  <c r="Z203" i="33"/>
  <c r="Z211" i="33"/>
  <c r="Z216" i="33"/>
  <c r="Z223" i="33"/>
  <c r="Z188" i="33"/>
  <c r="Z193" i="33"/>
  <c r="Z262" i="33"/>
  <c r="AA234" i="33"/>
  <c r="AA218" i="33"/>
  <c r="AA20" i="33"/>
  <c r="AA23" i="33"/>
  <c r="AA25" i="33"/>
  <c r="Z278" i="33"/>
  <c r="Z275" i="33"/>
  <c r="Z198" i="33"/>
  <c r="Z264" i="33"/>
  <c r="Z265" i="33"/>
  <c r="Z228" i="33"/>
  <c r="Z189" i="33"/>
  <c r="Z253" i="33"/>
  <c r="Z259" i="33"/>
  <c r="Z230" i="33"/>
  <c r="Z190" i="33"/>
  <c r="Z254" i="33"/>
  <c r="Z256" i="33"/>
  <c r="Z260" i="33"/>
  <c r="Z277" i="33"/>
  <c r="Z279" i="33"/>
  <c r="Z187" i="33"/>
  <c r="AA154" i="33"/>
  <c r="AA29" i="33"/>
  <c r="AA31" i="33"/>
  <c r="AA153" i="33"/>
  <c r="AA32" i="33"/>
  <c r="AA33" i="33"/>
  <c r="AA244" i="33"/>
  <c r="AA219" i="33"/>
  <c r="AA222" i="33"/>
  <c r="AA204" i="33"/>
  <c r="AA232" i="33"/>
  <c r="AA203" i="33"/>
  <c r="AA211" i="33"/>
  <c r="AA216" i="33"/>
  <c r="AA223" i="33"/>
  <c r="AA188" i="33"/>
  <c r="AA193" i="33"/>
  <c r="AA262" i="33"/>
  <c r="AB262" i="33"/>
  <c r="AB263" i="33"/>
  <c r="AA198" i="33"/>
  <c r="AA264" i="33"/>
  <c r="AB264" i="33"/>
  <c r="AB265" i="33"/>
  <c r="AB13" i="33"/>
  <c r="AB14" i="33"/>
  <c r="AB15" i="33"/>
  <c r="AB16" i="33"/>
  <c r="AB20" i="33"/>
  <c r="AB18" i="33"/>
  <c r="AB19" i="33"/>
  <c r="AB21" i="33"/>
  <c r="AB22" i="33"/>
  <c r="AB17" i="33"/>
  <c r="AB23" i="33"/>
  <c r="AB25" i="33"/>
  <c r="AB29" i="33"/>
  <c r="AB31" i="33"/>
  <c r="AB32" i="33"/>
  <c r="AB33" i="33"/>
  <c r="AB244" i="33"/>
  <c r="AB245" i="33"/>
  <c r="AB250" i="33"/>
  <c r="AA189" i="33"/>
  <c r="AA253" i="33"/>
  <c r="AB253" i="33"/>
  <c r="AA259" i="33"/>
  <c r="AB259" i="33"/>
  <c r="AA190" i="33"/>
  <c r="AA254" i="33"/>
  <c r="AB254" i="33"/>
  <c r="AA256" i="33"/>
  <c r="AB256" i="33"/>
  <c r="AB260" i="33"/>
  <c r="AB277" i="33"/>
  <c r="AB279" i="33"/>
  <c r="AC278" i="33"/>
  <c r="AC291" i="33"/>
  <c r="AC250" i="33"/>
  <c r="AC273" i="33"/>
  <c r="AD291" i="33"/>
  <c r="AD250" i="33"/>
  <c r="AD273" i="33"/>
  <c r="AE291" i="33"/>
  <c r="AE250" i="33"/>
  <c r="AE273" i="33"/>
  <c r="AF291" i="33"/>
  <c r="AF250" i="33"/>
  <c r="AF273" i="33"/>
  <c r="AG273" i="33"/>
  <c r="AG275" i="33"/>
  <c r="AC234" i="33"/>
  <c r="AC218" i="33"/>
  <c r="AC20" i="33"/>
  <c r="AC23" i="33"/>
  <c r="AC25" i="33"/>
  <c r="AA278" i="33"/>
  <c r="AA275" i="33"/>
  <c r="AA265" i="33"/>
  <c r="AA260" i="33"/>
  <c r="AA277" i="33"/>
  <c r="AA279" i="33"/>
  <c r="AA187" i="33"/>
  <c r="AC154" i="33"/>
  <c r="AC29" i="33"/>
  <c r="AC31" i="33"/>
  <c r="AC153" i="33"/>
  <c r="AC32" i="33"/>
  <c r="AC33" i="33"/>
  <c r="AC244" i="33"/>
  <c r="AC219" i="33"/>
  <c r="AC222" i="33"/>
  <c r="AB204" i="33"/>
  <c r="AC204" i="33"/>
  <c r="AC232" i="33"/>
  <c r="AC203" i="33"/>
  <c r="AC211" i="33"/>
  <c r="AC216" i="33"/>
  <c r="AC223" i="33"/>
  <c r="AC188" i="33"/>
  <c r="AC193" i="33"/>
  <c r="AC262" i="33"/>
  <c r="AD234" i="33"/>
  <c r="AD218" i="33"/>
  <c r="AD20" i="33"/>
  <c r="AD23" i="33"/>
  <c r="AD25" i="33"/>
  <c r="AC275" i="33"/>
  <c r="AC198" i="33"/>
  <c r="AC264" i="33"/>
  <c r="AC265" i="33"/>
  <c r="AC228" i="33"/>
  <c r="AC189" i="33"/>
  <c r="AC253" i="33"/>
  <c r="AC259" i="33"/>
  <c r="AC230" i="33"/>
  <c r="AC190" i="33"/>
  <c r="AC254" i="33"/>
  <c r="AC256" i="33"/>
  <c r="AC260" i="33"/>
  <c r="AC277" i="33"/>
  <c r="AC279" i="33"/>
  <c r="AC187" i="33"/>
  <c r="AD154" i="33"/>
  <c r="AD29" i="33"/>
  <c r="AD31" i="33"/>
  <c r="AD153" i="33"/>
  <c r="AD32" i="33"/>
  <c r="AD33" i="33"/>
  <c r="AD244" i="33"/>
  <c r="AD219" i="33"/>
  <c r="AD222" i="33"/>
  <c r="AD204" i="33"/>
  <c r="AD232" i="33"/>
  <c r="AD203" i="33"/>
  <c r="AD211" i="33"/>
  <c r="AD216" i="33"/>
  <c r="AD223" i="33"/>
  <c r="AD188" i="33"/>
  <c r="AD193" i="33"/>
  <c r="AD262" i="33"/>
  <c r="AE234" i="33"/>
  <c r="AE218" i="33"/>
  <c r="AE20" i="33"/>
  <c r="AE23" i="33"/>
  <c r="AE25" i="33"/>
  <c r="AD278" i="33"/>
  <c r="AD275" i="33"/>
  <c r="AD198" i="33"/>
  <c r="AD264" i="33"/>
  <c r="AD265" i="33"/>
  <c r="AD228" i="33"/>
  <c r="AD189" i="33"/>
  <c r="AD253" i="33"/>
  <c r="AD259" i="33"/>
  <c r="AD230" i="33"/>
  <c r="AD190" i="33"/>
  <c r="AD254" i="33"/>
  <c r="AD256" i="33"/>
  <c r="AD260" i="33"/>
  <c r="AD277" i="33"/>
  <c r="AD279" i="33"/>
  <c r="AD187" i="33"/>
  <c r="AE154" i="33"/>
  <c r="AE29" i="33"/>
  <c r="AE31" i="33"/>
  <c r="AE153" i="33"/>
  <c r="AE32" i="33"/>
  <c r="AE33" i="33"/>
  <c r="AE244" i="33"/>
  <c r="AE219" i="33"/>
  <c r="AE222" i="33"/>
  <c r="AE204" i="33"/>
  <c r="AE232" i="33"/>
  <c r="AE203" i="33"/>
  <c r="AE211" i="33"/>
  <c r="AE216" i="33"/>
  <c r="AE223" i="33"/>
  <c r="AE188" i="33"/>
  <c r="AE193" i="33"/>
  <c r="AE262" i="33"/>
  <c r="AF234" i="33"/>
  <c r="AF218" i="33"/>
  <c r="AF20" i="33"/>
  <c r="AF23" i="33"/>
  <c r="AF25" i="33"/>
  <c r="AE278" i="33"/>
  <c r="AE275" i="33"/>
  <c r="AE198" i="33"/>
  <c r="AE264" i="33"/>
  <c r="AE265" i="33"/>
  <c r="AE228" i="33"/>
  <c r="AE189" i="33"/>
  <c r="AE253" i="33"/>
  <c r="AE259" i="33"/>
  <c r="AE230" i="33"/>
  <c r="AE190" i="33"/>
  <c r="AE254" i="33"/>
  <c r="AE256" i="33"/>
  <c r="AE260" i="33"/>
  <c r="AE277" i="33"/>
  <c r="AE279" i="33"/>
  <c r="AE187" i="33"/>
  <c r="AF154" i="33"/>
  <c r="AF29" i="33"/>
  <c r="AF31" i="33"/>
  <c r="AF153" i="33"/>
  <c r="AF32" i="33"/>
  <c r="AF33" i="33"/>
  <c r="AF244" i="33"/>
  <c r="AF219" i="33"/>
  <c r="AF222" i="33"/>
  <c r="AF204" i="33"/>
  <c r="AF232" i="33"/>
  <c r="AF203" i="33"/>
  <c r="AF211" i="33"/>
  <c r="AF216" i="33"/>
  <c r="AF223" i="33"/>
  <c r="AF188" i="33"/>
  <c r="AF193" i="33"/>
  <c r="AF262" i="33"/>
  <c r="AG262" i="33"/>
  <c r="AG263" i="33"/>
  <c r="AF198" i="33"/>
  <c r="AF264" i="33"/>
  <c r="AG264" i="33"/>
  <c r="AG265" i="33"/>
  <c r="AG13" i="33"/>
  <c r="AG14" i="33"/>
  <c r="AG15" i="33"/>
  <c r="AG16" i="33"/>
  <c r="AG20" i="33"/>
  <c r="AG18" i="33"/>
  <c r="AG19" i="33"/>
  <c r="AG21" i="33"/>
  <c r="AG22" i="33"/>
  <c r="AG17" i="33"/>
  <c r="AG23" i="33"/>
  <c r="AG25" i="33"/>
  <c r="AG29" i="33"/>
  <c r="AG31" i="33"/>
  <c r="AG32" i="33"/>
  <c r="AG33" i="33"/>
  <c r="AG244" i="33"/>
  <c r="AG245" i="33"/>
  <c r="AG250" i="33"/>
  <c r="AF189" i="33"/>
  <c r="AF253" i="33"/>
  <c r="AG253" i="33"/>
  <c r="AF259" i="33"/>
  <c r="AG259" i="33"/>
  <c r="AF190" i="33"/>
  <c r="AF254" i="33"/>
  <c r="AG254" i="33"/>
  <c r="AF256" i="33"/>
  <c r="AG256" i="33"/>
  <c r="AG260" i="33"/>
  <c r="AG277" i="33"/>
  <c r="AG279" i="33"/>
  <c r="AH278" i="33"/>
  <c r="AH291" i="33"/>
  <c r="AH250" i="33"/>
  <c r="AH273" i="33"/>
  <c r="AH275" i="33"/>
  <c r="AH234" i="33"/>
  <c r="AH218" i="33"/>
  <c r="AH20" i="33"/>
  <c r="AH23" i="33"/>
  <c r="AH25" i="33"/>
  <c r="AF278" i="33"/>
  <c r="AF275" i="33"/>
  <c r="AF265" i="33"/>
  <c r="AF260" i="33"/>
  <c r="AF277" i="33"/>
  <c r="AF279" i="33"/>
  <c r="AF187" i="33"/>
  <c r="AH154" i="33"/>
  <c r="AH29" i="33"/>
  <c r="AH31" i="33"/>
  <c r="AH153" i="33"/>
  <c r="AH32" i="33"/>
  <c r="AH33" i="33"/>
  <c r="AH244" i="33"/>
  <c r="AH219" i="33"/>
  <c r="AH222" i="33"/>
  <c r="AG204" i="33"/>
  <c r="AH204" i="33"/>
  <c r="AH232" i="33"/>
  <c r="AH203" i="33"/>
  <c r="AH211" i="33"/>
  <c r="AH216" i="33"/>
  <c r="AH223" i="33"/>
  <c r="AH188" i="33"/>
  <c r="AH193" i="33"/>
  <c r="AH262" i="33"/>
  <c r="AH198" i="33"/>
  <c r="AH264" i="33"/>
  <c r="AH265" i="33"/>
  <c r="AH228" i="33"/>
  <c r="AH189" i="33"/>
  <c r="AH253" i="33"/>
  <c r="AH259" i="33"/>
  <c r="AH230" i="33"/>
  <c r="AH190" i="33"/>
  <c r="AH254" i="33"/>
  <c r="AH256" i="33"/>
  <c r="AH260" i="33"/>
  <c r="AH277" i="33"/>
  <c r="AH279" i="33"/>
  <c r="AI278" i="33"/>
  <c r="AI291" i="33"/>
  <c r="AI250" i="33"/>
  <c r="AI273" i="33"/>
  <c r="AI275" i="33"/>
  <c r="AI234" i="33"/>
  <c r="AI218" i="33"/>
  <c r="AI20" i="33"/>
  <c r="AI23" i="33"/>
  <c r="AI25" i="33"/>
  <c r="AH187" i="33"/>
  <c r="AI154" i="33"/>
  <c r="AI29" i="33"/>
  <c r="AI31" i="33"/>
  <c r="AI153" i="33"/>
  <c r="AI32" i="33"/>
  <c r="AI33" i="33"/>
  <c r="AI244" i="33"/>
  <c r="AI219" i="33"/>
  <c r="AI222" i="33"/>
  <c r="AI204" i="33"/>
  <c r="AI232" i="33"/>
  <c r="AI203" i="33"/>
  <c r="AI211" i="33"/>
  <c r="AI216" i="33"/>
  <c r="AI223" i="33"/>
  <c r="AI188" i="33"/>
  <c r="AI193" i="33"/>
  <c r="AI262" i="33"/>
  <c r="AI198" i="33"/>
  <c r="AI264" i="33"/>
  <c r="AI265" i="33"/>
  <c r="AI228" i="33"/>
  <c r="AI189" i="33"/>
  <c r="AI253" i="33"/>
  <c r="AI259" i="33"/>
  <c r="AI230" i="33"/>
  <c r="AI190" i="33"/>
  <c r="AI254" i="33"/>
  <c r="AI256" i="33"/>
  <c r="AI260" i="33"/>
  <c r="AI277" i="33"/>
  <c r="AI279" i="33"/>
  <c r="AJ278" i="33"/>
  <c r="AJ291" i="33"/>
  <c r="AJ250" i="33"/>
  <c r="AJ273" i="33"/>
  <c r="AJ275" i="33"/>
  <c r="AJ234" i="33"/>
  <c r="AJ218" i="33"/>
  <c r="AJ20" i="33"/>
  <c r="AJ23" i="33"/>
  <c r="AJ25" i="33"/>
  <c r="AI187" i="33"/>
  <c r="AJ154" i="33"/>
  <c r="AJ29" i="33"/>
  <c r="AJ31" i="33"/>
  <c r="AJ153" i="33"/>
  <c r="AJ32" i="33"/>
  <c r="AJ33" i="33"/>
  <c r="AJ244" i="33"/>
  <c r="AJ219" i="33"/>
  <c r="AJ222" i="33"/>
  <c r="AJ204" i="33"/>
  <c r="AJ232" i="33"/>
  <c r="AJ203" i="33"/>
  <c r="AJ211" i="33"/>
  <c r="AJ216" i="33"/>
  <c r="AJ223" i="33"/>
  <c r="AJ188" i="33"/>
  <c r="AJ193" i="33"/>
  <c r="AJ262" i="33"/>
  <c r="AJ198" i="33"/>
  <c r="AJ264" i="33"/>
  <c r="AJ265" i="33"/>
  <c r="AJ228" i="33"/>
  <c r="AJ189" i="33"/>
  <c r="AJ253" i="33"/>
  <c r="AJ259" i="33"/>
  <c r="AJ230" i="33"/>
  <c r="AJ190" i="33"/>
  <c r="AJ254" i="33"/>
  <c r="AJ256" i="33"/>
  <c r="AJ260" i="33"/>
  <c r="AJ277" i="33"/>
  <c r="AJ279" i="33"/>
  <c r="AK278" i="33"/>
  <c r="AK291" i="33"/>
  <c r="AK250" i="33"/>
  <c r="AK273" i="33"/>
  <c r="AK275" i="33"/>
  <c r="AK234" i="33"/>
  <c r="AK218" i="33"/>
  <c r="AK20" i="33"/>
  <c r="AK23" i="33"/>
  <c r="AK25" i="33"/>
  <c r="AJ187" i="33"/>
  <c r="AK154" i="33"/>
  <c r="AK29" i="33"/>
  <c r="AK31" i="33"/>
  <c r="AK153" i="33"/>
  <c r="AK32" i="33"/>
  <c r="AK33" i="33"/>
  <c r="AK244" i="33"/>
  <c r="AK219" i="33"/>
  <c r="AK222" i="33"/>
  <c r="AK204" i="33"/>
  <c r="AK232" i="33"/>
  <c r="AK203" i="33"/>
  <c r="AK211" i="33"/>
  <c r="AK216" i="33"/>
  <c r="AK223" i="33"/>
  <c r="AK188" i="33"/>
  <c r="AK193" i="33"/>
  <c r="AK262" i="33"/>
  <c r="AK198" i="33"/>
  <c r="AK264" i="33"/>
  <c r="AK265" i="33"/>
  <c r="AK189" i="33"/>
  <c r="AK253" i="33"/>
  <c r="AK259" i="33"/>
  <c r="AK190" i="33"/>
  <c r="AK254" i="33"/>
  <c r="AK256" i="33"/>
  <c r="AK260" i="33"/>
  <c r="AK277" i="33"/>
  <c r="AK279" i="33"/>
  <c r="AK187" i="33"/>
  <c r="AM154" i="33"/>
  <c r="AM29" i="33"/>
  <c r="AL273" i="33"/>
  <c r="AL275" i="33"/>
  <c r="AL262" i="33"/>
  <c r="AL263" i="33"/>
  <c r="AL264" i="33"/>
  <c r="AL265" i="33"/>
  <c r="AL13" i="33"/>
  <c r="AL14" i="33"/>
  <c r="AL15" i="33"/>
  <c r="AL16" i="33"/>
  <c r="AL20" i="33"/>
  <c r="AL18" i="33"/>
  <c r="AL19" i="33"/>
  <c r="AL21" i="33"/>
  <c r="AL22" i="33"/>
  <c r="AL17" i="33"/>
  <c r="AL23" i="33"/>
  <c r="AL25" i="33"/>
  <c r="AL29" i="33"/>
  <c r="AL31" i="33"/>
  <c r="AL32" i="33"/>
  <c r="AL33" i="33"/>
  <c r="AL244" i="33"/>
  <c r="AL245" i="33"/>
  <c r="AL250" i="33"/>
  <c r="AL253" i="33"/>
  <c r="AL259" i="33"/>
  <c r="AL254" i="33"/>
  <c r="AL256" i="33"/>
  <c r="AL260" i="33"/>
  <c r="AL277" i="33"/>
  <c r="AL279" i="33"/>
  <c r="AM278" i="33"/>
  <c r="AM291" i="33"/>
  <c r="AM250" i="33"/>
  <c r="AM273" i="33"/>
  <c r="AM275" i="33"/>
  <c r="AM234" i="33"/>
  <c r="AM218" i="33"/>
  <c r="AM23" i="33"/>
  <c r="AM25" i="33"/>
  <c r="AM31" i="33"/>
  <c r="AM153" i="33"/>
  <c r="AM32" i="33"/>
  <c r="AM33" i="33"/>
  <c r="AM244" i="33"/>
  <c r="AM219" i="33"/>
  <c r="AM222" i="33"/>
  <c r="AL204" i="33"/>
  <c r="AM204" i="33"/>
  <c r="AM232" i="33"/>
  <c r="AM203" i="33"/>
  <c r="AM211" i="33"/>
  <c r="AM216" i="33"/>
  <c r="AM223" i="33"/>
  <c r="AM188" i="33"/>
  <c r="AM193" i="33"/>
  <c r="AM262" i="33"/>
  <c r="AM198" i="33"/>
  <c r="AM264" i="33"/>
  <c r="AM265" i="33"/>
  <c r="AM228" i="33"/>
  <c r="AM189" i="33"/>
  <c r="AM253" i="33"/>
  <c r="AM259" i="33"/>
  <c r="AM230" i="33"/>
  <c r="AM190" i="33"/>
  <c r="AM254" i="33"/>
  <c r="AM256" i="33"/>
  <c r="AM260" i="33"/>
  <c r="AM277" i="33"/>
  <c r="AM279" i="33"/>
  <c r="AM187" i="33"/>
  <c r="AN154" i="33"/>
  <c r="AN29" i="33"/>
  <c r="AN278" i="33"/>
  <c r="AN291" i="33"/>
  <c r="AN250" i="33"/>
  <c r="AN273" i="33"/>
  <c r="AN275" i="33"/>
  <c r="AN234" i="33"/>
  <c r="AN218" i="33"/>
  <c r="AN23" i="33"/>
  <c r="AN25" i="33"/>
  <c r="AN31" i="33"/>
  <c r="AN153" i="33"/>
  <c r="AN32" i="33"/>
  <c r="AN33" i="33"/>
  <c r="AN244" i="33"/>
  <c r="AN219" i="33"/>
  <c r="AN222" i="33"/>
  <c r="AN204" i="33"/>
  <c r="AN232" i="33"/>
  <c r="AN203" i="33"/>
  <c r="AN211" i="33"/>
  <c r="AN216" i="33"/>
  <c r="AN223" i="33"/>
  <c r="AN188" i="33"/>
  <c r="AN193" i="33"/>
  <c r="AN262" i="33"/>
  <c r="AN198" i="33"/>
  <c r="AN264" i="33"/>
  <c r="AN265" i="33"/>
  <c r="AN228" i="33"/>
  <c r="AN189" i="33"/>
  <c r="AN253" i="33"/>
  <c r="AN259" i="33"/>
  <c r="AN230" i="33"/>
  <c r="AN190" i="33"/>
  <c r="AN254" i="33"/>
  <c r="AN256" i="33"/>
  <c r="AN260" i="33"/>
  <c r="AN277" i="33"/>
  <c r="AN279" i="33"/>
  <c r="AN187" i="33"/>
  <c r="AO154" i="33"/>
  <c r="AO29" i="33"/>
  <c r="AO278" i="33"/>
  <c r="AO291" i="33"/>
  <c r="AO250" i="33"/>
  <c r="AO273" i="33"/>
  <c r="AO275" i="33"/>
  <c r="AO234" i="33"/>
  <c r="AO218" i="33"/>
  <c r="AO23" i="33"/>
  <c r="AO25" i="33"/>
  <c r="AO31" i="33"/>
  <c r="AO153" i="33"/>
  <c r="AO32" i="33"/>
  <c r="AO33" i="33"/>
  <c r="AO244" i="33"/>
  <c r="AO219" i="33"/>
  <c r="AO222" i="33"/>
  <c r="AO204" i="33"/>
  <c r="AO232" i="33"/>
  <c r="AO203" i="33"/>
  <c r="AO211" i="33"/>
  <c r="AO216" i="33"/>
  <c r="AO223" i="33"/>
  <c r="AO188" i="33"/>
  <c r="AO193" i="33"/>
  <c r="AO262" i="33"/>
  <c r="AO198" i="33"/>
  <c r="AO264" i="33"/>
  <c r="AO265" i="33"/>
  <c r="AO228" i="33"/>
  <c r="AO189" i="33"/>
  <c r="AO253" i="33"/>
  <c r="AO259" i="33"/>
  <c r="AO230" i="33"/>
  <c r="AO190" i="33"/>
  <c r="AO254" i="33"/>
  <c r="AO256" i="33"/>
  <c r="AO260" i="33"/>
  <c r="AO277" i="33"/>
  <c r="AO279" i="33"/>
  <c r="AO187" i="33"/>
  <c r="AP154" i="33"/>
  <c r="AP29" i="33"/>
  <c r="AQ29" i="33"/>
  <c r="AQ31" i="33"/>
  <c r="AP16" i="33"/>
  <c r="AP23" i="33"/>
  <c r="AP25" i="33"/>
  <c r="AP31" i="33"/>
  <c r="AP153" i="33"/>
  <c r="AP32" i="33"/>
  <c r="AQ32" i="33"/>
  <c r="AQ33" i="33"/>
  <c r="AQ244" i="33"/>
  <c r="AQ245" i="33"/>
  <c r="AP291" i="33"/>
  <c r="AP250" i="33"/>
  <c r="AQ250" i="33"/>
  <c r="AP189" i="33"/>
  <c r="AP253" i="33"/>
  <c r="AQ253" i="33"/>
  <c r="AP204" i="33"/>
  <c r="AP259" i="33"/>
  <c r="AQ259" i="33"/>
  <c r="AP190" i="33"/>
  <c r="AP254" i="33"/>
  <c r="AQ254" i="33"/>
  <c r="AP232" i="33"/>
  <c r="AP203" i="33"/>
  <c r="AP256" i="33"/>
  <c r="AQ256" i="33"/>
  <c r="AQ260" i="33"/>
  <c r="R153" i="33"/>
  <c r="C317" i="33"/>
  <c r="C318" i="33"/>
  <c r="C324" i="33"/>
  <c r="C326" i="33"/>
  <c r="S280" i="33"/>
  <c r="T280" i="33"/>
  <c r="U280" i="33"/>
  <c r="V280" i="33"/>
  <c r="W280" i="33"/>
  <c r="C319" i="33"/>
  <c r="W282" i="33"/>
  <c r="X280" i="33"/>
  <c r="Y280" i="33"/>
  <c r="Z280" i="33"/>
  <c r="AA280" i="33"/>
  <c r="AB280" i="33"/>
  <c r="AB282" i="33"/>
  <c r="AC280" i="33"/>
  <c r="AD280" i="33"/>
  <c r="AE280" i="33"/>
  <c r="AF280" i="33"/>
  <c r="AG280" i="33"/>
  <c r="AG282" i="33"/>
  <c r="AH280" i="33"/>
  <c r="AI280" i="33"/>
  <c r="AJ280" i="33"/>
  <c r="AK280" i="33"/>
  <c r="AL280" i="33"/>
  <c r="AL282" i="33"/>
  <c r="AM280" i="33"/>
  <c r="AN280" i="33"/>
  <c r="AO280" i="33"/>
  <c r="AP33" i="33"/>
  <c r="AP244" i="33"/>
  <c r="AP260" i="33"/>
  <c r="AP263" i="33"/>
  <c r="AP280" i="33"/>
  <c r="AQ280" i="33"/>
  <c r="AQ282" i="33"/>
  <c r="C327" i="33"/>
  <c r="P284" i="33"/>
  <c r="P286" i="33"/>
  <c r="C328" i="33"/>
  <c r="C329" i="33"/>
  <c r="C7" i="33"/>
  <c r="C8" i="33"/>
  <c r="C334" i="33"/>
  <c r="C336" i="33"/>
  <c r="C335" i="33"/>
  <c r="G21" i="29"/>
  <c r="F5" i="29"/>
  <c r="G5" i="29"/>
  <c r="G19" i="29"/>
  <c r="G20" i="29"/>
  <c r="E17" i="29"/>
  <c r="C332" i="33"/>
  <c r="F6" i="29"/>
  <c r="G6" i="29"/>
  <c r="F7" i="29"/>
  <c r="G7" i="29"/>
  <c r="F8" i="29"/>
  <c r="G8" i="29"/>
  <c r="F9" i="29"/>
  <c r="G9" i="29"/>
  <c r="F10" i="29"/>
  <c r="G10" i="29"/>
  <c r="F11" i="29"/>
  <c r="G11" i="29"/>
  <c r="F12" i="29"/>
  <c r="G12" i="29"/>
  <c r="F13" i="29"/>
  <c r="G13" i="29"/>
  <c r="F14" i="29"/>
  <c r="G14" i="29"/>
  <c r="F15" i="29"/>
  <c r="G15" i="29"/>
  <c r="F16" i="29"/>
  <c r="G16" i="29"/>
  <c r="G18" i="29"/>
  <c r="C333" i="33"/>
  <c r="C9" i="33"/>
  <c r="X172" i="33"/>
  <c r="V172" i="33"/>
  <c r="V176" i="33"/>
  <c r="V177" i="33"/>
  <c r="X176" i="33"/>
  <c r="X177" i="33"/>
  <c r="X179" i="33"/>
  <c r="X26" i="33"/>
  <c r="Y172" i="33"/>
  <c r="Y176" i="33"/>
  <c r="Y177" i="33"/>
  <c r="Y179" i="33"/>
  <c r="Y26" i="33"/>
  <c r="Z172" i="33"/>
  <c r="Z176" i="33"/>
  <c r="Z177" i="33"/>
  <c r="Z179" i="33"/>
  <c r="Z26" i="33"/>
  <c r="AA172" i="33"/>
  <c r="AA176" i="33"/>
  <c r="AA177" i="33"/>
  <c r="AA179" i="33"/>
  <c r="AA26" i="33"/>
  <c r="AB26" i="33"/>
  <c r="AB27" i="33"/>
  <c r="AB296" i="33"/>
  <c r="AB295" i="33"/>
  <c r="C308" i="33"/>
  <c r="C315" i="33"/>
  <c r="C303" i="33"/>
  <c r="W281" i="33"/>
  <c r="Q280" i="33"/>
  <c r="C314" i="33"/>
  <c r="C312" i="33"/>
  <c r="L51" i="33"/>
  <c r="Q51" i="33"/>
  <c r="Q55" i="33"/>
  <c r="Q50" i="33"/>
  <c r="Q56" i="33"/>
  <c r="Q85" i="33"/>
  <c r="L86" i="33"/>
  <c r="Q86" i="33"/>
  <c r="Q90" i="33"/>
  <c r="Q91" i="33"/>
  <c r="Q13" i="33"/>
  <c r="Q199" i="33"/>
  <c r="R49" i="33"/>
  <c r="S43" i="33"/>
  <c r="T43" i="33"/>
  <c r="U43" i="33"/>
  <c r="V43" i="33"/>
  <c r="E16" i="29"/>
  <c r="E5" i="29"/>
  <c r="E6" i="29"/>
  <c r="E7" i="29"/>
  <c r="E8" i="29"/>
  <c r="E9" i="29"/>
  <c r="E10" i="29"/>
  <c r="E11" i="29"/>
  <c r="E12" i="29"/>
  <c r="E13" i="29"/>
  <c r="E14" i="29"/>
  <c r="E15" i="29"/>
  <c r="C307" i="33"/>
  <c r="O59" i="33"/>
  <c r="P59" i="33"/>
  <c r="Q59" i="33"/>
  <c r="Q61" i="33"/>
  <c r="Q63" i="33"/>
  <c r="O94" i="33"/>
  <c r="P94" i="33"/>
  <c r="Q94" i="33"/>
  <c r="Q96" i="33"/>
  <c r="Q98" i="33"/>
  <c r="Q14" i="33"/>
  <c r="Q64" i="33"/>
  <c r="Q99" i="33"/>
  <c r="Q119" i="33"/>
  <c r="Q134" i="33"/>
  <c r="Q15" i="33"/>
  <c r="D72" i="33"/>
  <c r="E72" i="33"/>
  <c r="F72" i="33"/>
  <c r="G72" i="33"/>
  <c r="Q72" i="33"/>
  <c r="Q71" i="33"/>
  <c r="N107" i="33"/>
  <c r="O107" i="33"/>
  <c r="P107" i="33"/>
  <c r="Q107" i="33"/>
  <c r="Q106" i="33"/>
  <c r="Q18" i="33"/>
  <c r="Q68" i="33"/>
  <c r="P68" i="33"/>
  <c r="P74" i="33"/>
  <c r="Q74" i="33"/>
  <c r="Q73" i="33"/>
  <c r="Q103" i="33"/>
  <c r="N103" i="33"/>
  <c r="N109" i="33"/>
  <c r="O103" i="33"/>
  <c r="O109" i="33"/>
  <c r="P103" i="33"/>
  <c r="P109" i="33"/>
  <c r="Q109" i="33"/>
  <c r="Q108" i="33"/>
  <c r="Q123" i="33"/>
  <c r="Q137" i="33"/>
  <c r="Q19" i="33"/>
  <c r="D68" i="33"/>
  <c r="D77" i="33"/>
  <c r="E68" i="33"/>
  <c r="E77" i="33"/>
  <c r="F68" i="33"/>
  <c r="F77" i="33"/>
  <c r="G68" i="33"/>
  <c r="G77" i="33"/>
  <c r="I68" i="33"/>
  <c r="I77" i="33"/>
  <c r="J68" i="33"/>
  <c r="J77" i="33"/>
  <c r="K68" i="33"/>
  <c r="K77" i="33"/>
  <c r="L68" i="33"/>
  <c r="L77" i="33"/>
  <c r="N68" i="33"/>
  <c r="N77" i="33"/>
  <c r="O68" i="33"/>
  <c r="O77" i="33"/>
  <c r="P77" i="33"/>
  <c r="Q77" i="33"/>
  <c r="Q76" i="33"/>
  <c r="N112" i="33"/>
  <c r="O112" i="33"/>
  <c r="P112" i="33"/>
  <c r="Q112" i="33"/>
  <c r="Q111" i="33"/>
  <c r="P127" i="33"/>
  <c r="Q127" i="33"/>
  <c r="Q126" i="33"/>
  <c r="Q139" i="33"/>
  <c r="Q21" i="33"/>
  <c r="D70" i="33"/>
  <c r="E70" i="33"/>
  <c r="F70" i="33"/>
  <c r="G70" i="33"/>
  <c r="I70" i="33"/>
  <c r="J70" i="33"/>
  <c r="K70" i="33"/>
  <c r="L70" i="33"/>
  <c r="N70" i="33"/>
  <c r="O70" i="33"/>
  <c r="P70" i="33"/>
  <c r="Q70" i="33"/>
  <c r="Q69" i="33"/>
  <c r="N105" i="33"/>
  <c r="O105" i="33"/>
  <c r="P105" i="33"/>
  <c r="Q105" i="33"/>
  <c r="Q104" i="33"/>
  <c r="P122" i="33"/>
  <c r="Q122" i="33"/>
  <c r="Q121" i="33"/>
  <c r="Q136" i="33"/>
  <c r="Q17" i="33"/>
  <c r="J245" i="33"/>
  <c r="K245" i="33"/>
  <c r="L245" i="33"/>
  <c r="L239" i="33"/>
  <c r="N239" i="33"/>
  <c r="O245" i="33"/>
  <c r="O239" i="33"/>
  <c r="P245" i="33"/>
  <c r="P239" i="33"/>
  <c r="Q239" i="33"/>
  <c r="Q245" i="33"/>
  <c r="Q75" i="33"/>
  <c r="Q110" i="33"/>
  <c r="Q125" i="33"/>
  <c r="Q138" i="33"/>
  <c r="Q20" i="33"/>
  <c r="Q140" i="33"/>
  <c r="Q22" i="33"/>
  <c r="Q115" i="33"/>
  <c r="Q130" i="33"/>
  <c r="Q24" i="33"/>
  <c r="E267" i="33"/>
  <c r="F267" i="33"/>
  <c r="G267" i="33"/>
  <c r="H267" i="33"/>
  <c r="F268" i="33"/>
  <c r="G268" i="33"/>
  <c r="H268" i="33"/>
  <c r="G269" i="33"/>
  <c r="H269" i="33"/>
  <c r="E270" i="33"/>
  <c r="F270" i="33"/>
  <c r="G270" i="33"/>
  <c r="H270" i="33"/>
  <c r="E271" i="33"/>
  <c r="F271" i="33"/>
  <c r="G271" i="33"/>
  <c r="H271" i="33"/>
  <c r="E272" i="33"/>
  <c r="F272" i="33"/>
  <c r="G272" i="33"/>
  <c r="H272" i="33"/>
  <c r="E273" i="33"/>
  <c r="F273" i="33"/>
  <c r="G273" i="33"/>
  <c r="H273" i="33"/>
  <c r="E274" i="33"/>
  <c r="F274" i="33"/>
  <c r="G274" i="33"/>
  <c r="H274" i="33"/>
  <c r="H275" i="33"/>
  <c r="D262" i="33"/>
  <c r="E262" i="33"/>
  <c r="F262" i="33"/>
  <c r="G262" i="33"/>
  <c r="H262" i="33"/>
  <c r="E263" i="33"/>
  <c r="F263" i="33"/>
  <c r="G263" i="33"/>
  <c r="H263" i="33"/>
  <c r="E264" i="33"/>
  <c r="F264" i="33"/>
  <c r="G264" i="33"/>
  <c r="H264" i="33"/>
  <c r="H265" i="33"/>
  <c r="E245" i="33"/>
  <c r="F245" i="33"/>
  <c r="G245" i="33"/>
  <c r="H245" i="33"/>
  <c r="E246" i="33"/>
  <c r="F246" i="33"/>
  <c r="G246" i="33"/>
  <c r="H246" i="33"/>
  <c r="E247" i="33"/>
  <c r="F247" i="33"/>
  <c r="G247" i="33"/>
  <c r="H247" i="33"/>
  <c r="E248" i="33"/>
  <c r="F248" i="33"/>
  <c r="G248" i="33"/>
  <c r="H248" i="33"/>
  <c r="E249" i="33"/>
  <c r="F249" i="33"/>
  <c r="G249" i="33"/>
  <c r="H249" i="33"/>
  <c r="E250" i="33"/>
  <c r="F250" i="33"/>
  <c r="G250" i="33"/>
  <c r="H250" i="33"/>
  <c r="E251" i="33"/>
  <c r="F251" i="33"/>
  <c r="G251" i="33"/>
  <c r="H251" i="33"/>
  <c r="E253" i="33"/>
  <c r="F253" i="33"/>
  <c r="G253" i="33"/>
  <c r="H253" i="33"/>
  <c r="E254" i="33"/>
  <c r="F254" i="33"/>
  <c r="G254" i="33"/>
  <c r="H254" i="33"/>
  <c r="E255" i="33"/>
  <c r="F255" i="33"/>
  <c r="G255" i="33"/>
  <c r="H255" i="33"/>
  <c r="E256" i="33"/>
  <c r="F256" i="33"/>
  <c r="G256" i="33"/>
  <c r="H256" i="33"/>
  <c r="E257" i="33"/>
  <c r="F257" i="33"/>
  <c r="G257" i="33"/>
  <c r="H257" i="33"/>
  <c r="F258" i="33"/>
  <c r="G258" i="33"/>
  <c r="H258" i="33"/>
  <c r="E259" i="33"/>
  <c r="F259" i="33"/>
  <c r="G259" i="33"/>
  <c r="H259" i="33"/>
  <c r="D276" i="33"/>
  <c r="E276" i="33"/>
  <c r="F276" i="33"/>
  <c r="G276" i="33"/>
  <c r="H276" i="33"/>
  <c r="J267" i="33"/>
  <c r="K267" i="33"/>
  <c r="L267" i="33"/>
  <c r="M267" i="33"/>
  <c r="J268" i="33"/>
  <c r="L268" i="33"/>
  <c r="M268" i="33"/>
  <c r="I269" i="33"/>
  <c r="J269" i="33"/>
  <c r="K269" i="33"/>
  <c r="L269" i="33"/>
  <c r="M269" i="33"/>
  <c r="J270" i="33"/>
  <c r="K270" i="33"/>
  <c r="L270" i="33"/>
  <c r="M270" i="33"/>
  <c r="J271" i="33"/>
  <c r="K271" i="33"/>
  <c r="L271" i="33"/>
  <c r="M271" i="33"/>
  <c r="J272" i="33"/>
  <c r="K272" i="33"/>
  <c r="L272" i="33"/>
  <c r="M272" i="33"/>
  <c r="J273" i="33"/>
  <c r="K273" i="33"/>
  <c r="L273" i="33"/>
  <c r="M273" i="33"/>
  <c r="J274" i="33"/>
  <c r="K274" i="33"/>
  <c r="L274" i="33"/>
  <c r="M274" i="33"/>
  <c r="M275" i="33"/>
  <c r="I262" i="33"/>
  <c r="J262" i="33"/>
  <c r="K262" i="33"/>
  <c r="L262" i="33"/>
  <c r="M262" i="33"/>
  <c r="J263" i="33"/>
  <c r="K263" i="33"/>
  <c r="L263" i="33"/>
  <c r="M263" i="33"/>
  <c r="J264" i="33"/>
  <c r="K264" i="33"/>
  <c r="L264" i="33"/>
  <c r="M264" i="33"/>
  <c r="M265" i="33"/>
  <c r="M24" i="33"/>
  <c r="M29" i="33"/>
  <c r="M30" i="33"/>
  <c r="M28" i="33"/>
  <c r="M32" i="33"/>
  <c r="M245" i="33"/>
  <c r="J246" i="33"/>
  <c r="K246" i="33"/>
  <c r="L246" i="33"/>
  <c r="M246" i="33"/>
  <c r="J247" i="33"/>
  <c r="K247" i="33"/>
  <c r="L247" i="33"/>
  <c r="M247" i="33"/>
  <c r="J248" i="33"/>
  <c r="K248" i="33"/>
  <c r="L248" i="33"/>
  <c r="M248" i="33"/>
  <c r="J249" i="33"/>
  <c r="K249" i="33"/>
  <c r="L249" i="33"/>
  <c r="M249" i="33"/>
  <c r="J250" i="33"/>
  <c r="K250" i="33"/>
  <c r="L250" i="33"/>
  <c r="M250" i="33"/>
  <c r="I251" i="33"/>
  <c r="J251" i="33"/>
  <c r="K251" i="33"/>
  <c r="L251" i="33"/>
  <c r="M251" i="33"/>
  <c r="J253" i="33"/>
  <c r="K253" i="33"/>
  <c r="L253" i="33"/>
  <c r="M253" i="33"/>
  <c r="J254" i="33"/>
  <c r="K254" i="33"/>
  <c r="L254" i="33"/>
  <c r="M254" i="33"/>
  <c r="J255" i="33"/>
  <c r="K255" i="33"/>
  <c r="L255" i="33"/>
  <c r="M255" i="33"/>
  <c r="J256" i="33"/>
  <c r="K256" i="33"/>
  <c r="L256" i="33"/>
  <c r="M256" i="33"/>
  <c r="J257" i="33"/>
  <c r="K257" i="33"/>
  <c r="L257" i="33"/>
  <c r="M257" i="33"/>
  <c r="J258" i="33"/>
  <c r="K258" i="33"/>
  <c r="L258" i="33"/>
  <c r="M258" i="33"/>
  <c r="I259" i="33"/>
  <c r="J259" i="33"/>
  <c r="K259" i="33"/>
  <c r="L259" i="33"/>
  <c r="M259" i="33"/>
  <c r="J276" i="33"/>
  <c r="K276" i="33"/>
  <c r="L276" i="33"/>
  <c r="M276" i="33"/>
  <c r="N268" i="33"/>
  <c r="N272" i="33"/>
  <c r="N275" i="33"/>
  <c r="N262" i="33"/>
  <c r="N265" i="33"/>
  <c r="N249" i="33"/>
  <c r="N251" i="33"/>
  <c r="N259" i="33"/>
  <c r="O267" i="33"/>
  <c r="O268" i="33"/>
  <c r="O269" i="33"/>
  <c r="O270" i="33"/>
  <c r="O271" i="33"/>
  <c r="O272" i="33"/>
  <c r="O273" i="33"/>
  <c r="O274" i="33"/>
  <c r="O275" i="33"/>
  <c r="O262" i="33"/>
  <c r="O263" i="33"/>
  <c r="O264" i="33"/>
  <c r="O265" i="33"/>
  <c r="O246" i="33"/>
  <c r="O247" i="33"/>
  <c r="O248" i="33"/>
  <c r="O249" i="33"/>
  <c r="O250" i="33"/>
  <c r="O251" i="33"/>
  <c r="O253" i="33"/>
  <c r="O254" i="33"/>
  <c r="O255" i="33"/>
  <c r="O256" i="33"/>
  <c r="O257" i="33"/>
  <c r="O258" i="33"/>
  <c r="O259" i="33"/>
  <c r="O276" i="33"/>
  <c r="P267" i="33"/>
  <c r="P268" i="33"/>
  <c r="P269" i="33"/>
  <c r="P270" i="33"/>
  <c r="P271" i="33"/>
  <c r="P272" i="33"/>
  <c r="P273" i="33"/>
  <c r="P274" i="33"/>
  <c r="P275" i="33"/>
  <c r="P262" i="33"/>
  <c r="P263" i="33"/>
  <c r="P264" i="33"/>
  <c r="P265" i="33"/>
  <c r="P246" i="33"/>
  <c r="P247" i="33"/>
  <c r="P248" i="33"/>
  <c r="P249" i="33"/>
  <c r="P250" i="33"/>
  <c r="P251" i="33"/>
  <c r="P253" i="33"/>
  <c r="P254" i="33"/>
  <c r="P255" i="33"/>
  <c r="P256" i="33"/>
  <c r="P257" i="33"/>
  <c r="P258" i="33"/>
  <c r="P259" i="33"/>
  <c r="P276" i="33"/>
  <c r="I275" i="33"/>
  <c r="I265" i="33"/>
  <c r="J275" i="33"/>
  <c r="J265" i="33"/>
  <c r="K275" i="33"/>
  <c r="K265" i="33"/>
  <c r="L275" i="33"/>
  <c r="L265" i="33"/>
  <c r="P155" i="33"/>
  <c r="N209" i="33"/>
  <c r="O155" i="33"/>
  <c r="L209" i="33"/>
  <c r="N155" i="33"/>
  <c r="K209" i="33"/>
  <c r="L155" i="33"/>
  <c r="Q155" i="33"/>
  <c r="Q30" i="33"/>
  <c r="R24" i="33"/>
  <c r="R30" i="33"/>
  <c r="R28" i="33"/>
  <c r="C316" i="33"/>
  <c r="P164" i="33"/>
  <c r="P160" i="33"/>
  <c r="Q160" i="33"/>
  <c r="Q164" i="33"/>
  <c r="Q38" i="33"/>
  <c r="Q271" i="33"/>
  <c r="R271" i="33"/>
  <c r="Q209" i="33"/>
  <c r="Q212" i="33"/>
  <c r="Q267" i="33"/>
  <c r="R267" i="33"/>
  <c r="R268" i="33"/>
  <c r="R269" i="33"/>
  <c r="R270" i="33"/>
  <c r="Q272" i="33"/>
  <c r="R272" i="33"/>
  <c r="R274" i="33"/>
  <c r="P218" i="33"/>
  <c r="Q220" i="33"/>
  <c r="Q221" i="33"/>
  <c r="Q205" i="33"/>
  <c r="Q206" i="33"/>
  <c r="Q207" i="33"/>
  <c r="Q208" i="33"/>
  <c r="Q213" i="33"/>
  <c r="Q214" i="33"/>
  <c r="Q215" i="33"/>
  <c r="L235" i="33"/>
  <c r="N235" i="33"/>
  <c r="O235" i="33"/>
  <c r="P235" i="33"/>
  <c r="Q235" i="33"/>
  <c r="P222" i="33"/>
  <c r="P211" i="33"/>
  <c r="P216" i="33"/>
  <c r="P223" i="33"/>
  <c r="Q194" i="33"/>
  <c r="Q196" i="33"/>
  <c r="Q200" i="33"/>
  <c r="R245" i="33"/>
  <c r="L238" i="33"/>
  <c r="N238" i="33"/>
  <c r="O238" i="33"/>
  <c r="P238" i="33"/>
  <c r="Q238" i="33"/>
  <c r="Q197" i="33"/>
  <c r="Q246" i="33"/>
  <c r="R246" i="33"/>
  <c r="Q247" i="33"/>
  <c r="R247" i="33"/>
  <c r="Q248" i="33"/>
  <c r="R248" i="33"/>
  <c r="Q249" i="33"/>
  <c r="R249" i="33"/>
  <c r="R251" i="33"/>
  <c r="Q191" i="33"/>
  <c r="Q255" i="33"/>
  <c r="R255" i="33"/>
  <c r="Q257" i="33"/>
  <c r="R257" i="33"/>
  <c r="Q258" i="33"/>
  <c r="R258" i="33"/>
  <c r="R276" i="33"/>
  <c r="S160" i="33"/>
  <c r="S162" i="33"/>
  <c r="S164" i="33"/>
  <c r="S38" i="33"/>
  <c r="S271" i="33"/>
  <c r="T160" i="33"/>
  <c r="T162" i="33"/>
  <c r="T164" i="33"/>
  <c r="T38" i="33"/>
  <c r="T271" i="33"/>
  <c r="U160" i="33"/>
  <c r="U162" i="33"/>
  <c r="U164" i="33"/>
  <c r="U38" i="33"/>
  <c r="U271" i="33"/>
  <c r="V160" i="33"/>
  <c r="V162" i="33"/>
  <c r="V164" i="33"/>
  <c r="V38" i="33"/>
  <c r="V271" i="33"/>
  <c r="W271" i="33"/>
  <c r="O48" i="33"/>
  <c r="P48" i="33"/>
  <c r="Q48" i="33"/>
  <c r="V50" i="33"/>
  <c r="V51" i="33"/>
  <c r="V56" i="33"/>
  <c r="V86" i="33"/>
  <c r="O83" i="33"/>
  <c r="P83" i="33"/>
  <c r="Q83" i="33"/>
  <c r="V85" i="33"/>
  <c r="V91" i="33"/>
  <c r="V13" i="33"/>
  <c r="S60" i="33"/>
  <c r="S59" i="33"/>
  <c r="T60" i="33"/>
  <c r="T59" i="33"/>
  <c r="U60" i="33"/>
  <c r="U59" i="33"/>
  <c r="V60" i="33"/>
  <c r="V59" i="33"/>
  <c r="V61" i="33"/>
  <c r="V63" i="33"/>
  <c r="S94" i="33"/>
  <c r="T94" i="33"/>
  <c r="U94" i="33"/>
  <c r="V94" i="33"/>
  <c r="V96" i="33"/>
  <c r="V98" i="33"/>
  <c r="V14" i="33"/>
  <c r="V64" i="33"/>
  <c r="V99" i="33"/>
  <c r="V119" i="33"/>
  <c r="U135" i="33"/>
  <c r="V135" i="33"/>
  <c r="V134" i="33"/>
  <c r="V15" i="33"/>
  <c r="N51" i="33"/>
  <c r="S51" i="33"/>
  <c r="S50" i="33"/>
  <c r="S56" i="33"/>
  <c r="N86" i="33"/>
  <c r="S86" i="33"/>
  <c r="S85" i="33"/>
  <c r="S91" i="33"/>
  <c r="S13" i="33"/>
  <c r="S61" i="33"/>
  <c r="S63" i="33"/>
  <c r="S96" i="33"/>
  <c r="S98" i="33"/>
  <c r="S14" i="33"/>
  <c r="S64" i="33"/>
  <c r="S99" i="33"/>
  <c r="S119" i="33"/>
  <c r="S134" i="33"/>
  <c r="S15" i="33"/>
  <c r="O51" i="33"/>
  <c r="T51" i="33"/>
  <c r="T50" i="33"/>
  <c r="T56" i="33"/>
  <c r="T85" i="33"/>
  <c r="O86" i="33"/>
  <c r="T86" i="33"/>
  <c r="T91" i="33"/>
  <c r="T13" i="33"/>
  <c r="T61" i="33"/>
  <c r="T63" i="33"/>
  <c r="T96" i="33"/>
  <c r="T98" i="33"/>
  <c r="T14" i="33"/>
  <c r="T64" i="33"/>
  <c r="T99" i="33"/>
  <c r="T119" i="33"/>
  <c r="T134" i="33"/>
  <c r="T15" i="33"/>
  <c r="P51" i="33"/>
  <c r="U51" i="33"/>
  <c r="U50" i="33"/>
  <c r="U56" i="33"/>
  <c r="P86" i="33"/>
  <c r="U86" i="33"/>
  <c r="U85" i="33"/>
  <c r="U91" i="33"/>
  <c r="U13" i="33"/>
  <c r="U61" i="33"/>
  <c r="U63" i="33"/>
  <c r="U96" i="33"/>
  <c r="U98" i="33"/>
  <c r="U14" i="33"/>
  <c r="U64" i="33"/>
  <c r="U99" i="33"/>
  <c r="U119" i="33"/>
  <c r="U134" i="33"/>
  <c r="U15" i="33"/>
  <c r="S209" i="33"/>
  <c r="S212" i="33"/>
  <c r="S267" i="33"/>
  <c r="T209" i="33"/>
  <c r="T212" i="33"/>
  <c r="T267" i="33"/>
  <c r="U209" i="33"/>
  <c r="U212" i="33"/>
  <c r="U267" i="33"/>
  <c r="V209" i="33"/>
  <c r="V212" i="33"/>
  <c r="V267" i="33"/>
  <c r="W267" i="33"/>
  <c r="W268" i="33"/>
  <c r="W269" i="33"/>
  <c r="W270" i="33"/>
  <c r="S272" i="33"/>
  <c r="T272" i="33"/>
  <c r="U272" i="33"/>
  <c r="V272" i="33"/>
  <c r="W272" i="33"/>
  <c r="W274" i="33"/>
  <c r="S239" i="33"/>
  <c r="S71" i="33"/>
  <c r="S107" i="33"/>
  <c r="S106" i="33"/>
  <c r="S18" i="33"/>
  <c r="S68" i="33"/>
  <c r="S74" i="33"/>
  <c r="S73" i="33"/>
  <c r="S103" i="33"/>
  <c r="S109" i="33"/>
  <c r="S108" i="33"/>
  <c r="S124" i="33"/>
  <c r="S123" i="33"/>
  <c r="S137" i="33"/>
  <c r="S19" i="33"/>
  <c r="S77" i="33"/>
  <c r="S76" i="33"/>
  <c r="S112" i="33"/>
  <c r="S111" i="33"/>
  <c r="S127" i="33"/>
  <c r="S126" i="33"/>
  <c r="S139" i="33"/>
  <c r="S21" i="33"/>
  <c r="S70" i="33"/>
  <c r="S69" i="33"/>
  <c r="S105" i="33"/>
  <c r="S104" i="33"/>
  <c r="S122" i="33"/>
  <c r="S121" i="33"/>
  <c r="S136" i="33"/>
  <c r="S17" i="33"/>
  <c r="S140" i="33"/>
  <c r="S22" i="33"/>
  <c r="S115" i="33"/>
  <c r="S130" i="33"/>
  <c r="S24" i="33"/>
  <c r="S155" i="33"/>
  <c r="S30" i="33"/>
  <c r="S220" i="33"/>
  <c r="S221" i="33"/>
  <c r="S205" i="33"/>
  <c r="S206" i="33"/>
  <c r="S207" i="33"/>
  <c r="S208" i="33"/>
  <c r="S213" i="33"/>
  <c r="S214" i="33"/>
  <c r="S215" i="33"/>
  <c r="S235" i="33"/>
  <c r="S194" i="33"/>
  <c r="S196" i="33"/>
  <c r="S199" i="33"/>
  <c r="S200" i="33"/>
  <c r="S238" i="33"/>
  <c r="S197" i="33"/>
  <c r="S246" i="33"/>
  <c r="S247" i="33"/>
  <c r="S248" i="33"/>
  <c r="S249" i="33"/>
  <c r="S191" i="33"/>
  <c r="S255" i="33"/>
  <c r="S257" i="33"/>
  <c r="S258" i="33"/>
  <c r="T239" i="33"/>
  <c r="T71" i="33"/>
  <c r="T107" i="33"/>
  <c r="T106" i="33"/>
  <c r="T18" i="33"/>
  <c r="T68" i="33"/>
  <c r="T74" i="33"/>
  <c r="T73" i="33"/>
  <c r="T109" i="33"/>
  <c r="T103" i="33"/>
  <c r="T108" i="33"/>
  <c r="T124" i="33"/>
  <c r="T123" i="33"/>
  <c r="T137" i="33"/>
  <c r="T19" i="33"/>
  <c r="T77" i="33"/>
  <c r="T76" i="33"/>
  <c r="T112" i="33"/>
  <c r="T111" i="33"/>
  <c r="T127" i="33"/>
  <c r="T126" i="33"/>
  <c r="T139" i="33"/>
  <c r="T21" i="33"/>
  <c r="T70" i="33"/>
  <c r="T69" i="33"/>
  <c r="T105" i="33"/>
  <c r="T104" i="33"/>
  <c r="T122" i="33"/>
  <c r="T121" i="33"/>
  <c r="T136" i="33"/>
  <c r="T17" i="33"/>
  <c r="T140" i="33"/>
  <c r="T22" i="33"/>
  <c r="T115" i="33"/>
  <c r="T130" i="33"/>
  <c r="T24" i="33"/>
  <c r="T155" i="33"/>
  <c r="T30" i="33"/>
  <c r="T220" i="33"/>
  <c r="T221" i="33"/>
  <c r="T205" i="33"/>
  <c r="T206" i="33"/>
  <c r="T207" i="33"/>
  <c r="T208" i="33"/>
  <c r="T213" i="33"/>
  <c r="T214" i="33"/>
  <c r="T215" i="33"/>
  <c r="T235" i="33"/>
  <c r="T194" i="33"/>
  <c r="T196" i="33"/>
  <c r="T199" i="33"/>
  <c r="T200" i="33"/>
  <c r="T238" i="33"/>
  <c r="T197" i="33"/>
  <c r="T246" i="33"/>
  <c r="T247" i="33"/>
  <c r="T248" i="33"/>
  <c r="T249" i="33"/>
  <c r="T191" i="33"/>
  <c r="T255" i="33"/>
  <c r="T257" i="33"/>
  <c r="T258" i="33"/>
  <c r="U239" i="33"/>
  <c r="U71" i="33"/>
  <c r="U107" i="33"/>
  <c r="U106" i="33"/>
  <c r="U18" i="33"/>
  <c r="U68" i="33"/>
  <c r="U74" i="33"/>
  <c r="U73" i="33"/>
  <c r="U103" i="33"/>
  <c r="U109" i="33"/>
  <c r="U108" i="33"/>
  <c r="U124" i="33"/>
  <c r="U123" i="33"/>
  <c r="U137" i="33"/>
  <c r="U19" i="33"/>
  <c r="U77" i="33"/>
  <c r="U76" i="33"/>
  <c r="U112" i="33"/>
  <c r="U111" i="33"/>
  <c r="U127" i="33"/>
  <c r="U126" i="33"/>
  <c r="U139" i="33"/>
  <c r="U21" i="33"/>
  <c r="U70" i="33"/>
  <c r="U69" i="33"/>
  <c r="U105" i="33"/>
  <c r="U104" i="33"/>
  <c r="U122" i="33"/>
  <c r="U121" i="33"/>
  <c r="U136" i="33"/>
  <c r="U17" i="33"/>
  <c r="U140" i="33"/>
  <c r="U22" i="33"/>
  <c r="U115" i="33"/>
  <c r="U130" i="33"/>
  <c r="U24" i="33"/>
  <c r="U155" i="33"/>
  <c r="U30" i="33"/>
  <c r="U220" i="33"/>
  <c r="U221" i="33"/>
  <c r="U205" i="33"/>
  <c r="U206" i="33"/>
  <c r="U207" i="33"/>
  <c r="U208" i="33"/>
  <c r="U213" i="33"/>
  <c r="U214" i="33"/>
  <c r="U215" i="33"/>
  <c r="U235" i="33"/>
  <c r="U194" i="33"/>
  <c r="U196" i="33"/>
  <c r="U199" i="33"/>
  <c r="U200" i="33"/>
  <c r="U238" i="33"/>
  <c r="U197" i="33"/>
  <c r="U246" i="33"/>
  <c r="U247" i="33"/>
  <c r="U248" i="33"/>
  <c r="U249" i="33"/>
  <c r="U191" i="33"/>
  <c r="U255" i="33"/>
  <c r="U257" i="33"/>
  <c r="U258" i="33"/>
  <c r="V71" i="33"/>
  <c r="V107" i="33"/>
  <c r="V106" i="33"/>
  <c r="V18" i="33"/>
  <c r="V68" i="33"/>
  <c r="V74" i="33"/>
  <c r="V73" i="33"/>
  <c r="V103" i="33"/>
  <c r="V109" i="33"/>
  <c r="V108" i="33"/>
  <c r="V124" i="33"/>
  <c r="V123" i="33"/>
  <c r="V137" i="33"/>
  <c r="V19" i="33"/>
  <c r="V77" i="33"/>
  <c r="V76" i="33"/>
  <c r="V112" i="33"/>
  <c r="V111" i="33"/>
  <c r="V127" i="33"/>
  <c r="V126" i="33"/>
  <c r="V139" i="33"/>
  <c r="V21" i="33"/>
  <c r="V70" i="33"/>
  <c r="V69" i="33"/>
  <c r="V105" i="33"/>
  <c r="V104" i="33"/>
  <c r="V122" i="33"/>
  <c r="V121" i="33"/>
  <c r="V136" i="33"/>
  <c r="V17" i="33"/>
  <c r="V239" i="33"/>
  <c r="V140" i="33"/>
  <c r="V22" i="33"/>
  <c r="V115" i="33"/>
  <c r="V130" i="33"/>
  <c r="V24" i="33"/>
  <c r="V155" i="33"/>
  <c r="V30" i="33"/>
  <c r="V220" i="33"/>
  <c r="V221" i="33"/>
  <c r="V205" i="33"/>
  <c r="V206" i="33"/>
  <c r="V207" i="33"/>
  <c r="V208" i="33"/>
  <c r="V213" i="33"/>
  <c r="V214" i="33"/>
  <c r="V215" i="33"/>
  <c r="V235" i="33"/>
  <c r="V194" i="33"/>
  <c r="V196" i="33"/>
  <c r="V199" i="33"/>
  <c r="V200" i="33"/>
  <c r="W24" i="33"/>
  <c r="W30" i="33"/>
  <c r="W28" i="33"/>
  <c r="V228" i="33"/>
  <c r="V230" i="33"/>
  <c r="V238" i="33"/>
  <c r="V197" i="33"/>
  <c r="V246" i="33"/>
  <c r="W246" i="33"/>
  <c r="V247" i="33"/>
  <c r="W247" i="33"/>
  <c r="V248" i="33"/>
  <c r="W248" i="33"/>
  <c r="V249" i="33"/>
  <c r="W249" i="33"/>
  <c r="W251" i="33"/>
  <c r="V191" i="33"/>
  <c r="V255" i="33"/>
  <c r="W255" i="33"/>
  <c r="V257" i="33"/>
  <c r="W257" i="33"/>
  <c r="V258" i="33"/>
  <c r="W258" i="33"/>
  <c r="W276" i="33"/>
  <c r="X43" i="33"/>
  <c r="X160" i="33"/>
  <c r="X162" i="33"/>
  <c r="X164" i="33"/>
  <c r="X38" i="33"/>
  <c r="X271" i="33"/>
  <c r="Y43" i="33"/>
  <c r="Y160" i="33"/>
  <c r="Y162" i="33"/>
  <c r="Y164" i="33"/>
  <c r="Y38" i="33"/>
  <c r="Y271" i="33"/>
  <c r="Z43" i="33"/>
  <c r="Z160" i="33"/>
  <c r="Z162" i="33"/>
  <c r="Z164" i="33"/>
  <c r="Z38" i="33"/>
  <c r="Z271" i="33"/>
  <c r="AA43" i="33"/>
  <c r="AA160" i="33"/>
  <c r="AA162" i="33"/>
  <c r="AA164" i="33"/>
  <c r="AA38" i="33"/>
  <c r="AA271" i="33"/>
  <c r="AB271" i="33"/>
  <c r="S49" i="33"/>
  <c r="S48" i="33"/>
  <c r="T49" i="33"/>
  <c r="T48" i="33"/>
  <c r="U49" i="33"/>
  <c r="U48" i="33"/>
  <c r="V49" i="33"/>
  <c r="V48" i="33"/>
  <c r="X49" i="33"/>
  <c r="X48" i="33"/>
  <c r="X50" i="33"/>
  <c r="X51" i="33"/>
  <c r="X56" i="33"/>
  <c r="X86" i="33"/>
  <c r="S83" i="33"/>
  <c r="X85" i="33"/>
  <c r="X91" i="33"/>
  <c r="X13" i="33"/>
  <c r="X60" i="33"/>
  <c r="X59" i="33"/>
  <c r="X61" i="33"/>
  <c r="X62" i="33"/>
  <c r="X63" i="33"/>
  <c r="X95" i="33"/>
  <c r="X94" i="33"/>
  <c r="X96" i="33"/>
  <c r="X97" i="33"/>
  <c r="X98" i="33"/>
  <c r="X14" i="33"/>
  <c r="X64" i="33"/>
  <c r="X99" i="33"/>
  <c r="X119" i="33"/>
  <c r="X135" i="33"/>
  <c r="X134" i="33"/>
  <c r="X15" i="33"/>
  <c r="Y49" i="33"/>
  <c r="Y48" i="33"/>
  <c r="Y50" i="33"/>
  <c r="Y51" i="33"/>
  <c r="Y56" i="33"/>
  <c r="Y86" i="33"/>
  <c r="T83" i="33"/>
  <c r="Y85" i="33"/>
  <c r="Y91" i="33"/>
  <c r="Y13" i="33"/>
  <c r="Y60" i="33"/>
  <c r="Y59" i="33"/>
  <c r="Y61" i="33"/>
  <c r="Y62" i="33"/>
  <c r="Y63" i="33"/>
  <c r="Y95" i="33"/>
  <c r="Y94" i="33"/>
  <c r="Y96" i="33"/>
  <c r="Y97" i="33"/>
  <c r="Y98" i="33"/>
  <c r="Y14" i="33"/>
  <c r="Y64" i="33"/>
  <c r="Y99" i="33"/>
  <c r="Y119" i="33"/>
  <c r="Y135" i="33"/>
  <c r="Y134" i="33"/>
  <c r="Y15" i="33"/>
  <c r="Z49" i="33"/>
  <c r="Z48" i="33"/>
  <c r="Z50" i="33"/>
  <c r="Z51" i="33"/>
  <c r="Z56" i="33"/>
  <c r="Z86" i="33"/>
  <c r="U83" i="33"/>
  <c r="Z85" i="33"/>
  <c r="Z91" i="33"/>
  <c r="Z13" i="33"/>
  <c r="Z60" i="33"/>
  <c r="Z59" i="33"/>
  <c r="Z61" i="33"/>
  <c r="Z62" i="33"/>
  <c r="Z63" i="33"/>
  <c r="Z95" i="33"/>
  <c r="Z94" i="33"/>
  <c r="Z96" i="33"/>
  <c r="Z97" i="33"/>
  <c r="Z98" i="33"/>
  <c r="Z14" i="33"/>
  <c r="Z64" i="33"/>
  <c r="Z99" i="33"/>
  <c r="Z119" i="33"/>
  <c r="Z135" i="33"/>
  <c r="Z134" i="33"/>
  <c r="Z15" i="33"/>
  <c r="AA49" i="33"/>
  <c r="AA48" i="33"/>
  <c r="AA50" i="33"/>
  <c r="AA51" i="33"/>
  <c r="AA56" i="33"/>
  <c r="AA86" i="33"/>
  <c r="V83" i="33"/>
  <c r="AA85" i="33"/>
  <c r="AA91" i="33"/>
  <c r="AA13" i="33"/>
  <c r="AA60" i="33"/>
  <c r="AA59" i="33"/>
  <c r="AA61" i="33"/>
  <c r="AA62" i="33"/>
  <c r="AA63" i="33"/>
  <c r="AA95" i="33"/>
  <c r="AA94" i="33"/>
  <c r="AA96" i="33"/>
  <c r="AA97" i="33"/>
  <c r="AA98" i="33"/>
  <c r="AA14" i="33"/>
  <c r="AA64" i="33"/>
  <c r="AA99" i="33"/>
  <c r="AA119" i="33"/>
  <c r="AA135" i="33"/>
  <c r="AA134" i="33"/>
  <c r="AA15" i="33"/>
  <c r="X209" i="33"/>
  <c r="X212" i="33"/>
  <c r="X267" i="33"/>
  <c r="Y209" i="33"/>
  <c r="Y212" i="33"/>
  <c r="Y267" i="33"/>
  <c r="Z209" i="33"/>
  <c r="Z212" i="33"/>
  <c r="Z267" i="33"/>
  <c r="AA209" i="33"/>
  <c r="AA212" i="33"/>
  <c r="AA267" i="33"/>
  <c r="AB267" i="33"/>
  <c r="AB268" i="33"/>
  <c r="AB269" i="33"/>
  <c r="AB270" i="33"/>
  <c r="X272" i="33"/>
  <c r="Y272" i="33"/>
  <c r="Z272" i="33"/>
  <c r="AA272" i="33"/>
  <c r="AB272" i="33"/>
  <c r="AB274" i="33"/>
  <c r="X72" i="33"/>
  <c r="X71" i="33"/>
  <c r="X107" i="33"/>
  <c r="X106" i="33"/>
  <c r="X18" i="33"/>
  <c r="X68" i="33"/>
  <c r="X74" i="33"/>
  <c r="X73" i="33"/>
  <c r="X103" i="33"/>
  <c r="X109" i="33"/>
  <c r="X108" i="33"/>
  <c r="X124" i="33"/>
  <c r="X123" i="33"/>
  <c r="X137" i="33"/>
  <c r="X19" i="33"/>
  <c r="X239" i="33"/>
  <c r="R76" i="33"/>
  <c r="R68" i="33"/>
  <c r="R77" i="33"/>
  <c r="X77" i="33"/>
  <c r="X76" i="33"/>
  <c r="X112" i="33"/>
  <c r="X111" i="33"/>
  <c r="X127" i="33"/>
  <c r="X126" i="33"/>
  <c r="X139" i="33"/>
  <c r="X21" i="33"/>
  <c r="R69" i="33"/>
  <c r="R70" i="33"/>
  <c r="X70" i="33"/>
  <c r="X69" i="33"/>
  <c r="X105" i="33"/>
  <c r="X104" i="33"/>
  <c r="X122" i="33"/>
  <c r="X121" i="33"/>
  <c r="X136" i="33"/>
  <c r="X17" i="33"/>
  <c r="X140" i="33"/>
  <c r="X22" i="33"/>
  <c r="X115" i="33"/>
  <c r="X130" i="33"/>
  <c r="X24" i="33"/>
  <c r="X155" i="33"/>
  <c r="X30" i="33"/>
  <c r="X220" i="33"/>
  <c r="X221" i="33"/>
  <c r="X205" i="33"/>
  <c r="X206" i="33"/>
  <c r="X207" i="33"/>
  <c r="X208" i="33"/>
  <c r="X213" i="33"/>
  <c r="X214" i="33"/>
  <c r="X215" i="33"/>
  <c r="X235" i="33"/>
  <c r="X194" i="33"/>
  <c r="X196" i="33"/>
  <c r="X199" i="33"/>
  <c r="X200" i="33"/>
  <c r="X238" i="33"/>
  <c r="X197" i="33"/>
  <c r="X246" i="33"/>
  <c r="X247" i="33"/>
  <c r="X248" i="33"/>
  <c r="X249" i="33"/>
  <c r="X191" i="33"/>
  <c r="X255" i="33"/>
  <c r="X257" i="33"/>
  <c r="X258" i="33"/>
  <c r="Y72" i="33"/>
  <c r="Y71" i="33"/>
  <c r="Y107" i="33"/>
  <c r="Y106" i="33"/>
  <c r="Y18" i="33"/>
  <c r="Y68" i="33"/>
  <c r="Y74" i="33"/>
  <c r="Y73" i="33"/>
  <c r="Y103" i="33"/>
  <c r="Y109" i="33"/>
  <c r="Y108" i="33"/>
  <c r="Y124" i="33"/>
  <c r="Y123" i="33"/>
  <c r="Y137" i="33"/>
  <c r="Y19" i="33"/>
  <c r="Y239" i="33"/>
  <c r="Y77" i="33"/>
  <c r="Y76" i="33"/>
  <c r="Y112" i="33"/>
  <c r="Y111" i="33"/>
  <c r="Y127" i="33"/>
  <c r="Y126" i="33"/>
  <c r="Y139" i="33"/>
  <c r="Y21" i="33"/>
  <c r="Y70" i="33"/>
  <c r="Y69" i="33"/>
  <c r="Y105" i="33"/>
  <c r="Y104" i="33"/>
  <c r="Y122" i="33"/>
  <c r="Y121" i="33"/>
  <c r="Y136" i="33"/>
  <c r="Y17" i="33"/>
  <c r="Y140" i="33"/>
  <c r="Y22" i="33"/>
  <c r="Y115" i="33"/>
  <c r="Y130" i="33"/>
  <c r="Y24" i="33"/>
  <c r="Y155" i="33"/>
  <c r="Y30" i="33"/>
  <c r="Y220" i="33"/>
  <c r="Y221" i="33"/>
  <c r="Y205" i="33"/>
  <c r="Y206" i="33"/>
  <c r="Y207" i="33"/>
  <c r="Y208" i="33"/>
  <c r="Y213" i="33"/>
  <c r="Y214" i="33"/>
  <c r="Y215" i="33"/>
  <c r="Y235" i="33"/>
  <c r="Y194" i="33"/>
  <c r="Y196" i="33"/>
  <c r="Y199" i="33"/>
  <c r="Y200" i="33"/>
  <c r="Y238" i="33"/>
  <c r="Y197" i="33"/>
  <c r="Y246" i="33"/>
  <c r="Y247" i="33"/>
  <c r="Y248" i="33"/>
  <c r="Y249" i="33"/>
  <c r="Y191" i="33"/>
  <c r="Y255" i="33"/>
  <c r="Y257" i="33"/>
  <c r="Y258" i="33"/>
  <c r="Z72" i="33"/>
  <c r="Z71" i="33"/>
  <c r="Z107" i="33"/>
  <c r="Z106" i="33"/>
  <c r="Z18" i="33"/>
  <c r="Z68" i="33"/>
  <c r="Z74" i="33"/>
  <c r="Z73" i="33"/>
  <c r="Z103" i="33"/>
  <c r="Z109" i="33"/>
  <c r="Z108" i="33"/>
  <c r="Z124" i="33"/>
  <c r="Z123" i="33"/>
  <c r="Z137" i="33"/>
  <c r="Z19" i="33"/>
  <c r="Z239" i="33"/>
  <c r="Z77" i="33"/>
  <c r="Z76" i="33"/>
  <c r="Z112" i="33"/>
  <c r="Z111" i="33"/>
  <c r="Z127" i="33"/>
  <c r="Z126" i="33"/>
  <c r="Z139" i="33"/>
  <c r="Z21" i="33"/>
  <c r="Z70" i="33"/>
  <c r="Z69" i="33"/>
  <c r="Z105" i="33"/>
  <c r="Z104" i="33"/>
  <c r="Z122" i="33"/>
  <c r="Z121" i="33"/>
  <c r="Z136" i="33"/>
  <c r="Z17" i="33"/>
  <c r="Z140" i="33"/>
  <c r="Z22" i="33"/>
  <c r="Z115" i="33"/>
  <c r="Z130" i="33"/>
  <c r="Z24" i="33"/>
  <c r="Z155" i="33"/>
  <c r="Z30" i="33"/>
  <c r="Z220" i="33"/>
  <c r="Z221" i="33"/>
  <c r="Z205" i="33"/>
  <c r="Z206" i="33"/>
  <c r="Z207" i="33"/>
  <c r="Z208" i="33"/>
  <c r="Z213" i="33"/>
  <c r="Z214" i="33"/>
  <c r="Z215" i="33"/>
  <c r="Z235" i="33"/>
  <c r="Z194" i="33"/>
  <c r="Z196" i="33"/>
  <c r="Z199" i="33"/>
  <c r="Z200" i="33"/>
  <c r="Z238" i="33"/>
  <c r="Z197" i="33"/>
  <c r="Z246" i="33"/>
  <c r="Z247" i="33"/>
  <c r="Z248" i="33"/>
  <c r="Z249" i="33"/>
  <c r="Z191" i="33"/>
  <c r="Z255" i="33"/>
  <c r="Z257" i="33"/>
  <c r="Z258" i="33"/>
  <c r="AA72" i="33"/>
  <c r="AA71" i="33"/>
  <c r="AA107" i="33"/>
  <c r="AA106" i="33"/>
  <c r="AA18" i="33"/>
  <c r="AA68" i="33"/>
  <c r="AA74" i="33"/>
  <c r="AA73" i="33"/>
  <c r="AA103" i="33"/>
  <c r="AA109" i="33"/>
  <c r="AA108" i="33"/>
  <c r="AA124" i="33"/>
  <c r="AA123" i="33"/>
  <c r="AA137" i="33"/>
  <c r="AA19" i="33"/>
  <c r="AA239" i="33"/>
  <c r="AA77" i="33"/>
  <c r="AA76" i="33"/>
  <c r="AA112" i="33"/>
  <c r="AA111" i="33"/>
  <c r="AA127" i="33"/>
  <c r="AA126" i="33"/>
  <c r="AA139" i="33"/>
  <c r="AA21" i="33"/>
  <c r="AA70" i="33"/>
  <c r="AA69" i="33"/>
  <c r="AA105" i="33"/>
  <c r="AA104" i="33"/>
  <c r="AA122" i="33"/>
  <c r="AA121" i="33"/>
  <c r="AA136" i="33"/>
  <c r="AA17" i="33"/>
  <c r="AA140" i="33"/>
  <c r="AA22" i="33"/>
  <c r="AA115" i="33"/>
  <c r="AA130" i="33"/>
  <c r="AA24" i="33"/>
  <c r="AA155" i="33"/>
  <c r="AA30" i="33"/>
  <c r="AA220" i="33"/>
  <c r="AA221" i="33"/>
  <c r="AA205" i="33"/>
  <c r="AA206" i="33"/>
  <c r="AA207" i="33"/>
  <c r="AA208" i="33"/>
  <c r="AA213" i="33"/>
  <c r="AA214" i="33"/>
  <c r="AA215" i="33"/>
  <c r="AA235" i="33"/>
  <c r="AA194" i="33"/>
  <c r="AA196" i="33"/>
  <c r="AA199" i="33"/>
  <c r="AA200" i="33"/>
  <c r="AB24" i="33"/>
  <c r="AB30" i="33"/>
  <c r="AB28" i="33"/>
  <c r="AA228" i="33"/>
  <c r="AA230" i="33"/>
  <c r="AA238" i="33"/>
  <c r="AA197" i="33"/>
  <c r="AA246" i="33"/>
  <c r="AB246" i="33"/>
  <c r="AA247" i="33"/>
  <c r="AB247" i="33"/>
  <c r="AA248" i="33"/>
  <c r="AB248" i="33"/>
  <c r="AA249" i="33"/>
  <c r="AB249" i="33"/>
  <c r="AB251" i="33"/>
  <c r="AA191" i="33"/>
  <c r="AA255" i="33"/>
  <c r="AB255" i="33"/>
  <c r="AA257" i="33"/>
  <c r="AB257" i="33"/>
  <c r="AA258" i="33"/>
  <c r="AB258" i="33"/>
  <c r="AB276" i="33"/>
  <c r="AC43" i="33"/>
  <c r="AC160" i="33"/>
  <c r="AC162" i="33"/>
  <c r="AC164" i="33"/>
  <c r="AC38" i="33"/>
  <c r="AC271" i="33"/>
  <c r="AD43" i="33"/>
  <c r="AD160" i="33"/>
  <c r="AD162" i="33"/>
  <c r="AD164" i="33"/>
  <c r="AD38" i="33"/>
  <c r="AD271" i="33"/>
  <c r="AE43" i="33"/>
  <c r="AE160" i="33"/>
  <c r="AE162" i="33"/>
  <c r="AE164" i="33"/>
  <c r="AE38" i="33"/>
  <c r="AE271" i="33"/>
  <c r="AF43" i="33"/>
  <c r="AF160" i="33"/>
  <c r="AF162" i="33"/>
  <c r="AF164" i="33"/>
  <c r="AF38" i="33"/>
  <c r="AF271" i="33"/>
  <c r="AG271" i="33"/>
  <c r="AC49" i="33"/>
  <c r="AC48" i="33"/>
  <c r="AC50" i="33"/>
  <c r="AC51" i="33"/>
  <c r="AC55" i="33"/>
  <c r="AC56" i="33"/>
  <c r="AC86" i="33"/>
  <c r="X84" i="33"/>
  <c r="X83" i="33"/>
  <c r="AC85" i="33"/>
  <c r="AC90" i="33"/>
  <c r="AC91" i="33"/>
  <c r="AC13" i="33"/>
  <c r="AC60" i="33"/>
  <c r="AC59" i="33"/>
  <c r="AC61" i="33"/>
  <c r="AC62" i="33"/>
  <c r="AC63" i="33"/>
  <c r="AC95" i="33"/>
  <c r="AC94" i="33"/>
  <c r="AC96" i="33"/>
  <c r="AC97" i="33"/>
  <c r="AC98" i="33"/>
  <c r="AC14" i="33"/>
  <c r="AC64" i="33"/>
  <c r="AC99" i="33"/>
  <c r="AC119" i="33"/>
  <c r="AC135" i="33"/>
  <c r="AC134" i="33"/>
  <c r="AC15" i="33"/>
  <c r="AD49" i="33"/>
  <c r="AD48" i="33"/>
  <c r="AD50" i="33"/>
  <c r="AD51" i="33"/>
  <c r="AD55" i="33"/>
  <c r="AD56" i="33"/>
  <c r="AD86" i="33"/>
  <c r="Y84" i="33"/>
  <c r="Y83" i="33"/>
  <c r="AD85" i="33"/>
  <c r="AD90" i="33"/>
  <c r="AD91" i="33"/>
  <c r="AD13" i="33"/>
  <c r="AD60" i="33"/>
  <c r="AD59" i="33"/>
  <c r="AD61" i="33"/>
  <c r="AD62" i="33"/>
  <c r="AD63" i="33"/>
  <c r="AD95" i="33"/>
  <c r="AD94" i="33"/>
  <c r="AD96" i="33"/>
  <c r="AD97" i="33"/>
  <c r="AD98" i="33"/>
  <c r="AD14" i="33"/>
  <c r="AD64" i="33"/>
  <c r="AD99" i="33"/>
  <c r="AD119" i="33"/>
  <c r="AD135" i="33"/>
  <c r="AD134" i="33"/>
  <c r="AD15" i="33"/>
  <c r="AE49" i="33"/>
  <c r="AE48" i="33"/>
  <c r="AE50" i="33"/>
  <c r="AE51" i="33"/>
  <c r="AE55" i="33"/>
  <c r="AE56" i="33"/>
  <c r="AE86" i="33"/>
  <c r="Z84" i="33"/>
  <c r="Z83" i="33"/>
  <c r="AE85" i="33"/>
  <c r="AE90" i="33"/>
  <c r="AE91" i="33"/>
  <c r="AE13" i="33"/>
  <c r="AE60" i="33"/>
  <c r="AE59" i="33"/>
  <c r="AE61" i="33"/>
  <c r="AE62" i="33"/>
  <c r="AE63" i="33"/>
  <c r="AE95" i="33"/>
  <c r="AE94" i="33"/>
  <c r="AE96" i="33"/>
  <c r="AE97" i="33"/>
  <c r="AE98" i="33"/>
  <c r="AE14" i="33"/>
  <c r="AE64" i="33"/>
  <c r="AE99" i="33"/>
  <c r="AE119" i="33"/>
  <c r="AE135" i="33"/>
  <c r="AE134" i="33"/>
  <c r="AE15" i="33"/>
  <c r="AF49" i="33"/>
  <c r="AF48" i="33"/>
  <c r="AF50" i="33"/>
  <c r="AF51" i="33"/>
  <c r="AF55" i="33"/>
  <c r="AF56" i="33"/>
  <c r="AF86" i="33"/>
  <c r="AA84" i="33"/>
  <c r="AA83" i="33"/>
  <c r="AF85" i="33"/>
  <c r="AF90" i="33"/>
  <c r="AF91" i="33"/>
  <c r="AF13" i="33"/>
  <c r="AF60" i="33"/>
  <c r="AF59" i="33"/>
  <c r="AF61" i="33"/>
  <c r="AF62" i="33"/>
  <c r="AF63" i="33"/>
  <c r="AF95" i="33"/>
  <c r="AF94" i="33"/>
  <c r="AF96" i="33"/>
  <c r="AF97" i="33"/>
  <c r="AF98" i="33"/>
  <c r="AF14" i="33"/>
  <c r="AF64" i="33"/>
  <c r="AF99" i="33"/>
  <c r="AF119" i="33"/>
  <c r="AF135" i="33"/>
  <c r="AF134" i="33"/>
  <c r="AF15" i="33"/>
  <c r="AC209" i="33"/>
  <c r="AC212" i="33"/>
  <c r="AC267" i="33"/>
  <c r="AD209" i="33"/>
  <c r="AD212" i="33"/>
  <c r="AD267" i="33"/>
  <c r="AE209" i="33"/>
  <c r="AE212" i="33"/>
  <c r="AE267" i="33"/>
  <c r="AF209" i="33"/>
  <c r="AF212" i="33"/>
  <c r="AF267" i="33"/>
  <c r="AG267" i="33"/>
  <c r="AG268" i="33"/>
  <c r="AG269" i="33"/>
  <c r="AG270" i="33"/>
  <c r="AC272" i="33"/>
  <c r="AD272" i="33"/>
  <c r="AE272" i="33"/>
  <c r="AF272" i="33"/>
  <c r="AG272" i="33"/>
  <c r="AG274" i="33"/>
  <c r="AC72" i="33"/>
  <c r="AC71" i="33"/>
  <c r="AC107" i="33"/>
  <c r="AC106" i="33"/>
  <c r="AC18" i="33"/>
  <c r="AC68" i="33"/>
  <c r="AC74" i="33"/>
  <c r="AC73" i="33"/>
  <c r="AC103" i="33"/>
  <c r="AC109" i="33"/>
  <c r="AC108" i="33"/>
  <c r="AC124" i="33"/>
  <c r="AC123" i="33"/>
  <c r="AC137" i="33"/>
  <c r="AC19" i="33"/>
  <c r="AC239" i="33"/>
  <c r="W76" i="33"/>
  <c r="W68" i="33"/>
  <c r="W77" i="33"/>
  <c r="AC77" i="33"/>
  <c r="AC76" i="33"/>
  <c r="AC112" i="33"/>
  <c r="AC111" i="33"/>
  <c r="AC127" i="33"/>
  <c r="AC126" i="33"/>
  <c r="AC139" i="33"/>
  <c r="AC21" i="33"/>
  <c r="W69" i="33"/>
  <c r="W70" i="33"/>
  <c r="AC70" i="33"/>
  <c r="AC69" i="33"/>
  <c r="AC105" i="33"/>
  <c r="AC104" i="33"/>
  <c r="AC122" i="33"/>
  <c r="AC121" i="33"/>
  <c r="AC136" i="33"/>
  <c r="AC17" i="33"/>
  <c r="AC140" i="33"/>
  <c r="AC22" i="33"/>
  <c r="AC115" i="33"/>
  <c r="AC130" i="33"/>
  <c r="AC24" i="33"/>
  <c r="AC155" i="33"/>
  <c r="AC30" i="33"/>
  <c r="AC220" i="33"/>
  <c r="AC221" i="33"/>
  <c r="AC205" i="33"/>
  <c r="AC206" i="33"/>
  <c r="AC207" i="33"/>
  <c r="AC208" i="33"/>
  <c r="AC213" i="33"/>
  <c r="AC214" i="33"/>
  <c r="AC215" i="33"/>
  <c r="AC235" i="33"/>
  <c r="AC194" i="33"/>
  <c r="AC196" i="33"/>
  <c r="AC199" i="33"/>
  <c r="AC200" i="33"/>
  <c r="AC238" i="33"/>
  <c r="AC197" i="33"/>
  <c r="AC246" i="33"/>
  <c r="AC247" i="33"/>
  <c r="AC248" i="33"/>
  <c r="AC249" i="33"/>
  <c r="AC191" i="33"/>
  <c r="AC255" i="33"/>
  <c r="AC257" i="33"/>
  <c r="AC258" i="33"/>
  <c r="AD72" i="33"/>
  <c r="AD71" i="33"/>
  <c r="AD107" i="33"/>
  <c r="AD106" i="33"/>
  <c r="AD18" i="33"/>
  <c r="AD68" i="33"/>
  <c r="AD74" i="33"/>
  <c r="AD73" i="33"/>
  <c r="AD103" i="33"/>
  <c r="AD109" i="33"/>
  <c r="AD108" i="33"/>
  <c r="AD124" i="33"/>
  <c r="AD123" i="33"/>
  <c r="AD137" i="33"/>
  <c r="AD19" i="33"/>
  <c r="AD239" i="33"/>
  <c r="AD77" i="33"/>
  <c r="AD76" i="33"/>
  <c r="AD112" i="33"/>
  <c r="AD111" i="33"/>
  <c r="AD127" i="33"/>
  <c r="AD126" i="33"/>
  <c r="AD139" i="33"/>
  <c r="AD21" i="33"/>
  <c r="AD70" i="33"/>
  <c r="AD69" i="33"/>
  <c r="AD105" i="33"/>
  <c r="AD104" i="33"/>
  <c r="AD122" i="33"/>
  <c r="AD121" i="33"/>
  <c r="AD136" i="33"/>
  <c r="AD17" i="33"/>
  <c r="AD140" i="33"/>
  <c r="AD22" i="33"/>
  <c r="AD115" i="33"/>
  <c r="AD130" i="33"/>
  <c r="AD24" i="33"/>
  <c r="AD155" i="33"/>
  <c r="AD30" i="33"/>
  <c r="AD220" i="33"/>
  <c r="AD221" i="33"/>
  <c r="AD205" i="33"/>
  <c r="AD206" i="33"/>
  <c r="AD207" i="33"/>
  <c r="AD208" i="33"/>
  <c r="AD213" i="33"/>
  <c r="AD214" i="33"/>
  <c r="AD215" i="33"/>
  <c r="AD235" i="33"/>
  <c r="AD194" i="33"/>
  <c r="AD196" i="33"/>
  <c r="AD199" i="33"/>
  <c r="AD200" i="33"/>
  <c r="AD238" i="33"/>
  <c r="AD197" i="33"/>
  <c r="AD246" i="33"/>
  <c r="AD247" i="33"/>
  <c r="AD248" i="33"/>
  <c r="AD249" i="33"/>
  <c r="AD191" i="33"/>
  <c r="AD255" i="33"/>
  <c r="AD257" i="33"/>
  <c r="AD258" i="33"/>
  <c r="AE72" i="33"/>
  <c r="AE71" i="33"/>
  <c r="AE107" i="33"/>
  <c r="AE106" i="33"/>
  <c r="AE18" i="33"/>
  <c r="AE68" i="33"/>
  <c r="AE74" i="33"/>
  <c r="AE73" i="33"/>
  <c r="AE103" i="33"/>
  <c r="AE109" i="33"/>
  <c r="AE108" i="33"/>
  <c r="AE124" i="33"/>
  <c r="AE123" i="33"/>
  <c r="AE137" i="33"/>
  <c r="AE19" i="33"/>
  <c r="AE239" i="33"/>
  <c r="AE77" i="33"/>
  <c r="AE76" i="33"/>
  <c r="AE112" i="33"/>
  <c r="AE111" i="33"/>
  <c r="AE127" i="33"/>
  <c r="AE126" i="33"/>
  <c r="AE139" i="33"/>
  <c r="AE21" i="33"/>
  <c r="AE70" i="33"/>
  <c r="AE69" i="33"/>
  <c r="AE105" i="33"/>
  <c r="AE104" i="33"/>
  <c r="AE122" i="33"/>
  <c r="AE121" i="33"/>
  <c r="AE136" i="33"/>
  <c r="AE17" i="33"/>
  <c r="AE140" i="33"/>
  <c r="AE22" i="33"/>
  <c r="AE115" i="33"/>
  <c r="AE130" i="33"/>
  <c r="AE24" i="33"/>
  <c r="AE155" i="33"/>
  <c r="AE30" i="33"/>
  <c r="AE220" i="33"/>
  <c r="AE221" i="33"/>
  <c r="AE205" i="33"/>
  <c r="AE206" i="33"/>
  <c r="AE207" i="33"/>
  <c r="AE208" i="33"/>
  <c r="AE213" i="33"/>
  <c r="AE214" i="33"/>
  <c r="AE215" i="33"/>
  <c r="AE235" i="33"/>
  <c r="AE194" i="33"/>
  <c r="AE196" i="33"/>
  <c r="AE199" i="33"/>
  <c r="AE200" i="33"/>
  <c r="AE238" i="33"/>
  <c r="AE197" i="33"/>
  <c r="AE246" i="33"/>
  <c r="AE247" i="33"/>
  <c r="AE248" i="33"/>
  <c r="AE249" i="33"/>
  <c r="AE191" i="33"/>
  <c r="AE255" i="33"/>
  <c r="AE257" i="33"/>
  <c r="AE258" i="33"/>
  <c r="AF72" i="33"/>
  <c r="AF71" i="33"/>
  <c r="AF107" i="33"/>
  <c r="AF106" i="33"/>
  <c r="AF18" i="33"/>
  <c r="AF68" i="33"/>
  <c r="AF74" i="33"/>
  <c r="AF73" i="33"/>
  <c r="AF103" i="33"/>
  <c r="AF109" i="33"/>
  <c r="AF108" i="33"/>
  <c r="AF124" i="33"/>
  <c r="AF123" i="33"/>
  <c r="AF137" i="33"/>
  <c r="AF19" i="33"/>
  <c r="AF239" i="33"/>
  <c r="AF77" i="33"/>
  <c r="AF76" i="33"/>
  <c r="AF112" i="33"/>
  <c r="AF111" i="33"/>
  <c r="AF127" i="33"/>
  <c r="AF126" i="33"/>
  <c r="AF139" i="33"/>
  <c r="AF21" i="33"/>
  <c r="AF70" i="33"/>
  <c r="AF69" i="33"/>
  <c r="AF105" i="33"/>
  <c r="AF104" i="33"/>
  <c r="AF122" i="33"/>
  <c r="AF121" i="33"/>
  <c r="AF136" i="33"/>
  <c r="AF17" i="33"/>
  <c r="AF140" i="33"/>
  <c r="AF22" i="33"/>
  <c r="AF115" i="33"/>
  <c r="AF130" i="33"/>
  <c r="AF24" i="33"/>
  <c r="AF155" i="33"/>
  <c r="AF30" i="33"/>
  <c r="AF220" i="33"/>
  <c r="AF221" i="33"/>
  <c r="AF205" i="33"/>
  <c r="AF206" i="33"/>
  <c r="AF207" i="33"/>
  <c r="AF208" i="33"/>
  <c r="AF213" i="33"/>
  <c r="AF214" i="33"/>
  <c r="AF215" i="33"/>
  <c r="AF235" i="33"/>
  <c r="AF194" i="33"/>
  <c r="AF196" i="33"/>
  <c r="AF199" i="33"/>
  <c r="AF200" i="33"/>
  <c r="AG24" i="33"/>
  <c r="AG30" i="33"/>
  <c r="AG28" i="33"/>
  <c r="AF228" i="33"/>
  <c r="AF230" i="33"/>
  <c r="AF238" i="33"/>
  <c r="AF197" i="33"/>
  <c r="AF246" i="33"/>
  <c r="AG246" i="33"/>
  <c r="AF247" i="33"/>
  <c r="AG247" i="33"/>
  <c r="AF248" i="33"/>
  <c r="AG248" i="33"/>
  <c r="AF249" i="33"/>
  <c r="AG249" i="33"/>
  <c r="AG251" i="33"/>
  <c r="AF191" i="33"/>
  <c r="AF255" i="33"/>
  <c r="AG255" i="33"/>
  <c r="AF257" i="33"/>
  <c r="AG257" i="33"/>
  <c r="AF258" i="33"/>
  <c r="AG258" i="33"/>
  <c r="AG276" i="33"/>
  <c r="AH43" i="33"/>
  <c r="AH160" i="33"/>
  <c r="AH162" i="33"/>
  <c r="AH164" i="33"/>
  <c r="AH38" i="33"/>
  <c r="AH271" i="33"/>
  <c r="AH49" i="33"/>
  <c r="AH48" i="33"/>
  <c r="AH50" i="33"/>
  <c r="AH51" i="33"/>
  <c r="AH55" i="33"/>
  <c r="AH56" i="33"/>
  <c r="AH86" i="33"/>
  <c r="AC84" i="33"/>
  <c r="AC83" i="33"/>
  <c r="AH85" i="33"/>
  <c r="AH90" i="33"/>
  <c r="AH91" i="33"/>
  <c r="AH13" i="33"/>
  <c r="AH60" i="33"/>
  <c r="AH59" i="33"/>
  <c r="AH61" i="33"/>
  <c r="AH62" i="33"/>
  <c r="AH63" i="33"/>
  <c r="AH95" i="33"/>
  <c r="AH94" i="33"/>
  <c r="AH96" i="33"/>
  <c r="AH97" i="33"/>
  <c r="AH98" i="33"/>
  <c r="AH14" i="33"/>
  <c r="AH64" i="33"/>
  <c r="AH99" i="33"/>
  <c r="AH119" i="33"/>
  <c r="AH135" i="33"/>
  <c r="AH134" i="33"/>
  <c r="AH15" i="33"/>
  <c r="AH209" i="33"/>
  <c r="AH212" i="33"/>
  <c r="AH267" i="33"/>
  <c r="AH272" i="33"/>
  <c r="AH72" i="33"/>
  <c r="AH71" i="33"/>
  <c r="AH107" i="33"/>
  <c r="AH106" i="33"/>
  <c r="AH18" i="33"/>
  <c r="AH68" i="33"/>
  <c r="AH74" i="33"/>
  <c r="AH73" i="33"/>
  <c r="AH103" i="33"/>
  <c r="AH109" i="33"/>
  <c r="AH108" i="33"/>
  <c r="AH124" i="33"/>
  <c r="AH123" i="33"/>
  <c r="AH137" i="33"/>
  <c r="AH19" i="33"/>
  <c r="AH239" i="33"/>
  <c r="AB76" i="33"/>
  <c r="AB68" i="33"/>
  <c r="AB77" i="33"/>
  <c r="AH77" i="33"/>
  <c r="AH76" i="33"/>
  <c r="AH112" i="33"/>
  <c r="AH111" i="33"/>
  <c r="AH127" i="33"/>
  <c r="AH126" i="33"/>
  <c r="AH139" i="33"/>
  <c r="AH21" i="33"/>
  <c r="AB69" i="33"/>
  <c r="AB70" i="33"/>
  <c r="AH70" i="33"/>
  <c r="AH69" i="33"/>
  <c r="AH105" i="33"/>
  <c r="AH104" i="33"/>
  <c r="AH122" i="33"/>
  <c r="AH121" i="33"/>
  <c r="AH136" i="33"/>
  <c r="AH17" i="33"/>
  <c r="AH140" i="33"/>
  <c r="AH22" i="33"/>
  <c r="AH115" i="33"/>
  <c r="AH130" i="33"/>
  <c r="AH24" i="33"/>
  <c r="AH155" i="33"/>
  <c r="AH30" i="33"/>
  <c r="AH220" i="33"/>
  <c r="AH221" i="33"/>
  <c r="AH205" i="33"/>
  <c r="AH206" i="33"/>
  <c r="AH207" i="33"/>
  <c r="AH208" i="33"/>
  <c r="AH213" i="33"/>
  <c r="AH214" i="33"/>
  <c r="AH215" i="33"/>
  <c r="AH235" i="33"/>
  <c r="AH194" i="33"/>
  <c r="AH196" i="33"/>
  <c r="AH199" i="33"/>
  <c r="AH200" i="33"/>
  <c r="AH294" i="33"/>
  <c r="AH238" i="33"/>
  <c r="AH197" i="33"/>
  <c r="AH246" i="33"/>
  <c r="AH247" i="33"/>
  <c r="AH248" i="33"/>
  <c r="AH249" i="33"/>
  <c r="AH191" i="33"/>
  <c r="AH255" i="33"/>
  <c r="AH257" i="33"/>
  <c r="AH258" i="33"/>
  <c r="AI43" i="33"/>
  <c r="AI160" i="33"/>
  <c r="AI162" i="33"/>
  <c r="AI164" i="33"/>
  <c r="AI38" i="33"/>
  <c r="AI271" i="33"/>
  <c r="AI49" i="33"/>
  <c r="AI48" i="33"/>
  <c r="AI50" i="33"/>
  <c r="AI51" i="33"/>
  <c r="AI55" i="33"/>
  <c r="AI56" i="33"/>
  <c r="AI86" i="33"/>
  <c r="AD84" i="33"/>
  <c r="AD83" i="33"/>
  <c r="AI85" i="33"/>
  <c r="AI90" i="33"/>
  <c r="AI91" i="33"/>
  <c r="AI13" i="33"/>
  <c r="AI60" i="33"/>
  <c r="AI59" i="33"/>
  <c r="AI61" i="33"/>
  <c r="AI62" i="33"/>
  <c r="AI63" i="33"/>
  <c r="AI95" i="33"/>
  <c r="AI94" i="33"/>
  <c r="AI96" i="33"/>
  <c r="AI97" i="33"/>
  <c r="AI98" i="33"/>
  <c r="AI14" i="33"/>
  <c r="AI64" i="33"/>
  <c r="AI99" i="33"/>
  <c r="AI119" i="33"/>
  <c r="AI135" i="33"/>
  <c r="AI134" i="33"/>
  <c r="AI15" i="33"/>
  <c r="AI209" i="33"/>
  <c r="AI212" i="33"/>
  <c r="AI267" i="33"/>
  <c r="AI272" i="33"/>
  <c r="AI72" i="33"/>
  <c r="AI71" i="33"/>
  <c r="AI107" i="33"/>
  <c r="AI106" i="33"/>
  <c r="AI18" i="33"/>
  <c r="AI68" i="33"/>
  <c r="AI74" i="33"/>
  <c r="AI73" i="33"/>
  <c r="AI103" i="33"/>
  <c r="AI109" i="33"/>
  <c r="AI108" i="33"/>
  <c r="AI124" i="33"/>
  <c r="AI123" i="33"/>
  <c r="AI137" i="33"/>
  <c r="AI19" i="33"/>
  <c r="AI239" i="33"/>
  <c r="AI77" i="33"/>
  <c r="AI76" i="33"/>
  <c r="AI112" i="33"/>
  <c r="AI111" i="33"/>
  <c r="AI127" i="33"/>
  <c r="AI126" i="33"/>
  <c r="AI139" i="33"/>
  <c r="AI21" i="33"/>
  <c r="AI70" i="33"/>
  <c r="AI69" i="33"/>
  <c r="AI105" i="33"/>
  <c r="AI104" i="33"/>
  <c r="AI122" i="33"/>
  <c r="AI121" i="33"/>
  <c r="AI136" i="33"/>
  <c r="AI17" i="33"/>
  <c r="AI140" i="33"/>
  <c r="AI22" i="33"/>
  <c r="AI115" i="33"/>
  <c r="AI130" i="33"/>
  <c r="AI24" i="33"/>
  <c r="AI155" i="33"/>
  <c r="AI30" i="33"/>
  <c r="AI220" i="33"/>
  <c r="AI221" i="33"/>
  <c r="AI205" i="33"/>
  <c r="AI206" i="33"/>
  <c r="AI207" i="33"/>
  <c r="AI208" i="33"/>
  <c r="AI213" i="33"/>
  <c r="AI214" i="33"/>
  <c r="AI215" i="33"/>
  <c r="AI235" i="33"/>
  <c r="AI194" i="33"/>
  <c r="AI196" i="33"/>
  <c r="AI199" i="33"/>
  <c r="AI200" i="33"/>
  <c r="AI294" i="33"/>
  <c r="AI238" i="33"/>
  <c r="AI197" i="33"/>
  <c r="AI246" i="33"/>
  <c r="AI247" i="33"/>
  <c r="AI248" i="33"/>
  <c r="AI249" i="33"/>
  <c r="AI191" i="33"/>
  <c r="AI255" i="33"/>
  <c r="AI257" i="33"/>
  <c r="AI258" i="33"/>
  <c r="AJ43" i="33"/>
  <c r="AJ160" i="33"/>
  <c r="AJ162" i="33"/>
  <c r="AJ164" i="33"/>
  <c r="AJ38" i="33"/>
  <c r="AJ271" i="33"/>
  <c r="AJ49" i="33"/>
  <c r="AJ48" i="33"/>
  <c r="AJ50" i="33"/>
  <c r="AJ51" i="33"/>
  <c r="AJ55" i="33"/>
  <c r="AJ56" i="33"/>
  <c r="AJ86" i="33"/>
  <c r="AE84" i="33"/>
  <c r="AE83" i="33"/>
  <c r="AJ85" i="33"/>
  <c r="AJ90" i="33"/>
  <c r="AJ91" i="33"/>
  <c r="AJ13" i="33"/>
  <c r="AJ60" i="33"/>
  <c r="AJ59" i="33"/>
  <c r="AJ61" i="33"/>
  <c r="AJ62" i="33"/>
  <c r="AJ63" i="33"/>
  <c r="AJ95" i="33"/>
  <c r="AJ94" i="33"/>
  <c r="AJ96" i="33"/>
  <c r="AJ97" i="33"/>
  <c r="AJ98" i="33"/>
  <c r="AJ14" i="33"/>
  <c r="AJ64" i="33"/>
  <c r="AJ99" i="33"/>
  <c r="AJ119" i="33"/>
  <c r="AJ135" i="33"/>
  <c r="AJ134" i="33"/>
  <c r="AJ15" i="33"/>
  <c r="AJ209" i="33"/>
  <c r="AJ212" i="33"/>
  <c r="AJ267" i="33"/>
  <c r="AJ272" i="33"/>
  <c r="AJ72" i="33"/>
  <c r="AJ71" i="33"/>
  <c r="AJ107" i="33"/>
  <c r="AJ106" i="33"/>
  <c r="AJ18" i="33"/>
  <c r="AJ68" i="33"/>
  <c r="AJ74" i="33"/>
  <c r="AJ73" i="33"/>
  <c r="AJ103" i="33"/>
  <c r="AJ109" i="33"/>
  <c r="AJ108" i="33"/>
  <c r="AJ124" i="33"/>
  <c r="AJ123" i="33"/>
  <c r="AJ137" i="33"/>
  <c r="AJ19" i="33"/>
  <c r="AJ239" i="33"/>
  <c r="AJ77" i="33"/>
  <c r="AJ76" i="33"/>
  <c r="AJ112" i="33"/>
  <c r="AJ111" i="33"/>
  <c r="AJ127" i="33"/>
  <c r="AJ126" i="33"/>
  <c r="AJ139" i="33"/>
  <c r="AJ21" i="33"/>
  <c r="AJ70" i="33"/>
  <c r="AJ69" i="33"/>
  <c r="AJ105" i="33"/>
  <c r="AJ104" i="33"/>
  <c r="AJ122" i="33"/>
  <c r="AJ121" i="33"/>
  <c r="AJ136" i="33"/>
  <c r="AJ17" i="33"/>
  <c r="AJ140" i="33"/>
  <c r="AJ22" i="33"/>
  <c r="AJ115" i="33"/>
  <c r="AJ130" i="33"/>
  <c r="AJ24" i="33"/>
  <c r="AJ155" i="33"/>
  <c r="AJ30" i="33"/>
  <c r="AJ220" i="33"/>
  <c r="AJ221" i="33"/>
  <c r="AJ205" i="33"/>
  <c r="AJ206" i="33"/>
  <c r="AJ207" i="33"/>
  <c r="AJ208" i="33"/>
  <c r="AJ213" i="33"/>
  <c r="AJ214" i="33"/>
  <c r="AJ215" i="33"/>
  <c r="AJ235" i="33"/>
  <c r="AJ194" i="33"/>
  <c r="AJ196" i="33"/>
  <c r="AJ199" i="33"/>
  <c r="AJ200" i="33"/>
  <c r="AJ294" i="33"/>
  <c r="AJ238" i="33"/>
  <c r="AJ197" i="33"/>
  <c r="AJ246" i="33"/>
  <c r="AJ247" i="33"/>
  <c r="AJ248" i="33"/>
  <c r="AJ249" i="33"/>
  <c r="AJ191" i="33"/>
  <c r="AJ255" i="33"/>
  <c r="AJ257" i="33"/>
  <c r="AJ258" i="33"/>
  <c r="AK43" i="33"/>
  <c r="AK160" i="33"/>
  <c r="AK162" i="33"/>
  <c r="AK164" i="33"/>
  <c r="AK38" i="33"/>
  <c r="AK271" i="33"/>
  <c r="AK49" i="33"/>
  <c r="AK48" i="33"/>
  <c r="AK50" i="33"/>
  <c r="AK51" i="33"/>
  <c r="AK55" i="33"/>
  <c r="AK56" i="33"/>
  <c r="AK86" i="33"/>
  <c r="AF84" i="33"/>
  <c r="AF83" i="33"/>
  <c r="AK85" i="33"/>
  <c r="AK90" i="33"/>
  <c r="AK91" i="33"/>
  <c r="AK13" i="33"/>
  <c r="AK60" i="33"/>
  <c r="AK59" i="33"/>
  <c r="AK61" i="33"/>
  <c r="AK62" i="33"/>
  <c r="AK63" i="33"/>
  <c r="AK95" i="33"/>
  <c r="AK94" i="33"/>
  <c r="AK96" i="33"/>
  <c r="AK97" i="33"/>
  <c r="AK98" i="33"/>
  <c r="AK14" i="33"/>
  <c r="AK64" i="33"/>
  <c r="AK99" i="33"/>
  <c r="AK119" i="33"/>
  <c r="AK135" i="33"/>
  <c r="AK134" i="33"/>
  <c r="AK15" i="33"/>
  <c r="AK209" i="33"/>
  <c r="AK212" i="33"/>
  <c r="AK267" i="33"/>
  <c r="AK272" i="33"/>
  <c r="AK72" i="33"/>
  <c r="AK71" i="33"/>
  <c r="AK107" i="33"/>
  <c r="AK106" i="33"/>
  <c r="AK18" i="33"/>
  <c r="AK68" i="33"/>
  <c r="AK74" i="33"/>
  <c r="AK73" i="33"/>
  <c r="AK103" i="33"/>
  <c r="AK109" i="33"/>
  <c r="AK108" i="33"/>
  <c r="AK124" i="33"/>
  <c r="AK123" i="33"/>
  <c r="AK137" i="33"/>
  <c r="AK19" i="33"/>
  <c r="AK239" i="33"/>
  <c r="AK77" i="33"/>
  <c r="AK76" i="33"/>
  <c r="AK112" i="33"/>
  <c r="AK111" i="33"/>
  <c r="AK127" i="33"/>
  <c r="AK126" i="33"/>
  <c r="AK139" i="33"/>
  <c r="AK21" i="33"/>
  <c r="AK70" i="33"/>
  <c r="AK69" i="33"/>
  <c r="AK105" i="33"/>
  <c r="AK104" i="33"/>
  <c r="AK122" i="33"/>
  <c r="AK121" i="33"/>
  <c r="AK136" i="33"/>
  <c r="AK17" i="33"/>
  <c r="AK140" i="33"/>
  <c r="AK22" i="33"/>
  <c r="AK115" i="33"/>
  <c r="AK130" i="33"/>
  <c r="AK24" i="33"/>
  <c r="AK155" i="33"/>
  <c r="AK30" i="33"/>
  <c r="AK220" i="33"/>
  <c r="AK221" i="33"/>
  <c r="AK205" i="33"/>
  <c r="AK206" i="33"/>
  <c r="AK207" i="33"/>
  <c r="AK208" i="33"/>
  <c r="AK213" i="33"/>
  <c r="AK214" i="33"/>
  <c r="AK215" i="33"/>
  <c r="AK235" i="33"/>
  <c r="AK194" i="33"/>
  <c r="AK196" i="33"/>
  <c r="AK199" i="33"/>
  <c r="AK200" i="33"/>
  <c r="AK294" i="33"/>
  <c r="AK228" i="33"/>
  <c r="AK230" i="33"/>
  <c r="AK238" i="33"/>
  <c r="AK197" i="33"/>
  <c r="AK246" i="33"/>
  <c r="AK247" i="33"/>
  <c r="AK248" i="33"/>
  <c r="AK249" i="33"/>
  <c r="AK191" i="33"/>
  <c r="AK255" i="33"/>
  <c r="AK257" i="33"/>
  <c r="AK258" i="33"/>
  <c r="AL271" i="33"/>
  <c r="AL267" i="33"/>
  <c r="AL268" i="33"/>
  <c r="AL269" i="33"/>
  <c r="AL270" i="33"/>
  <c r="AL272" i="33"/>
  <c r="AL274" i="33"/>
  <c r="AL24" i="33"/>
  <c r="AL30" i="33"/>
  <c r="AL28" i="33"/>
  <c r="AL246" i="33"/>
  <c r="AL247" i="33"/>
  <c r="AL248" i="33"/>
  <c r="AL249" i="33"/>
  <c r="AL251" i="33"/>
  <c r="AL255" i="33"/>
  <c r="AL257" i="33"/>
  <c r="AL258" i="33"/>
  <c r="AL276" i="33"/>
  <c r="AM43" i="33"/>
  <c r="AM160" i="33"/>
  <c r="AM162" i="33"/>
  <c r="AM164" i="33"/>
  <c r="AM38" i="33"/>
  <c r="AM271" i="33"/>
  <c r="AM49" i="33"/>
  <c r="AM48" i="33"/>
  <c r="AM50" i="33"/>
  <c r="AM51" i="33"/>
  <c r="AM55" i="33"/>
  <c r="AM56" i="33"/>
  <c r="AM86" i="33"/>
  <c r="AH84" i="33"/>
  <c r="AH83" i="33"/>
  <c r="AM85" i="33"/>
  <c r="AM90" i="33"/>
  <c r="AM91" i="33"/>
  <c r="AM13" i="33"/>
  <c r="AM60" i="33"/>
  <c r="AM59" i="33"/>
  <c r="AM61" i="33"/>
  <c r="AM62" i="33"/>
  <c r="AM63" i="33"/>
  <c r="AM95" i="33"/>
  <c r="AM94" i="33"/>
  <c r="AM96" i="33"/>
  <c r="AM97" i="33"/>
  <c r="AM98" i="33"/>
  <c r="AM14" i="33"/>
  <c r="AM64" i="33"/>
  <c r="AM99" i="33"/>
  <c r="AM119" i="33"/>
  <c r="AM135" i="33"/>
  <c r="AM134" i="33"/>
  <c r="AM15" i="33"/>
  <c r="AM209" i="33"/>
  <c r="AM212" i="33"/>
  <c r="AM267" i="33"/>
  <c r="AM272" i="33"/>
  <c r="AM72" i="33"/>
  <c r="AM71" i="33"/>
  <c r="AM107" i="33"/>
  <c r="AM106" i="33"/>
  <c r="AM18" i="33"/>
  <c r="AM68" i="33"/>
  <c r="AM74" i="33"/>
  <c r="AM73" i="33"/>
  <c r="AM103" i="33"/>
  <c r="AM109" i="33"/>
  <c r="AM108" i="33"/>
  <c r="AM124" i="33"/>
  <c r="AM123" i="33"/>
  <c r="AM137" i="33"/>
  <c r="AM19" i="33"/>
  <c r="AM239" i="33"/>
  <c r="AG76" i="33"/>
  <c r="AG68" i="33"/>
  <c r="AG77" i="33"/>
  <c r="AM77" i="33"/>
  <c r="AM76" i="33"/>
  <c r="AM112" i="33"/>
  <c r="AM111" i="33"/>
  <c r="AM127" i="33"/>
  <c r="AM126" i="33"/>
  <c r="AM139" i="33"/>
  <c r="AM21" i="33"/>
  <c r="AG69" i="33"/>
  <c r="AG70" i="33"/>
  <c r="AM70" i="33"/>
  <c r="AM69" i="33"/>
  <c r="AM105" i="33"/>
  <c r="AM104" i="33"/>
  <c r="AM122" i="33"/>
  <c r="AM121" i="33"/>
  <c r="AM136" i="33"/>
  <c r="AM17" i="33"/>
  <c r="AM140" i="33"/>
  <c r="AM22" i="33"/>
  <c r="AM115" i="33"/>
  <c r="AM130" i="33"/>
  <c r="AM24" i="33"/>
  <c r="AM155" i="33"/>
  <c r="AM30" i="33"/>
  <c r="AM220" i="33"/>
  <c r="AM221" i="33"/>
  <c r="AM205" i="33"/>
  <c r="AM206" i="33"/>
  <c r="AM207" i="33"/>
  <c r="AM208" i="33"/>
  <c r="AM213" i="33"/>
  <c r="AM214" i="33"/>
  <c r="AM215" i="33"/>
  <c r="AM235" i="33"/>
  <c r="AM194" i="33"/>
  <c r="AM196" i="33"/>
  <c r="AM199" i="33"/>
  <c r="AM200" i="33"/>
  <c r="AM294" i="33"/>
  <c r="AM238" i="33"/>
  <c r="AM197" i="33"/>
  <c r="AM246" i="33"/>
  <c r="AM247" i="33"/>
  <c r="AM248" i="33"/>
  <c r="AM249" i="33"/>
  <c r="AM191" i="33"/>
  <c r="AM255" i="33"/>
  <c r="AM257" i="33"/>
  <c r="AM258" i="33"/>
  <c r="AN43" i="33"/>
  <c r="AN160" i="33"/>
  <c r="AN162" i="33"/>
  <c r="AN164" i="33"/>
  <c r="AN38" i="33"/>
  <c r="AN271" i="33"/>
  <c r="AN49" i="33"/>
  <c r="AN48" i="33"/>
  <c r="AN50" i="33"/>
  <c r="AN51" i="33"/>
  <c r="AN55" i="33"/>
  <c r="AN56" i="33"/>
  <c r="AN86" i="33"/>
  <c r="AI84" i="33"/>
  <c r="AI83" i="33"/>
  <c r="AN85" i="33"/>
  <c r="AN90" i="33"/>
  <c r="AN91" i="33"/>
  <c r="AN13" i="33"/>
  <c r="AN60" i="33"/>
  <c r="AN59" i="33"/>
  <c r="AN61" i="33"/>
  <c r="AN62" i="33"/>
  <c r="AN63" i="33"/>
  <c r="AN95" i="33"/>
  <c r="AN94" i="33"/>
  <c r="AN96" i="33"/>
  <c r="AN97" i="33"/>
  <c r="AN98" i="33"/>
  <c r="AN14" i="33"/>
  <c r="AN64" i="33"/>
  <c r="AN99" i="33"/>
  <c r="AN119" i="33"/>
  <c r="AN135" i="33"/>
  <c r="AN134" i="33"/>
  <c r="AN15" i="33"/>
  <c r="AN209" i="33"/>
  <c r="AN212" i="33"/>
  <c r="AN267" i="33"/>
  <c r="AN272" i="33"/>
  <c r="AN72" i="33"/>
  <c r="AN71" i="33"/>
  <c r="AN107" i="33"/>
  <c r="AN106" i="33"/>
  <c r="AN18" i="33"/>
  <c r="AN68" i="33"/>
  <c r="AN74" i="33"/>
  <c r="AN73" i="33"/>
  <c r="AN103" i="33"/>
  <c r="AN109" i="33"/>
  <c r="AN108" i="33"/>
  <c r="AN124" i="33"/>
  <c r="AN123" i="33"/>
  <c r="AN137" i="33"/>
  <c r="AN19" i="33"/>
  <c r="AN239" i="33"/>
  <c r="AN77" i="33"/>
  <c r="AN76" i="33"/>
  <c r="AN112" i="33"/>
  <c r="AN111" i="33"/>
  <c r="AN127" i="33"/>
  <c r="AN126" i="33"/>
  <c r="AN139" i="33"/>
  <c r="AN21" i="33"/>
  <c r="AN70" i="33"/>
  <c r="AN69" i="33"/>
  <c r="AN105" i="33"/>
  <c r="AN104" i="33"/>
  <c r="AN122" i="33"/>
  <c r="AN121" i="33"/>
  <c r="AN136" i="33"/>
  <c r="AN17" i="33"/>
  <c r="AN140" i="33"/>
  <c r="AN22" i="33"/>
  <c r="AN115" i="33"/>
  <c r="AN130" i="33"/>
  <c r="AN24" i="33"/>
  <c r="AN155" i="33"/>
  <c r="AN30" i="33"/>
  <c r="AN220" i="33"/>
  <c r="AN221" i="33"/>
  <c r="AN205" i="33"/>
  <c r="AN206" i="33"/>
  <c r="AN207" i="33"/>
  <c r="AN208" i="33"/>
  <c r="AN213" i="33"/>
  <c r="AN214" i="33"/>
  <c r="AN215" i="33"/>
  <c r="AN235" i="33"/>
  <c r="AN194" i="33"/>
  <c r="AN196" i="33"/>
  <c r="AN199" i="33"/>
  <c r="AN200" i="33"/>
  <c r="AN294" i="33"/>
  <c r="AN238" i="33"/>
  <c r="AN197" i="33"/>
  <c r="AN246" i="33"/>
  <c r="AN247" i="33"/>
  <c r="AN248" i="33"/>
  <c r="AN249" i="33"/>
  <c r="AN191" i="33"/>
  <c r="AN255" i="33"/>
  <c r="AN257" i="33"/>
  <c r="AN258" i="33"/>
  <c r="AO43" i="33"/>
  <c r="AO160" i="33"/>
  <c r="AO162" i="33"/>
  <c r="AO164" i="33"/>
  <c r="AO38" i="33"/>
  <c r="AO271" i="33"/>
  <c r="AO49" i="33"/>
  <c r="AO48" i="33"/>
  <c r="AO50" i="33"/>
  <c r="AO51" i="33"/>
  <c r="AO55" i="33"/>
  <c r="AO56" i="33"/>
  <c r="AO86" i="33"/>
  <c r="AJ84" i="33"/>
  <c r="AJ83" i="33"/>
  <c r="AO85" i="33"/>
  <c r="AO90" i="33"/>
  <c r="AO91" i="33"/>
  <c r="AO13" i="33"/>
  <c r="AO60" i="33"/>
  <c r="AO59" i="33"/>
  <c r="AO61" i="33"/>
  <c r="AO62" i="33"/>
  <c r="AO63" i="33"/>
  <c r="AO95" i="33"/>
  <c r="AO94" i="33"/>
  <c r="AO96" i="33"/>
  <c r="AO97" i="33"/>
  <c r="AO98" i="33"/>
  <c r="AO14" i="33"/>
  <c r="AO64" i="33"/>
  <c r="AO99" i="33"/>
  <c r="AO119" i="33"/>
  <c r="AO135" i="33"/>
  <c r="AO134" i="33"/>
  <c r="AO15" i="33"/>
  <c r="AO209" i="33"/>
  <c r="AO212" i="33"/>
  <c r="AO267" i="33"/>
  <c r="AO272" i="33"/>
  <c r="AO72" i="33"/>
  <c r="AO71" i="33"/>
  <c r="AO107" i="33"/>
  <c r="AO106" i="33"/>
  <c r="AO18" i="33"/>
  <c r="AO68" i="33"/>
  <c r="AO74" i="33"/>
  <c r="AO73" i="33"/>
  <c r="AO103" i="33"/>
  <c r="AO109" i="33"/>
  <c r="AO108" i="33"/>
  <c r="AO124" i="33"/>
  <c r="AO123" i="33"/>
  <c r="AO137" i="33"/>
  <c r="AO19" i="33"/>
  <c r="AO239" i="33"/>
  <c r="AO77" i="33"/>
  <c r="AO76" i="33"/>
  <c r="AO112" i="33"/>
  <c r="AO111" i="33"/>
  <c r="AO127" i="33"/>
  <c r="AO126" i="33"/>
  <c r="AO139" i="33"/>
  <c r="AO21" i="33"/>
  <c r="AO70" i="33"/>
  <c r="AO69" i="33"/>
  <c r="AO105" i="33"/>
  <c r="AO104" i="33"/>
  <c r="AO122" i="33"/>
  <c r="AO121" i="33"/>
  <c r="AO136" i="33"/>
  <c r="AO17" i="33"/>
  <c r="AO140" i="33"/>
  <c r="AO22" i="33"/>
  <c r="AO115" i="33"/>
  <c r="AO130" i="33"/>
  <c r="AO24" i="33"/>
  <c r="AO155" i="33"/>
  <c r="AO30" i="33"/>
  <c r="AO220" i="33"/>
  <c r="AO221" i="33"/>
  <c r="AO205" i="33"/>
  <c r="AO206" i="33"/>
  <c r="AO207" i="33"/>
  <c r="AO208" i="33"/>
  <c r="AO213" i="33"/>
  <c r="AO214" i="33"/>
  <c r="AO215" i="33"/>
  <c r="AO235" i="33"/>
  <c r="AO194" i="33"/>
  <c r="AO196" i="33"/>
  <c r="AO199" i="33"/>
  <c r="AO200" i="33"/>
  <c r="AO294" i="33"/>
  <c r="AO238" i="33"/>
  <c r="AO197" i="33"/>
  <c r="AO246" i="33"/>
  <c r="AO247" i="33"/>
  <c r="AO248" i="33"/>
  <c r="AO249" i="33"/>
  <c r="AO191" i="33"/>
  <c r="AO255" i="33"/>
  <c r="AO257" i="33"/>
  <c r="AO258" i="33"/>
  <c r="AP49" i="33"/>
  <c r="AP48" i="33"/>
  <c r="AP50" i="33"/>
  <c r="AP51" i="33"/>
  <c r="AP55" i="33"/>
  <c r="AP56" i="33"/>
  <c r="AP86" i="33"/>
  <c r="AK84" i="33"/>
  <c r="AK83" i="33"/>
  <c r="AP85" i="33"/>
  <c r="AP90" i="33"/>
  <c r="AP91" i="33"/>
  <c r="AP13" i="33"/>
  <c r="AP60" i="33"/>
  <c r="AP59" i="33"/>
  <c r="AP61" i="33"/>
  <c r="AP62" i="33"/>
  <c r="AP63" i="33"/>
  <c r="AP95" i="33"/>
  <c r="AP94" i="33"/>
  <c r="AP96" i="33"/>
  <c r="AP97" i="33"/>
  <c r="AP98" i="33"/>
  <c r="AP14" i="33"/>
  <c r="AP64" i="33"/>
  <c r="AP99" i="33"/>
  <c r="AP119" i="33"/>
  <c r="AP135" i="33"/>
  <c r="AP134" i="33"/>
  <c r="AP15" i="33"/>
  <c r="AP72" i="33"/>
  <c r="AP71" i="33"/>
  <c r="AP107" i="33"/>
  <c r="AP106" i="33"/>
  <c r="AP18" i="33"/>
  <c r="AP68" i="33"/>
  <c r="AP74" i="33"/>
  <c r="AP73" i="33"/>
  <c r="AP103" i="33"/>
  <c r="AP109" i="33"/>
  <c r="AP108" i="33"/>
  <c r="AP124" i="33"/>
  <c r="AP123" i="33"/>
  <c r="AP137" i="33"/>
  <c r="AP19" i="33"/>
  <c r="AP239" i="33"/>
  <c r="AP77" i="33"/>
  <c r="AP76" i="33"/>
  <c r="AP112" i="33"/>
  <c r="AP111" i="33"/>
  <c r="AP127" i="33"/>
  <c r="AP126" i="33"/>
  <c r="AP139" i="33"/>
  <c r="AP21" i="33"/>
  <c r="AP70" i="33"/>
  <c r="AP69" i="33"/>
  <c r="AP105" i="33"/>
  <c r="AP104" i="33"/>
  <c r="AP122" i="33"/>
  <c r="AP121" i="33"/>
  <c r="AP136" i="33"/>
  <c r="AP17" i="33"/>
  <c r="AP140" i="33"/>
  <c r="AP22" i="33"/>
  <c r="AP115" i="33"/>
  <c r="AP130" i="33"/>
  <c r="AP24" i="33"/>
  <c r="AQ24" i="33"/>
  <c r="AP155" i="33"/>
  <c r="AP30" i="33"/>
  <c r="AQ30" i="33"/>
  <c r="AQ28" i="33"/>
  <c r="AP228" i="33"/>
  <c r="AP230" i="33"/>
  <c r="AP214" i="33"/>
  <c r="AP215" i="33"/>
  <c r="AP207" i="33"/>
  <c r="AP205" i="33"/>
  <c r="AP238" i="33"/>
  <c r="AP208" i="33"/>
  <c r="AP197" i="33"/>
  <c r="AP246" i="33"/>
  <c r="AQ246" i="33"/>
  <c r="AP247" i="33"/>
  <c r="AQ247" i="33"/>
  <c r="AP248" i="33"/>
  <c r="AQ248" i="33"/>
  <c r="AP249" i="33"/>
  <c r="AQ249" i="33"/>
  <c r="AQ251" i="33"/>
  <c r="AP191" i="33"/>
  <c r="AP255" i="33"/>
  <c r="AQ255" i="33"/>
  <c r="AP257" i="33"/>
  <c r="AQ257" i="33"/>
  <c r="AP206" i="33"/>
  <c r="AP258" i="33"/>
  <c r="AQ258" i="33"/>
  <c r="AP209" i="33"/>
  <c r="AQ209" i="33"/>
  <c r="AP212" i="33"/>
  <c r="AQ212" i="33"/>
  <c r="AB281" i="33"/>
  <c r="AG281" i="33"/>
  <c r="AL281" i="33"/>
  <c r="AP294" i="33"/>
  <c r="AQ281" i="33"/>
  <c r="I177" i="33"/>
  <c r="J177" i="33"/>
  <c r="L177" i="33"/>
  <c r="N177" i="33"/>
  <c r="O177" i="33"/>
  <c r="P177" i="33"/>
  <c r="Q172" i="33"/>
  <c r="Q173" i="33"/>
  <c r="Q174" i="33"/>
  <c r="Q177" i="33"/>
  <c r="Q34" i="33"/>
  <c r="S34" i="33"/>
  <c r="S182" i="33"/>
  <c r="P161" i="33"/>
  <c r="Q161" i="33"/>
  <c r="Q39" i="33"/>
  <c r="S161" i="33"/>
  <c r="S39" i="33"/>
  <c r="T34" i="33"/>
  <c r="T182" i="33"/>
  <c r="T161" i="33"/>
  <c r="T39" i="33"/>
  <c r="U34" i="33"/>
  <c r="U182" i="33"/>
  <c r="U161" i="33"/>
  <c r="U39" i="33"/>
  <c r="Q179" i="33"/>
  <c r="Q26" i="33"/>
  <c r="Q181" i="33"/>
  <c r="Q36" i="33"/>
  <c r="E232" i="33"/>
  <c r="F232" i="33"/>
  <c r="D232" i="33"/>
  <c r="AB209" i="33"/>
  <c r="AB212" i="33"/>
  <c r="AB297" i="33"/>
  <c r="P285" i="33"/>
  <c r="V161" i="33"/>
  <c r="R209" i="33"/>
  <c r="R212" i="33"/>
  <c r="R295" i="33"/>
  <c r="M209" i="33"/>
  <c r="M212" i="33"/>
  <c r="M295" i="33"/>
  <c r="H209" i="33"/>
  <c r="H212" i="33"/>
  <c r="H295" i="33"/>
  <c r="L43" i="33"/>
  <c r="M43" i="33"/>
  <c r="M34" i="33"/>
  <c r="M35" i="33"/>
  <c r="I35" i="33"/>
  <c r="J35" i="33"/>
  <c r="K35" i="33"/>
  <c r="L25" i="33"/>
  <c r="L31" i="33"/>
  <c r="L33" i="33"/>
  <c r="L35" i="33"/>
  <c r="M39" i="33"/>
  <c r="M41" i="33"/>
  <c r="M44" i="33"/>
  <c r="H43" i="33"/>
  <c r="H35" i="33"/>
  <c r="H41" i="33"/>
  <c r="H44" i="33"/>
  <c r="AQ49" i="33"/>
  <c r="AQ60" i="33"/>
  <c r="AQ67" i="33"/>
  <c r="AH66" i="33"/>
  <c r="AI66" i="33"/>
  <c r="AJ66" i="33"/>
  <c r="AK66" i="33"/>
  <c r="AQ95" i="33"/>
  <c r="AM84" i="33"/>
  <c r="AN84" i="33"/>
  <c r="AO84" i="33"/>
  <c r="AP84" i="33"/>
  <c r="AQ84" i="33"/>
  <c r="AQ102" i="33"/>
  <c r="AH101" i="33"/>
  <c r="AI101" i="33"/>
  <c r="AJ101" i="33"/>
  <c r="AK101" i="33"/>
  <c r="AQ183" i="33"/>
  <c r="AL49" i="33"/>
  <c r="AL60" i="33"/>
  <c r="AL67" i="33"/>
  <c r="AC66" i="33"/>
  <c r="AD66" i="33"/>
  <c r="AE66" i="33"/>
  <c r="AF66" i="33"/>
  <c r="AL95" i="33"/>
  <c r="AL84" i="33"/>
  <c r="AL102" i="33"/>
  <c r="AC101" i="33"/>
  <c r="AD101" i="33"/>
  <c r="AE101" i="33"/>
  <c r="AF101" i="33"/>
  <c r="AL183" i="33"/>
  <c r="AG49" i="33"/>
  <c r="AG60" i="33"/>
  <c r="AG67" i="33"/>
  <c r="X66" i="33"/>
  <c r="Y66" i="33"/>
  <c r="Z66" i="33"/>
  <c r="AA66" i="33"/>
  <c r="AG95" i="33"/>
  <c r="AG84" i="33"/>
  <c r="AG102" i="33"/>
  <c r="X101" i="33"/>
  <c r="Y101" i="33"/>
  <c r="Z101" i="33"/>
  <c r="AA101" i="33"/>
  <c r="AG183" i="33"/>
  <c r="W95" i="33"/>
  <c r="W84" i="33"/>
  <c r="W102" i="33"/>
  <c r="N101" i="33"/>
  <c r="O101" i="33"/>
  <c r="P101" i="33"/>
  <c r="Q101" i="33"/>
  <c r="W101" i="33"/>
  <c r="W49" i="33"/>
  <c r="W60" i="33"/>
  <c r="W67" i="33"/>
  <c r="Q66" i="33"/>
  <c r="N66" i="33"/>
  <c r="O66" i="33"/>
  <c r="P66" i="33"/>
  <c r="W66" i="33"/>
  <c r="AQ276" i="33"/>
  <c r="AQ274" i="33"/>
  <c r="AP272" i="33"/>
  <c r="AQ272" i="33"/>
  <c r="AQ270" i="33"/>
  <c r="AQ269" i="33"/>
  <c r="AQ268" i="33"/>
  <c r="AP227" i="33"/>
  <c r="AP231" i="33"/>
  <c r="AO227" i="33"/>
  <c r="AO231" i="33"/>
  <c r="AN227" i="33"/>
  <c r="AN231" i="33"/>
  <c r="AM227" i="33"/>
  <c r="AM231" i="33"/>
  <c r="AP221" i="33"/>
  <c r="AQ221" i="33"/>
  <c r="AP220" i="33"/>
  <c r="AQ220" i="33"/>
  <c r="AQ215" i="33"/>
  <c r="AQ214" i="33"/>
  <c r="AP213" i="33"/>
  <c r="AQ213" i="33"/>
  <c r="AN285" i="33"/>
  <c r="AQ210" i="33"/>
  <c r="AN237" i="33"/>
  <c r="AM285" i="33"/>
  <c r="AQ207" i="33"/>
  <c r="AQ205" i="33"/>
  <c r="AP200" i="33"/>
  <c r="AQ200" i="33"/>
  <c r="AP199" i="33"/>
  <c r="AQ199" i="33"/>
  <c r="AP196" i="33"/>
  <c r="AQ196" i="33"/>
  <c r="AP194" i="33"/>
  <c r="V182" i="33"/>
  <c r="X182" i="33"/>
  <c r="Y182" i="33"/>
  <c r="Z182" i="33"/>
  <c r="AA182" i="33"/>
  <c r="AC182" i="33"/>
  <c r="AD182" i="33"/>
  <c r="AE182" i="33"/>
  <c r="AF182" i="33"/>
  <c r="AH182" i="33"/>
  <c r="AI182" i="33"/>
  <c r="AJ182" i="33"/>
  <c r="AK182" i="33"/>
  <c r="AM182" i="33"/>
  <c r="AN182" i="33"/>
  <c r="AO182" i="33"/>
  <c r="AP182" i="33"/>
  <c r="AQ163" i="33"/>
  <c r="AQ128" i="33"/>
  <c r="AM147" i="33"/>
  <c r="AQ113" i="33"/>
  <c r="AQ78" i="33"/>
  <c r="V34" i="33"/>
  <c r="X34" i="33"/>
  <c r="Y34" i="33"/>
  <c r="Z34" i="33"/>
  <c r="AA34" i="33"/>
  <c r="AC34" i="33"/>
  <c r="AD34" i="33"/>
  <c r="AE34" i="33"/>
  <c r="AF34" i="33"/>
  <c r="AH34" i="33"/>
  <c r="AI34" i="33"/>
  <c r="AJ34" i="33"/>
  <c r="AK34" i="33"/>
  <c r="AM34" i="33"/>
  <c r="AN34" i="33"/>
  <c r="AO34" i="33"/>
  <c r="AQ139" i="33"/>
  <c r="AP34" i="33"/>
  <c r="AQ34" i="33"/>
  <c r="AM172" i="33"/>
  <c r="AP234" i="33"/>
  <c r="AP235" i="33"/>
  <c r="AQ194" i="33"/>
  <c r="AO285" i="33"/>
  <c r="AM229" i="33"/>
  <c r="AM237" i="33"/>
  <c r="AQ99" i="33"/>
  <c r="AN229" i="33"/>
  <c r="AO229" i="33"/>
  <c r="AO237" i="33"/>
  <c r="AP229" i="33"/>
  <c r="S227" i="33"/>
  <c r="AL209" i="33"/>
  <c r="AL212" i="33"/>
  <c r="AQ155" i="33"/>
  <c r="AQ136" i="33"/>
  <c r="AQ137" i="33"/>
  <c r="AN147" i="33"/>
  <c r="AC172" i="33"/>
  <c r="AC176" i="33"/>
  <c r="AC177" i="33"/>
  <c r="AD172" i="33"/>
  <c r="AD176" i="33"/>
  <c r="AD177" i="33"/>
  <c r="AE172" i="33"/>
  <c r="AE176" i="33"/>
  <c r="AE177" i="33"/>
  <c r="AF172" i="33"/>
  <c r="AF176" i="33"/>
  <c r="AF177" i="33"/>
  <c r="AH172" i="33"/>
  <c r="AH176" i="33"/>
  <c r="AH177" i="33"/>
  <c r="AI172" i="33"/>
  <c r="AI176" i="33"/>
  <c r="AI177" i="33"/>
  <c r="AJ172" i="33"/>
  <c r="AJ176" i="33"/>
  <c r="AJ177" i="33"/>
  <c r="AK172" i="33"/>
  <c r="AK176" i="33"/>
  <c r="AK177" i="33"/>
  <c r="AM176" i="33"/>
  <c r="AM177" i="33"/>
  <c r="AM179" i="33"/>
  <c r="AQ134" i="33"/>
  <c r="K57" i="33"/>
  <c r="P50" i="33"/>
  <c r="O50" i="33"/>
  <c r="P181" i="33"/>
  <c r="O181" i="33"/>
  <c r="P124" i="33"/>
  <c r="P120" i="33"/>
  <c r="O127" i="33"/>
  <c r="O124" i="33"/>
  <c r="O122" i="33"/>
  <c r="O120" i="33"/>
  <c r="P100" i="33"/>
  <c r="O100" i="33"/>
  <c r="P72" i="33"/>
  <c r="O72" i="33"/>
  <c r="P65" i="33"/>
  <c r="O65" i="33"/>
  <c r="O218" i="33"/>
  <c r="P292" i="33"/>
  <c r="O292" i="33"/>
  <c r="Q102" i="33"/>
  <c r="M137" i="33"/>
  <c r="M138" i="33"/>
  <c r="M139" i="33"/>
  <c r="M140" i="33"/>
  <c r="M136" i="33"/>
  <c r="H134" i="33"/>
  <c r="M134" i="33"/>
  <c r="P162" i="33"/>
  <c r="AL128" i="33"/>
  <c r="AG128" i="33"/>
  <c r="AB128" i="33"/>
  <c r="H130" i="33"/>
  <c r="H128" i="33"/>
  <c r="H126" i="33"/>
  <c r="H125" i="33"/>
  <c r="H123" i="33"/>
  <c r="H121" i="33"/>
  <c r="M130" i="33"/>
  <c r="M128" i="33"/>
  <c r="M126" i="33"/>
  <c r="M125" i="33"/>
  <c r="M123" i="33"/>
  <c r="M121" i="33"/>
  <c r="W128" i="33"/>
  <c r="R128" i="33"/>
  <c r="E129" i="33"/>
  <c r="F129" i="33"/>
  <c r="G129" i="33"/>
  <c r="I129" i="33"/>
  <c r="J129" i="33"/>
  <c r="K129" i="33"/>
  <c r="L129" i="33"/>
  <c r="N129" i="33"/>
  <c r="D129" i="33"/>
  <c r="D131" i="33"/>
  <c r="E127" i="33"/>
  <c r="F127" i="33"/>
  <c r="G127" i="33"/>
  <c r="I127" i="33"/>
  <c r="J127" i="33"/>
  <c r="K127" i="33"/>
  <c r="L127" i="33"/>
  <c r="N127" i="33"/>
  <c r="D127" i="33"/>
  <c r="E124" i="33"/>
  <c r="F124" i="33"/>
  <c r="G124" i="33"/>
  <c r="I124" i="33"/>
  <c r="J124" i="33"/>
  <c r="K124" i="33"/>
  <c r="L124" i="33"/>
  <c r="N124" i="33"/>
  <c r="D124" i="33"/>
  <c r="E122" i="33"/>
  <c r="F122" i="33"/>
  <c r="G122" i="33"/>
  <c r="I122" i="33"/>
  <c r="J122" i="33"/>
  <c r="K122" i="33"/>
  <c r="L122" i="33"/>
  <c r="N122" i="33"/>
  <c r="D122" i="33"/>
  <c r="AL113" i="33"/>
  <c r="AG113" i="33"/>
  <c r="AB113" i="33"/>
  <c r="H115" i="33"/>
  <c r="H113" i="33"/>
  <c r="H111" i="33"/>
  <c r="H110" i="33"/>
  <c r="H108" i="33"/>
  <c r="H106" i="33"/>
  <c r="H104" i="33"/>
  <c r="H99" i="33"/>
  <c r="H98" i="33"/>
  <c r="M115" i="33"/>
  <c r="M113" i="33"/>
  <c r="M111" i="33"/>
  <c r="M110" i="33"/>
  <c r="M108" i="33"/>
  <c r="M106" i="33"/>
  <c r="M104" i="33"/>
  <c r="M99" i="33"/>
  <c r="M98" i="33"/>
  <c r="H94" i="33"/>
  <c r="M94" i="33"/>
  <c r="H91" i="33"/>
  <c r="H83" i="33"/>
  <c r="M91" i="33"/>
  <c r="M83" i="33"/>
  <c r="AB95" i="33"/>
  <c r="AB84" i="33"/>
  <c r="W113" i="33"/>
  <c r="N114" i="33"/>
  <c r="L114" i="33"/>
  <c r="K114" i="33"/>
  <c r="J114" i="33"/>
  <c r="I114" i="33"/>
  <c r="E114" i="33"/>
  <c r="F114" i="33"/>
  <c r="G114" i="33"/>
  <c r="D114" i="33"/>
  <c r="R113" i="33"/>
  <c r="AL78" i="33"/>
  <c r="AG78" i="33"/>
  <c r="AB78" i="33"/>
  <c r="W78" i="33"/>
  <c r="M79" i="33"/>
  <c r="H79" i="33"/>
  <c r="N79" i="33"/>
  <c r="L79" i="33"/>
  <c r="K79" i="33"/>
  <c r="J79" i="33"/>
  <c r="I79" i="33"/>
  <c r="G79" i="33"/>
  <c r="F79" i="33"/>
  <c r="E79" i="33"/>
  <c r="D79" i="33"/>
  <c r="R78" i="33"/>
  <c r="D107" i="33"/>
  <c r="L107" i="33"/>
  <c r="K107" i="33"/>
  <c r="J107" i="33"/>
  <c r="I107" i="33"/>
  <c r="G107" i="33"/>
  <c r="F107" i="33"/>
  <c r="E107" i="33"/>
  <c r="I72" i="33"/>
  <c r="J72" i="33"/>
  <c r="K72" i="33"/>
  <c r="L72" i="33"/>
  <c r="N72" i="33"/>
  <c r="N181" i="33"/>
  <c r="N100" i="33"/>
  <c r="N85" i="33"/>
  <c r="N65" i="33"/>
  <c r="N120" i="33"/>
  <c r="N135" i="33"/>
  <c r="AQ140" i="33"/>
  <c r="AQ115" i="33"/>
  <c r="AP267" i="33"/>
  <c r="AP237" i="33"/>
  <c r="AQ208" i="33"/>
  <c r="AO147" i="33"/>
  <c r="AQ130" i="33"/>
  <c r="AQ191" i="33"/>
  <c r="AL134" i="33"/>
  <c r="AQ135" i="33"/>
  <c r="AQ285" i="33"/>
  <c r="AP285" i="33"/>
  <c r="AP172" i="33"/>
  <c r="AO172" i="33"/>
  <c r="AM26" i="33"/>
  <c r="AM181" i="33"/>
  <c r="AM36" i="33"/>
  <c r="AN172" i="33"/>
  <c r="AQ206" i="33"/>
  <c r="S237" i="33"/>
  <c r="M141" i="33"/>
  <c r="M142" i="33"/>
  <c r="W140" i="33"/>
  <c r="R140" i="33"/>
  <c r="AL140" i="33"/>
  <c r="AB140" i="33"/>
  <c r="M135" i="33"/>
  <c r="AG140" i="33"/>
  <c r="H129" i="33"/>
  <c r="M129" i="33"/>
  <c r="H107" i="33"/>
  <c r="AB102" i="33"/>
  <c r="S101" i="33"/>
  <c r="T101" i="33"/>
  <c r="U101" i="33"/>
  <c r="V101" i="33"/>
  <c r="AB101" i="33"/>
  <c r="H114" i="33"/>
  <c r="M114" i="33"/>
  <c r="M107" i="33"/>
  <c r="S231" i="33"/>
  <c r="N218" i="33"/>
  <c r="N292" i="33"/>
  <c r="AP147" i="33"/>
  <c r="AQ197" i="33"/>
  <c r="AN176" i="33"/>
  <c r="AN177" i="33"/>
  <c r="AQ267" i="33"/>
  <c r="AN179" i="33"/>
  <c r="AO176" i="33"/>
  <c r="AO177" i="33"/>
  <c r="AO179" i="33"/>
  <c r="AP176" i="33"/>
  <c r="AP177" i="33"/>
  <c r="AP179" i="33"/>
  <c r="L60" i="33"/>
  <c r="L49" i="33"/>
  <c r="L95" i="33"/>
  <c r="L84" i="33"/>
  <c r="L218" i="33"/>
  <c r="AP26" i="33"/>
  <c r="AP181" i="33"/>
  <c r="AP36" i="33"/>
  <c r="AO26" i="33"/>
  <c r="AO181" i="33"/>
  <c r="AO36" i="33"/>
  <c r="AN26" i="33"/>
  <c r="AN181" i="33"/>
  <c r="AN36" i="33"/>
  <c r="AQ36" i="33"/>
  <c r="AQ26" i="33"/>
  <c r="AG35" i="35"/>
  <c r="AG34" i="35"/>
  <c r="AG33" i="35"/>
  <c r="AG32" i="35"/>
  <c r="AG31" i="35"/>
  <c r="AG30" i="35"/>
  <c r="AG29" i="35"/>
  <c r="AG28" i="35"/>
  <c r="AG27" i="35"/>
  <c r="AG26" i="35"/>
  <c r="AG25" i="35"/>
  <c r="AG24" i="35"/>
  <c r="AG23" i="35"/>
  <c r="AG22" i="35"/>
  <c r="AG21" i="35"/>
  <c r="AG20" i="35"/>
  <c r="AG19" i="35"/>
  <c r="AG18" i="35"/>
  <c r="AG17" i="35"/>
  <c r="AG16" i="35"/>
  <c r="AG15" i="35"/>
  <c r="AG14" i="35"/>
  <c r="AG13" i="35"/>
  <c r="AG12" i="35"/>
  <c r="AG11" i="35"/>
  <c r="AG10" i="35"/>
  <c r="AG9" i="35"/>
  <c r="AG8" i="35"/>
  <c r="AG7" i="35"/>
  <c r="AG6" i="35"/>
  <c r="AG5" i="35"/>
  <c r="L230" i="33"/>
  <c r="L135" i="33"/>
  <c r="L120" i="33"/>
  <c r="L100" i="33"/>
  <c r="L65" i="33"/>
  <c r="D6" i="35"/>
  <c r="D7" i="35"/>
  <c r="D9" i="35"/>
  <c r="D10" i="35"/>
  <c r="D11" i="35"/>
  <c r="D12" i="35"/>
  <c r="D13" i="35"/>
  <c r="D14" i="35"/>
  <c r="D16" i="35"/>
  <c r="D20" i="35"/>
  <c r="D21" i="35"/>
  <c r="D22" i="35"/>
  <c r="D26" i="35"/>
  <c r="D5" i="35"/>
  <c r="I292" i="33"/>
  <c r="D292" i="33"/>
  <c r="G285" i="33"/>
  <c r="F285" i="33"/>
  <c r="D285" i="33"/>
  <c r="H278" i="33"/>
  <c r="D275" i="33"/>
  <c r="I239" i="33"/>
  <c r="K238" i="33"/>
  <c r="J238" i="33"/>
  <c r="I238" i="33"/>
  <c r="G238" i="33"/>
  <c r="F238" i="33"/>
  <c r="E238" i="33"/>
  <c r="D238" i="33"/>
  <c r="G237" i="33"/>
  <c r="F237" i="33"/>
  <c r="D237" i="33"/>
  <c r="K235" i="33"/>
  <c r="J235" i="33"/>
  <c r="I235" i="33"/>
  <c r="G235" i="33"/>
  <c r="F235" i="33"/>
  <c r="E235" i="33"/>
  <c r="D235" i="33"/>
  <c r="K230" i="33"/>
  <c r="J230" i="33"/>
  <c r="I230" i="33"/>
  <c r="F230" i="33"/>
  <c r="E230" i="33"/>
  <c r="D230" i="33"/>
  <c r="AK227" i="33"/>
  <c r="AJ227" i="33"/>
  <c r="AI227" i="33"/>
  <c r="AH227" i="33"/>
  <c r="AF227" i="33"/>
  <c r="AE227" i="33"/>
  <c r="AD227" i="33"/>
  <c r="AC227" i="33"/>
  <c r="AA227" i="33"/>
  <c r="Z227" i="33"/>
  <c r="Y227" i="33"/>
  <c r="X227" i="33"/>
  <c r="V227" i="33"/>
  <c r="U227" i="33"/>
  <c r="T227" i="33"/>
  <c r="Q227" i="33"/>
  <c r="Q229" i="33"/>
  <c r="P227" i="33"/>
  <c r="O227" i="33"/>
  <c r="N227" i="33"/>
  <c r="L227" i="33"/>
  <c r="K227" i="33"/>
  <c r="J227" i="33"/>
  <c r="I227" i="33"/>
  <c r="G227" i="33"/>
  <c r="F227" i="33"/>
  <c r="E227" i="33"/>
  <c r="D227" i="33"/>
  <c r="M221" i="33"/>
  <c r="H221" i="33"/>
  <c r="M220" i="33"/>
  <c r="H220" i="33"/>
  <c r="H219" i="33"/>
  <c r="K218" i="33"/>
  <c r="J218" i="33"/>
  <c r="J222" i="33"/>
  <c r="I218" i="33"/>
  <c r="G218" i="33"/>
  <c r="H218" i="33"/>
  <c r="F218" i="33"/>
  <c r="E218" i="33"/>
  <c r="D218" i="33"/>
  <c r="M215" i="33"/>
  <c r="H215" i="33"/>
  <c r="H214" i="33"/>
  <c r="M213" i="33"/>
  <c r="H213" i="33"/>
  <c r="G211" i="33"/>
  <c r="F211" i="33"/>
  <c r="F216" i="33"/>
  <c r="D211" i="33"/>
  <c r="AL210" i="33"/>
  <c r="AG210" i="33"/>
  <c r="AB210" i="33"/>
  <c r="W210" i="33"/>
  <c r="R210" i="33"/>
  <c r="M210" i="33"/>
  <c r="H210" i="33"/>
  <c r="W209" i="33"/>
  <c r="J209" i="33"/>
  <c r="I209" i="33"/>
  <c r="E209" i="33"/>
  <c r="M208" i="33"/>
  <c r="H208" i="33"/>
  <c r="H207" i="33"/>
  <c r="M206" i="33"/>
  <c r="H206" i="33"/>
  <c r="H205" i="33"/>
  <c r="H204" i="33"/>
  <c r="H203" i="33"/>
  <c r="H200" i="33"/>
  <c r="M199" i="33"/>
  <c r="H199" i="33"/>
  <c r="H198" i="33"/>
  <c r="H197" i="33"/>
  <c r="M196" i="33"/>
  <c r="H196" i="33"/>
  <c r="H195" i="33"/>
  <c r="H194" i="33"/>
  <c r="H193" i="33"/>
  <c r="H191" i="33"/>
  <c r="H190" i="33"/>
  <c r="H189" i="33"/>
  <c r="H188" i="33"/>
  <c r="K181" i="33"/>
  <c r="K36" i="33"/>
  <c r="F180" i="33"/>
  <c r="E180" i="33"/>
  <c r="F177" i="33"/>
  <c r="E177" i="33"/>
  <c r="H176" i="33"/>
  <c r="H175" i="33"/>
  <c r="G174" i="33"/>
  <c r="D174" i="33"/>
  <c r="D173" i="33"/>
  <c r="H173" i="33"/>
  <c r="G172" i="33"/>
  <c r="D172" i="33"/>
  <c r="F170" i="33"/>
  <c r="E170" i="33"/>
  <c r="E167" i="33"/>
  <c r="D166" i="33"/>
  <c r="O164" i="33"/>
  <c r="N164" i="33"/>
  <c r="L164" i="33"/>
  <c r="K164" i="33"/>
  <c r="K160" i="33"/>
  <c r="J164" i="33"/>
  <c r="I164" i="33"/>
  <c r="G164" i="33"/>
  <c r="E164" i="33"/>
  <c r="AL163" i="33"/>
  <c r="AG163" i="33"/>
  <c r="AB163" i="33"/>
  <c r="W163" i="33"/>
  <c r="R163" i="33"/>
  <c r="M163" i="33"/>
  <c r="F163" i="33"/>
  <c r="K147" i="33"/>
  <c r="J147" i="33"/>
  <c r="I147" i="33"/>
  <c r="F147" i="33"/>
  <c r="E147" i="33"/>
  <c r="D147" i="33"/>
  <c r="K146" i="33"/>
  <c r="J146" i="33"/>
  <c r="I146" i="33"/>
  <c r="F146" i="33"/>
  <c r="E146" i="33"/>
  <c r="D146" i="33"/>
  <c r="K145" i="33"/>
  <c r="J145" i="33"/>
  <c r="I145" i="33"/>
  <c r="F145" i="33"/>
  <c r="E145" i="33"/>
  <c r="D145" i="33"/>
  <c r="K144" i="33"/>
  <c r="J144" i="33"/>
  <c r="I144" i="33"/>
  <c r="F144" i="33"/>
  <c r="E144" i="33"/>
  <c r="D144" i="33"/>
  <c r="K141" i="33"/>
  <c r="J141" i="33"/>
  <c r="I141" i="33"/>
  <c r="F141" i="33"/>
  <c r="E141" i="33"/>
  <c r="D141" i="33"/>
  <c r="D142" i="33"/>
  <c r="G137" i="33"/>
  <c r="K135" i="33"/>
  <c r="J135" i="33"/>
  <c r="I135" i="33"/>
  <c r="K120" i="33"/>
  <c r="J120" i="33"/>
  <c r="I120" i="33"/>
  <c r="M119" i="33"/>
  <c r="H119" i="33"/>
  <c r="K103" i="33"/>
  <c r="K105" i="33"/>
  <c r="J103" i="33"/>
  <c r="J105" i="33"/>
  <c r="I103" i="33"/>
  <c r="G103" i="33"/>
  <c r="F103" i="33"/>
  <c r="F105" i="33"/>
  <c r="E103" i="33"/>
  <c r="E105" i="33"/>
  <c r="D103" i="33"/>
  <c r="AA102" i="33"/>
  <c r="Z102" i="33"/>
  <c r="Y102" i="33"/>
  <c r="X102" i="33"/>
  <c r="V102" i="33"/>
  <c r="U102" i="33"/>
  <c r="T102" i="33"/>
  <c r="S102" i="33"/>
  <c r="P102" i="33"/>
  <c r="O102" i="33"/>
  <c r="N102" i="33"/>
  <c r="L102" i="33"/>
  <c r="K101" i="33"/>
  <c r="J101" i="33"/>
  <c r="I101" i="33"/>
  <c r="G101" i="33"/>
  <c r="F101" i="33"/>
  <c r="E101" i="33"/>
  <c r="D101" i="33"/>
  <c r="K100" i="33"/>
  <c r="J100" i="33"/>
  <c r="I100" i="33"/>
  <c r="K96" i="33"/>
  <c r="J96" i="33"/>
  <c r="I96" i="33"/>
  <c r="I97" i="33"/>
  <c r="G96" i="33"/>
  <c r="G97" i="33"/>
  <c r="F96" i="33"/>
  <c r="F97" i="33"/>
  <c r="E96" i="33"/>
  <c r="D96" i="33"/>
  <c r="R95" i="33"/>
  <c r="K95" i="33"/>
  <c r="J95" i="33"/>
  <c r="I95" i="33"/>
  <c r="G95" i="33"/>
  <c r="F95" i="33"/>
  <c r="E95" i="33"/>
  <c r="D95" i="33"/>
  <c r="F93" i="33"/>
  <c r="E93" i="33"/>
  <c r="D93" i="33"/>
  <c r="K92" i="33"/>
  <c r="J92" i="33"/>
  <c r="I92" i="33"/>
  <c r="G92" i="33"/>
  <c r="F92" i="33"/>
  <c r="E92" i="33"/>
  <c r="D92" i="33"/>
  <c r="G93" i="33"/>
  <c r="P85" i="33"/>
  <c r="O85" i="33"/>
  <c r="L85" i="33"/>
  <c r="K85" i="33"/>
  <c r="J85" i="33"/>
  <c r="I85" i="33"/>
  <c r="R84" i="33"/>
  <c r="K84" i="33"/>
  <c r="J84" i="33"/>
  <c r="I84" i="33"/>
  <c r="G84" i="33"/>
  <c r="F84" i="33"/>
  <c r="E84" i="33"/>
  <c r="D84" i="33"/>
  <c r="AF67" i="33"/>
  <c r="AE67" i="33"/>
  <c r="AD67" i="33"/>
  <c r="AC67" i="33"/>
  <c r="L67" i="33"/>
  <c r="K66" i="33"/>
  <c r="J66" i="33"/>
  <c r="I66" i="33"/>
  <c r="G66" i="33"/>
  <c r="F66" i="33"/>
  <c r="E66" i="33"/>
  <c r="D66" i="33"/>
  <c r="K65" i="33"/>
  <c r="J65" i="33"/>
  <c r="I65" i="33"/>
  <c r="K61" i="33"/>
  <c r="J61" i="33"/>
  <c r="I61" i="33"/>
  <c r="G61" i="33"/>
  <c r="G62" i="33"/>
  <c r="F61" i="33"/>
  <c r="F62" i="33"/>
  <c r="E61" i="33"/>
  <c r="E62" i="33"/>
  <c r="D61" i="33"/>
  <c r="K60" i="33"/>
  <c r="J60" i="33"/>
  <c r="I60" i="33"/>
  <c r="G60" i="33"/>
  <c r="F60" i="33"/>
  <c r="E60" i="33"/>
  <c r="D60" i="33"/>
  <c r="L61" i="33"/>
  <c r="L62" i="33"/>
  <c r="F58" i="33"/>
  <c r="E58" i="33"/>
  <c r="D58" i="33"/>
  <c r="J57" i="33"/>
  <c r="I57" i="33"/>
  <c r="G57" i="33"/>
  <c r="F57" i="33"/>
  <c r="E57" i="33"/>
  <c r="D57" i="33"/>
  <c r="H56" i="33"/>
  <c r="G58" i="33"/>
  <c r="N50" i="33"/>
  <c r="L50" i="33"/>
  <c r="K50" i="33"/>
  <c r="J50" i="33"/>
  <c r="J58" i="33"/>
  <c r="I50" i="33"/>
  <c r="K49" i="33"/>
  <c r="J49" i="33"/>
  <c r="I49" i="33"/>
  <c r="G49" i="33"/>
  <c r="F49" i="33"/>
  <c r="E49" i="33"/>
  <c r="D49" i="33"/>
  <c r="N43" i="33"/>
  <c r="L36" i="33"/>
  <c r="J36" i="33"/>
  <c r="I36" i="33"/>
  <c r="G36" i="33"/>
  <c r="D36" i="33"/>
  <c r="G34" i="33"/>
  <c r="G32" i="33"/>
  <c r="G30" i="33"/>
  <c r="G155" i="33"/>
  <c r="G29" i="33"/>
  <c r="G28" i="33"/>
  <c r="G24" i="33"/>
  <c r="G147" i="33"/>
  <c r="F23" i="33"/>
  <c r="E23" i="33"/>
  <c r="D23" i="33"/>
  <c r="G22" i="33"/>
  <c r="G21" i="33"/>
  <c r="G20" i="33"/>
  <c r="G19" i="33"/>
  <c r="G18" i="33"/>
  <c r="G230" i="33"/>
  <c r="F16" i="33"/>
  <c r="E16" i="33"/>
  <c r="D16" i="33"/>
  <c r="G15" i="33"/>
  <c r="G146" i="33"/>
  <c r="G14" i="33"/>
  <c r="G145" i="33"/>
  <c r="G13" i="33"/>
  <c r="G144" i="33"/>
  <c r="O161" i="33"/>
  <c r="O160" i="33"/>
  <c r="H124" i="33"/>
  <c r="H127" i="33"/>
  <c r="H131" i="33"/>
  <c r="H122" i="33"/>
  <c r="M122" i="33"/>
  <c r="M124" i="33"/>
  <c r="M127" i="33"/>
  <c r="M131" i="33"/>
  <c r="M132" i="33"/>
  <c r="R99" i="33"/>
  <c r="H84" i="33"/>
  <c r="D116" i="33"/>
  <c r="H103" i="33"/>
  <c r="M84" i="33"/>
  <c r="R64" i="33"/>
  <c r="D105" i="33"/>
  <c r="D112" i="33"/>
  <c r="D109" i="33"/>
  <c r="I112" i="33"/>
  <c r="I105" i="33"/>
  <c r="G112" i="33"/>
  <c r="G105" i="33"/>
  <c r="E109" i="33"/>
  <c r="E112" i="33"/>
  <c r="F109" i="33"/>
  <c r="F112" i="33"/>
  <c r="J109" i="33"/>
  <c r="J112" i="33"/>
  <c r="K109" i="33"/>
  <c r="K112" i="33"/>
  <c r="G109" i="33"/>
  <c r="I109" i="33"/>
  <c r="I116" i="33"/>
  <c r="G161" i="33"/>
  <c r="D74" i="33"/>
  <c r="E74" i="33"/>
  <c r="E80" i="33"/>
  <c r="F74" i="33"/>
  <c r="G74" i="33"/>
  <c r="I74" i="33"/>
  <c r="J74" i="33"/>
  <c r="K74" i="33"/>
  <c r="E36" i="33"/>
  <c r="F155" i="33"/>
  <c r="I155" i="33"/>
  <c r="F36" i="33"/>
  <c r="J155" i="33"/>
  <c r="K97" i="33"/>
  <c r="M95" i="33"/>
  <c r="Q231" i="33"/>
  <c r="E25" i="33"/>
  <c r="G141" i="33"/>
  <c r="G142" i="33"/>
  <c r="I222" i="33"/>
  <c r="J161" i="33"/>
  <c r="O233" i="33"/>
  <c r="J93" i="33"/>
  <c r="I160" i="33"/>
  <c r="K222" i="33"/>
  <c r="K233" i="33"/>
  <c r="G131" i="33"/>
  <c r="D35" i="35"/>
  <c r="I161" i="33"/>
  <c r="K161" i="33"/>
  <c r="E179" i="33"/>
  <c r="L294" i="33"/>
  <c r="F179" i="33"/>
  <c r="H238" i="33"/>
  <c r="Q233" i="33"/>
  <c r="I179" i="33"/>
  <c r="AF231" i="33"/>
  <c r="F67" i="33"/>
  <c r="G23" i="33"/>
  <c r="M120" i="33"/>
  <c r="J179" i="33"/>
  <c r="H285" i="33"/>
  <c r="T231" i="33"/>
  <c r="K291" i="33"/>
  <c r="N233" i="33"/>
  <c r="H163" i="33"/>
  <c r="D167" i="33"/>
  <c r="D222" i="33"/>
  <c r="O231" i="33"/>
  <c r="D265" i="33"/>
  <c r="D62" i="33"/>
  <c r="I93" i="33"/>
  <c r="E142" i="33"/>
  <c r="AA229" i="33"/>
  <c r="F142" i="33"/>
  <c r="D216" i="33"/>
  <c r="H235" i="33"/>
  <c r="E222" i="33"/>
  <c r="E97" i="33"/>
  <c r="G216" i="33"/>
  <c r="F222" i="33"/>
  <c r="D97" i="33"/>
  <c r="I62" i="33"/>
  <c r="K155" i="33"/>
  <c r="G177" i="33"/>
  <c r="I211" i="33"/>
  <c r="G222" i="33"/>
  <c r="K231" i="33"/>
  <c r="K131" i="33"/>
  <c r="J62" i="33"/>
  <c r="K142" i="33"/>
  <c r="K211" i="33"/>
  <c r="K62" i="33"/>
  <c r="E161" i="33"/>
  <c r="F102" i="33"/>
  <c r="J97" i="33"/>
  <c r="G160" i="33"/>
  <c r="F164" i="33"/>
  <c r="H164" i="33"/>
  <c r="I231" i="33"/>
  <c r="D28" i="35"/>
  <c r="L228" i="33"/>
  <c r="D8" i="35"/>
  <c r="L160" i="33"/>
  <c r="L161" i="33"/>
  <c r="R196" i="33"/>
  <c r="K58" i="33"/>
  <c r="J102" i="33"/>
  <c r="E160" i="33"/>
  <c r="M207" i="33"/>
  <c r="I58" i="33"/>
  <c r="AH67" i="33"/>
  <c r="H49" i="33"/>
  <c r="F131" i="33"/>
  <c r="M191" i="33"/>
  <c r="E102" i="33"/>
  <c r="I131" i="33"/>
  <c r="J292" i="33"/>
  <c r="K292" i="33"/>
  <c r="G102" i="33"/>
  <c r="M36" i="33"/>
  <c r="I102" i="33"/>
  <c r="H222" i="33"/>
  <c r="E233" i="33"/>
  <c r="E239" i="33"/>
  <c r="D67" i="33"/>
  <c r="M205" i="33"/>
  <c r="E67" i="33"/>
  <c r="R102" i="33"/>
  <c r="J231" i="33"/>
  <c r="J228" i="33"/>
  <c r="J150" i="33"/>
  <c r="K67" i="33"/>
  <c r="I294" i="33"/>
  <c r="I291" i="33"/>
  <c r="I228" i="33"/>
  <c r="I150" i="33"/>
  <c r="D291" i="33"/>
  <c r="D294" i="33"/>
  <c r="D228" i="33"/>
  <c r="D25" i="33"/>
  <c r="F228" i="33"/>
  <c r="F25" i="33"/>
  <c r="G16" i="33"/>
  <c r="M49" i="33"/>
  <c r="J67" i="33"/>
  <c r="H68" i="33"/>
  <c r="L96" i="33"/>
  <c r="L97" i="33"/>
  <c r="L101" i="33"/>
  <c r="K228" i="33"/>
  <c r="K150" i="33"/>
  <c r="L66" i="33"/>
  <c r="H95" i="33"/>
  <c r="D102" i="33"/>
  <c r="H60" i="33"/>
  <c r="K93" i="33"/>
  <c r="G67" i="33"/>
  <c r="I67" i="33"/>
  <c r="E294" i="33"/>
  <c r="E228" i="33"/>
  <c r="M60" i="33"/>
  <c r="L146" i="33"/>
  <c r="K102" i="33"/>
  <c r="L147" i="33"/>
  <c r="G116" i="33"/>
  <c r="E131" i="33"/>
  <c r="R205" i="33"/>
  <c r="J131" i="33"/>
  <c r="R213" i="33"/>
  <c r="R200" i="33"/>
  <c r="I142" i="33"/>
  <c r="J142" i="33"/>
  <c r="H211" i="33"/>
  <c r="E285" i="33"/>
  <c r="E237" i="33"/>
  <c r="E211" i="33"/>
  <c r="E155" i="33"/>
  <c r="V229" i="33"/>
  <c r="V231" i="33"/>
  <c r="M194" i="33"/>
  <c r="I285" i="33"/>
  <c r="I237" i="33"/>
  <c r="J285" i="33"/>
  <c r="J236" i="33"/>
  <c r="J237" i="33"/>
  <c r="J211" i="33"/>
  <c r="G231" i="33"/>
  <c r="G233" i="33"/>
  <c r="AA231" i="33"/>
  <c r="M200" i="33"/>
  <c r="R220" i="33"/>
  <c r="Q285" i="33"/>
  <c r="Q237" i="33"/>
  <c r="M214" i="33"/>
  <c r="H174" i="33"/>
  <c r="R214" i="33"/>
  <c r="H172" i="33"/>
  <c r="R207" i="33"/>
  <c r="D177" i="33"/>
  <c r="I233" i="33"/>
  <c r="J160" i="33"/>
  <c r="M164" i="33"/>
  <c r="L231" i="33"/>
  <c r="R215" i="33"/>
  <c r="F233" i="33"/>
  <c r="F231" i="33"/>
  <c r="L285" i="33"/>
  <c r="L237" i="33"/>
  <c r="P231" i="33"/>
  <c r="P233" i="33"/>
  <c r="K285" i="33"/>
  <c r="K237" i="33"/>
  <c r="J233" i="33"/>
  <c r="U231" i="33"/>
  <c r="D231" i="33"/>
  <c r="D233" i="33"/>
  <c r="N231" i="33"/>
  <c r="E231" i="33"/>
  <c r="E291" i="33"/>
  <c r="E292" i="33"/>
  <c r="J294" i="33"/>
  <c r="K294" i="33"/>
  <c r="J239" i="33"/>
  <c r="E275" i="33"/>
  <c r="J291" i="33"/>
  <c r="W214" i="33"/>
  <c r="S233" i="33"/>
  <c r="U233" i="33"/>
  <c r="R139" i="33"/>
  <c r="Z231" i="33"/>
  <c r="R137" i="33"/>
  <c r="R134" i="33"/>
  <c r="E31" i="33"/>
  <c r="R121" i="33"/>
  <c r="R123" i="33"/>
  <c r="R126" i="33"/>
  <c r="G236" i="33"/>
  <c r="H102" i="33"/>
  <c r="W64" i="33"/>
  <c r="W99" i="33"/>
  <c r="M102" i="33"/>
  <c r="H112" i="33"/>
  <c r="H109" i="33"/>
  <c r="H105" i="33"/>
  <c r="D236" i="33"/>
  <c r="E236" i="33"/>
  <c r="D223" i="33"/>
  <c r="E265" i="33"/>
  <c r="K236" i="33"/>
  <c r="L229" i="33"/>
  <c r="F239" i="33"/>
  <c r="K80" i="33"/>
  <c r="P146" i="33"/>
  <c r="H36" i="33"/>
  <c r="E81" i="33"/>
  <c r="I236" i="33"/>
  <c r="F291" i="33"/>
  <c r="O146" i="33"/>
  <c r="E151" i="33"/>
  <c r="I26" i="33"/>
  <c r="F294" i="33"/>
  <c r="F223" i="33"/>
  <c r="F236" i="33"/>
  <c r="D132" i="33"/>
  <c r="J229" i="33"/>
  <c r="J182" i="33"/>
  <c r="J26" i="33"/>
  <c r="H151" i="33"/>
  <c r="E182" i="33"/>
  <c r="E26" i="33"/>
  <c r="I132" i="33"/>
  <c r="G223" i="33"/>
  <c r="D229" i="33"/>
  <c r="F132" i="33"/>
  <c r="K216" i="33"/>
  <c r="K223" i="33"/>
  <c r="E229" i="33"/>
  <c r="F182" i="33"/>
  <c r="F26" i="33"/>
  <c r="Y231" i="33"/>
  <c r="F161" i="33"/>
  <c r="F160" i="33"/>
  <c r="K179" i="33"/>
  <c r="E216" i="33"/>
  <c r="E223" i="33"/>
  <c r="I216" i="33"/>
  <c r="I223" i="33"/>
  <c r="K239" i="33"/>
  <c r="J216" i="33"/>
  <c r="J223" i="33"/>
  <c r="I117" i="33"/>
  <c r="G291" i="33"/>
  <c r="K132" i="33"/>
  <c r="E132" i="33"/>
  <c r="I229" i="33"/>
  <c r="G117" i="33"/>
  <c r="G179" i="33"/>
  <c r="G132" i="33"/>
  <c r="H216" i="33"/>
  <c r="H223" i="33"/>
  <c r="F229" i="33"/>
  <c r="AI67" i="33"/>
  <c r="K229" i="33"/>
  <c r="I182" i="33"/>
  <c r="D179" i="33"/>
  <c r="P93" i="33"/>
  <c r="X231" i="33"/>
  <c r="N146" i="33"/>
  <c r="AI38" i="35"/>
  <c r="AG38" i="35"/>
  <c r="U38" i="35"/>
  <c r="S38" i="35"/>
  <c r="V38" i="35"/>
  <c r="L38" i="35"/>
  <c r="O38" i="35"/>
  <c r="Q38" i="35"/>
  <c r="G38" i="35"/>
  <c r="W38" i="35"/>
  <c r="X38" i="35"/>
  <c r="I38" i="35"/>
  <c r="J38" i="35"/>
  <c r="AB38" i="35"/>
  <c r="AC38" i="35"/>
  <c r="AD38" i="35"/>
  <c r="P38" i="35"/>
  <c r="T38" i="35"/>
  <c r="H38" i="35"/>
  <c r="Y38" i="35"/>
  <c r="Z38" i="35"/>
  <c r="K38" i="35"/>
  <c r="M38" i="35"/>
  <c r="AE38" i="35"/>
  <c r="F38" i="35"/>
  <c r="R38" i="35"/>
  <c r="AA38" i="35"/>
  <c r="N38" i="35"/>
  <c r="R285" i="33"/>
  <c r="M285" i="33"/>
  <c r="L179" i="33"/>
  <c r="R119" i="33"/>
  <c r="M67" i="33"/>
  <c r="H67" i="33"/>
  <c r="H177" i="33"/>
  <c r="F292" i="33"/>
  <c r="J132" i="33"/>
  <c r="K151" i="33"/>
  <c r="M197" i="33"/>
  <c r="S285" i="33"/>
  <c r="N96" i="33"/>
  <c r="N97" i="33"/>
  <c r="O93" i="33"/>
  <c r="N93" i="33"/>
  <c r="N92" i="33"/>
  <c r="G228" i="33"/>
  <c r="G25" i="33"/>
  <c r="M155" i="33"/>
  <c r="N67" i="33"/>
  <c r="F275" i="33"/>
  <c r="J151" i="33"/>
  <c r="F151" i="33"/>
  <c r="F31" i="33"/>
  <c r="M204" i="33"/>
  <c r="P58" i="33"/>
  <c r="T233" i="33"/>
  <c r="Q146" i="33"/>
  <c r="E153" i="33"/>
  <c r="N237" i="33"/>
  <c r="N285" i="33"/>
  <c r="I151" i="33"/>
  <c r="L58" i="33"/>
  <c r="M56" i="33"/>
  <c r="L57" i="33"/>
  <c r="O58" i="33"/>
  <c r="D151" i="33"/>
  <c r="D31" i="33"/>
  <c r="AJ231" i="33"/>
  <c r="W134" i="33"/>
  <c r="R135" i="33"/>
  <c r="AE231" i="33"/>
  <c r="E33" i="33"/>
  <c r="F27" i="33"/>
  <c r="R127" i="33"/>
  <c r="R124" i="33"/>
  <c r="R122" i="33"/>
  <c r="R130" i="33"/>
  <c r="W121" i="33"/>
  <c r="W123" i="33"/>
  <c r="R120" i="33"/>
  <c r="W126" i="33"/>
  <c r="H291" i="33"/>
  <c r="AB99" i="33"/>
  <c r="AB64" i="33"/>
  <c r="R91" i="33"/>
  <c r="E116" i="33"/>
  <c r="D117" i="33"/>
  <c r="J27" i="33"/>
  <c r="G294" i="33"/>
  <c r="K81" i="33"/>
  <c r="F265" i="33"/>
  <c r="G265" i="33"/>
  <c r="H132" i="33"/>
  <c r="F116" i="33"/>
  <c r="J116" i="33"/>
  <c r="K116" i="33"/>
  <c r="H294" i="33"/>
  <c r="I80" i="33"/>
  <c r="D80" i="33"/>
  <c r="G80" i="33"/>
  <c r="G148" i="33"/>
  <c r="I27" i="33"/>
  <c r="J80" i="33"/>
  <c r="F80" i="33"/>
  <c r="D182" i="33"/>
  <c r="D26" i="33"/>
  <c r="H153" i="33"/>
  <c r="G292" i="33"/>
  <c r="G229" i="33"/>
  <c r="AJ67" i="33"/>
  <c r="H239" i="33"/>
  <c r="E27" i="33"/>
  <c r="K26" i="33"/>
  <c r="K182" i="33"/>
  <c r="AF229" i="33"/>
  <c r="AK231" i="33"/>
  <c r="G239" i="33"/>
  <c r="G275" i="33"/>
  <c r="G182" i="33"/>
  <c r="G26" i="33"/>
  <c r="L292" i="33"/>
  <c r="AD231" i="33"/>
  <c r="AC231" i="33"/>
  <c r="S146" i="33"/>
  <c r="T146" i="33"/>
  <c r="U146" i="33"/>
  <c r="R164" i="33"/>
  <c r="L26" i="33"/>
  <c r="D18" i="35"/>
  <c r="L182" i="33"/>
  <c r="W119" i="33"/>
  <c r="O92" i="33"/>
  <c r="N58" i="33"/>
  <c r="N57" i="33"/>
  <c r="O144" i="33"/>
  <c r="R56" i="33"/>
  <c r="Q58" i="33"/>
  <c r="Q93" i="33"/>
  <c r="L93" i="33"/>
  <c r="L92" i="33"/>
  <c r="O147" i="33"/>
  <c r="J153" i="33"/>
  <c r="D153" i="33"/>
  <c r="D33" i="33"/>
  <c r="P144" i="33"/>
  <c r="T285" i="33"/>
  <c r="T237" i="33"/>
  <c r="O96" i="33"/>
  <c r="O97" i="33"/>
  <c r="F153" i="33"/>
  <c r="F33" i="33"/>
  <c r="O67" i="33"/>
  <c r="O237" i="33"/>
  <c r="O285" i="33"/>
  <c r="N61" i="33"/>
  <c r="N62" i="33"/>
  <c r="K153" i="33"/>
  <c r="I153" i="33"/>
  <c r="Y233" i="33"/>
  <c r="X233" i="33"/>
  <c r="N147" i="33"/>
  <c r="G151" i="33"/>
  <c r="G31" i="33"/>
  <c r="J152" i="33"/>
  <c r="AG209" i="33"/>
  <c r="O57" i="33"/>
  <c r="X146" i="33"/>
  <c r="W139" i="33"/>
  <c r="W137" i="33"/>
  <c r="W135" i="33"/>
  <c r="E35" i="33"/>
  <c r="E244" i="33"/>
  <c r="E260" i="33"/>
  <c r="J37" i="33"/>
  <c r="F37" i="33"/>
  <c r="F152" i="33"/>
  <c r="W124" i="33"/>
  <c r="W127" i="33"/>
  <c r="AG119" i="33"/>
  <c r="AB121" i="33"/>
  <c r="AB119" i="33"/>
  <c r="AB120" i="33"/>
  <c r="W122" i="33"/>
  <c r="W120" i="33"/>
  <c r="H116" i="33"/>
  <c r="H117" i="33"/>
  <c r="I152" i="33"/>
  <c r="I37" i="33"/>
  <c r="I42" i="33"/>
  <c r="AG64" i="33"/>
  <c r="AG99" i="33"/>
  <c r="D27" i="33"/>
  <c r="E117" i="33"/>
  <c r="E148" i="33"/>
  <c r="J117" i="33"/>
  <c r="K117" i="33"/>
  <c r="F117" i="33"/>
  <c r="K148" i="33"/>
  <c r="AK67" i="33"/>
  <c r="I148" i="33"/>
  <c r="I81" i="33"/>
  <c r="F81" i="33"/>
  <c r="F148" i="33"/>
  <c r="J81" i="33"/>
  <c r="J148" i="33"/>
  <c r="G81" i="33"/>
  <c r="D148" i="33"/>
  <c r="H80" i="33"/>
  <c r="D81" i="33"/>
  <c r="G27" i="33"/>
  <c r="H26" i="33"/>
  <c r="H27" i="33"/>
  <c r="AI231" i="33"/>
  <c r="AD233" i="33"/>
  <c r="K27" i="33"/>
  <c r="E37" i="33"/>
  <c r="E152" i="33"/>
  <c r="H292" i="33"/>
  <c r="M26" i="33"/>
  <c r="AK229" i="33"/>
  <c r="AH233" i="33"/>
  <c r="AC233" i="33"/>
  <c r="AH231" i="33"/>
  <c r="S58" i="33"/>
  <c r="Q144" i="33"/>
  <c r="S93" i="33"/>
  <c r="Q67" i="33"/>
  <c r="N144" i="33"/>
  <c r="P92" i="33"/>
  <c r="L144" i="33"/>
  <c r="O61" i="33"/>
  <c r="O62" i="33"/>
  <c r="P96" i="33"/>
  <c r="P97" i="33"/>
  <c r="P237" i="33"/>
  <c r="G33" i="33"/>
  <c r="G153" i="33"/>
  <c r="F244" i="33"/>
  <c r="F35" i="33"/>
  <c r="U285" i="33"/>
  <c r="U237" i="33"/>
  <c r="D244" i="33"/>
  <c r="D35" i="33"/>
  <c r="R206" i="33"/>
  <c r="P67" i="33"/>
  <c r="R43" i="33"/>
  <c r="L150" i="33"/>
  <c r="L141" i="33"/>
  <c r="V146" i="33"/>
  <c r="AO146" i="33"/>
  <c r="AM146" i="33"/>
  <c r="AM67" i="33"/>
  <c r="AN67" i="33"/>
  <c r="AQ64" i="33"/>
  <c r="R136" i="33"/>
  <c r="E41" i="33"/>
  <c r="E40" i="33"/>
  <c r="J42" i="33"/>
  <c r="AG120" i="33"/>
  <c r="F42" i="33"/>
  <c r="AB122" i="33"/>
  <c r="AB123" i="33"/>
  <c r="AG121" i="33"/>
  <c r="D37" i="33"/>
  <c r="D152" i="33"/>
  <c r="H40" i="33"/>
  <c r="G152" i="33"/>
  <c r="G37" i="33"/>
  <c r="G42" i="33"/>
  <c r="AL64" i="33"/>
  <c r="R94" i="33"/>
  <c r="R115" i="33"/>
  <c r="R83" i="33"/>
  <c r="AL99" i="33"/>
  <c r="H81" i="33"/>
  <c r="E277" i="33"/>
  <c r="P57" i="33"/>
  <c r="H152" i="33"/>
  <c r="H37" i="33"/>
  <c r="E42" i="33"/>
  <c r="K37" i="33"/>
  <c r="K152" i="33"/>
  <c r="D260" i="33"/>
  <c r="F260" i="33"/>
  <c r="S144" i="33"/>
  <c r="R60" i="33"/>
  <c r="R67" i="33"/>
  <c r="N80" i="33"/>
  <c r="N81" i="33"/>
  <c r="R221" i="33"/>
  <c r="W220" i="33"/>
  <c r="W213" i="33"/>
  <c r="AB214" i="33"/>
  <c r="W215" i="33"/>
  <c r="W205" i="33"/>
  <c r="W207" i="33"/>
  <c r="R199" i="33"/>
  <c r="W196" i="33"/>
  <c r="W200" i="33"/>
  <c r="T93" i="33"/>
  <c r="T58" i="33"/>
  <c r="R34" i="33"/>
  <c r="R191" i="33"/>
  <c r="Q92" i="33"/>
  <c r="L131" i="33"/>
  <c r="R208" i="33"/>
  <c r="D40" i="33"/>
  <c r="D41" i="33"/>
  <c r="R194" i="33"/>
  <c r="P61" i="33"/>
  <c r="P62" i="33"/>
  <c r="M190" i="33"/>
  <c r="L142" i="33"/>
  <c r="I40" i="33"/>
  <c r="I41" i="33"/>
  <c r="P147" i="33"/>
  <c r="V285" i="33"/>
  <c r="V237" i="33"/>
  <c r="W212" i="33"/>
  <c r="J41" i="33"/>
  <c r="J40" i="33"/>
  <c r="M189" i="33"/>
  <c r="F41" i="33"/>
  <c r="F40" i="33"/>
  <c r="G244" i="33"/>
  <c r="G35" i="33"/>
  <c r="K40" i="33"/>
  <c r="K41" i="33"/>
  <c r="AO67" i="33"/>
  <c r="AP67" i="33"/>
  <c r="AN146" i="33"/>
  <c r="AB124" i="33"/>
  <c r="AL121" i="33"/>
  <c r="AL119" i="33"/>
  <c r="AL120" i="33"/>
  <c r="AB126" i="33"/>
  <c r="AG122" i="33"/>
  <c r="D42" i="33"/>
  <c r="I156" i="33"/>
  <c r="S67" i="33"/>
  <c r="R48" i="33"/>
  <c r="R59" i="33"/>
  <c r="N74" i="33"/>
  <c r="J156" i="33"/>
  <c r="K157" i="33"/>
  <c r="K293" i="33"/>
  <c r="D277" i="33"/>
  <c r="F277" i="33"/>
  <c r="I157" i="33"/>
  <c r="I293" i="33"/>
  <c r="J157" i="33"/>
  <c r="J293" i="33"/>
  <c r="AB134" i="33"/>
  <c r="Z146" i="33"/>
  <c r="G260" i="33"/>
  <c r="Y146" i="33"/>
  <c r="H42" i="33"/>
  <c r="S229" i="33"/>
  <c r="N294" i="33"/>
  <c r="K42" i="33"/>
  <c r="Q57" i="33"/>
  <c r="W56" i="33"/>
  <c r="U58" i="33"/>
  <c r="N145" i="33"/>
  <c r="T144" i="33"/>
  <c r="D15" i="35"/>
  <c r="R155" i="33"/>
  <c r="R98" i="33"/>
  <c r="U93" i="33"/>
  <c r="M150" i="33"/>
  <c r="M294" i="33"/>
  <c r="S92" i="33"/>
  <c r="L132" i="33"/>
  <c r="X285" i="33"/>
  <c r="X237" i="33"/>
  <c r="N150" i="33"/>
  <c r="R197" i="33"/>
  <c r="W237" i="33"/>
  <c r="W285" i="33"/>
  <c r="M195" i="33"/>
  <c r="D17" i="35"/>
  <c r="G41" i="33"/>
  <c r="G40" i="33"/>
  <c r="W130" i="33"/>
  <c r="Q147" i="33"/>
  <c r="AQ126" i="33"/>
  <c r="AQ121" i="33"/>
  <c r="AQ119" i="33"/>
  <c r="AQ120" i="33"/>
  <c r="O294" i="33"/>
  <c r="O74" i="33"/>
  <c r="AB135" i="33"/>
  <c r="AB127" i="33"/>
  <c r="AL122" i="33"/>
  <c r="D279" i="33"/>
  <c r="W106" i="33"/>
  <c r="W91" i="33"/>
  <c r="V58" i="33"/>
  <c r="W71" i="33"/>
  <c r="O145" i="33"/>
  <c r="M278" i="33"/>
  <c r="K156" i="33"/>
  <c r="N229" i="33"/>
  <c r="G277" i="33"/>
  <c r="W164" i="33"/>
  <c r="S57" i="33"/>
  <c r="U144" i="33"/>
  <c r="M151" i="33"/>
  <c r="S147" i="33"/>
  <c r="O150" i="33"/>
  <c r="V93" i="33"/>
  <c r="T67" i="33"/>
  <c r="M27" i="33"/>
  <c r="T92" i="33"/>
  <c r="M218" i="33"/>
  <c r="T147" i="33"/>
  <c r="Y285" i="33"/>
  <c r="Y237" i="33"/>
  <c r="S66" i="33"/>
  <c r="L151" i="33"/>
  <c r="L27" i="33"/>
  <c r="AQ122" i="33"/>
  <c r="AQ127" i="33"/>
  <c r="AP146" i="33"/>
  <c r="P294" i="33"/>
  <c r="O229" i="33"/>
  <c r="AB139" i="33"/>
  <c r="D187" i="33"/>
  <c r="D192" i="33"/>
  <c r="D201" i="33"/>
  <c r="E278" i="33"/>
  <c r="W72" i="33"/>
  <c r="W107" i="33"/>
  <c r="R63" i="33"/>
  <c r="T57" i="33"/>
  <c r="W43" i="33"/>
  <c r="AA146" i="33"/>
  <c r="V144" i="33"/>
  <c r="P145" i="33"/>
  <c r="M152" i="33"/>
  <c r="R103" i="33"/>
  <c r="X93" i="33"/>
  <c r="U67" i="33"/>
  <c r="W34" i="33"/>
  <c r="D19" i="35"/>
  <c r="U92" i="33"/>
  <c r="W115" i="33"/>
  <c r="W206" i="33"/>
  <c r="P150" i="33"/>
  <c r="T66" i="33"/>
  <c r="L152" i="33"/>
  <c r="Z285" i="33"/>
  <c r="Z237" i="33"/>
  <c r="T229" i="33"/>
  <c r="P229" i="33"/>
  <c r="Q145" i="33"/>
  <c r="W136" i="33"/>
  <c r="AB137" i="33"/>
  <c r="AG123" i="33"/>
  <c r="AB130" i="33"/>
  <c r="E279" i="33"/>
  <c r="E187" i="33"/>
  <c r="D284" i="33"/>
  <c r="W94" i="33"/>
  <c r="W83" i="33"/>
  <c r="AC146" i="33"/>
  <c r="D224" i="33"/>
  <c r="D234" i="33"/>
  <c r="X229" i="33"/>
  <c r="I187" i="33"/>
  <c r="U57" i="33"/>
  <c r="AI39" i="35"/>
  <c r="T39" i="35"/>
  <c r="J39" i="35"/>
  <c r="K39" i="35"/>
  <c r="AA39" i="35"/>
  <c r="N39" i="35"/>
  <c r="AE39" i="35"/>
  <c r="U39" i="35"/>
  <c r="G39" i="35"/>
  <c r="X39" i="35"/>
  <c r="I39" i="35"/>
  <c r="Z39" i="35"/>
  <c r="F39" i="35"/>
  <c r="L39" i="35"/>
  <c r="AC39" i="35"/>
  <c r="AD39" i="35"/>
  <c r="O39" i="35"/>
  <c r="AG39" i="35"/>
  <c r="V39" i="35"/>
  <c r="W39" i="35"/>
  <c r="H39" i="35"/>
  <c r="Y39" i="35"/>
  <c r="AB39" i="35"/>
  <c r="M39" i="35"/>
  <c r="P39" i="35"/>
  <c r="Q39" i="35"/>
  <c r="R39" i="35"/>
  <c r="S39" i="35"/>
  <c r="W221" i="33"/>
  <c r="AB220" i="33"/>
  <c r="AB213" i="33"/>
  <c r="AB215" i="33"/>
  <c r="AG214" i="33"/>
  <c r="AB205" i="33"/>
  <c r="AB207" i="33"/>
  <c r="AB200" i="33"/>
  <c r="W199" i="33"/>
  <c r="AB196" i="33"/>
  <c r="U147" i="33"/>
  <c r="Y93" i="33"/>
  <c r="Q150" i="33"/>
  <c r="V67" i="33"/>
  <c r="W191" i="33"/>
  <c r="V92" i="33"/>
  <c r="AA285" i="33"/>
  <c r="AA237" i="33"/>
  <c r="W208" i="33"/>
  <c r="U66" i="33"/>
  <c r="W194" i="33"/>
  <c r="U229" i="33"/>
  <c r="Y229" i="33"/>
  <c r="AG130" i="33"/>
  <c r="F278" i="33"/>
  <c r="F279" i="33"/>
  <c r="AG124" i="33"/>
  <c r="AG126" i="33"/>
  <c r="D286" i="33"/>
  <c r="W48" i="33"/>
  <c r="W59" i="33"/>
  <c r="AD146" i="33"/>
  <c r="V57" i="33"/>
  <c r="S145" i="33"/>
  <c r="E154" i="33"/>
  <c r="E284" i="33"/>
  <c r="E192" i="33"/>
  <c r="I192" i="33"/>
  <c r="I284" i="33"/>
  <c r="AG134" i="33"/>
  <c r="AC229" i="33"/>
  <c r="AB285" i="33"/>
  <c r="R189" i="33"/>
  <c r="W98" i="33"/>
  <c r="AB106" i="33"/>
  <c r="Z93" i="33"/>
  <c r="X67" i="33"/>
  <c r="R150" i="33"/>
  <c r="X92" i="33"/>
  <c r="AC237" i="33"/>
  <c r="AC285" i="33"/>
  <c r="W197" i="33"/>
  <c r="V66" i="33"/>
  <c r="V147" i="33"/>
  <c r="AD229" i="33"/>
  <c r="Z229" i="33"/>
  <c r="AG135" i="33"/>
  <c r="AG127" i="33"/>
  <c r="AL130" i="33"/>
  <c r="AB60" i="33"/>
  <c r="AB91" i="33"/>
  <c r="T145" i="33"/>
  <c r="AB115" i="33"/>
  <c r="S150" i="33"/>
  <c r="E201" i="33"/>
  <c r="E286" i="33"/>
  <c r="G278" i="33"/>
  <c r="F187" i="33"/>
  <c r="W155" i="33"/>
  <c r="J187" i="33"/>
  <c r="AE146" i="33"/>
  <c r="AH229" i="33"/>
  <c r="I286" i="33"/>
  <c r="I201" i="33"/>
  <c r="X147" i="33"/>
  <c r="AB164" i="33"/>
  <c r="U145" i="33"/>
  <c r="AA93" i="33"/>
  <c r="Z67" i="33"/>
  <c r="Y67" i="33"/>
  <c r="Y92" i="33"/>
  <c r="AD285" i="33"/>
  <c r="AD237" i="33"/>
  <c r="Y147" i="33"/>
  <c r="AE229" i="33"/>
  <c r="AI229" i="33"/>
  <c r="AG139" i="33"/>
  <c r="AG137" i="33"/>
  <c r="R294" i="33"/>
  <c r="AB107" i="33"/>
  <c r="W108" i="33"/>
  <c r="W103" i="33"/>
  <c r="W104" i="33"/>
  <c r="W63" i="33"/>
  <c r="W111" i="33"/>
  <c r="T150" i="33"/>
  <c r="AG115" i="33"/>
  <c r="AL115" i="33"/>
  <c r="AB49" i="33"/>
  <c r="AB67" i="33"/>
  <c r="F284" i="33"/>
  <c r="F192" i="33"/>
  <c r="F154" i="33"/>
  <c r="G279" i="33"/>
  <c r="E234" i="33"/>
  <c r="E224" i="33"/>
  <c r="I234" i="33"/>
  <c r="I224" i="33"/>
  <c r="J284" i="33"/>
  <c r="J154" i="33"/>
  <c r="J192" i="33"/>
  <c r="AF146" i="33"/>
  <c r="AH146" i="33"/>
  <c r="AA67" i="33"/>
  <c r="X58" i="33"/>
  <c r="X144" i="33"/>
  <c r="AC93" i="33"/>
  <c r="X57" i="33"/>
  <c r="AB34" i="33"/>
  <c r="Z92" i="33"/>
  <c r="Z147" i="33"/>
  <c r="AE285" i="33"/>
  <c r="AE237" i="33"/>
  <c r="AB43" i="33"/>
  <c r="AB206" i="33"/>
  <c r="AE102" i="33"/>
  <c r="AF102" i="33"/>
  <c r="AB183" i="33"/>
  <c r="AB66" i="33"/>
  <c r="AJ229" i="33"/>
  <c r="AB136" i="33"/>
  <c r="R218" i="33"/>
  <c r="AL123" i="33"/>
  <c r="AL124" i="33"/>
  <c r="W105" i="33"/>
  <c r="W109" i="33"/>
  <c r="AB83" i="33"/>
  <c r="AB48" i="33"/>
  <c r="W112" i="33"/>
  <c r="AB94" i="33"/>
  <c r="W73" i="33"/>
  <c r="G187" i="33"/>
  <c r="F201" i="33"/>
  <c r="F286" i="33"/>
  <c r="U150" i="33"/>
  <c r="J201" i="33"/>
  <c r="J286" i="33"/>
  <c r="V145" i="33"/>
  <c r="AB221" i="33"/>
  <c r="AG220" i="33"/>
  <c r="AG213" i="33"/>
  <c r="AG215" i="33"/>
  <c r="AL214" i="33"/>
  <c r="AG205" i="33"/>
  <c r="AG207" i="33"/>
  <c r="AG200" i="33"/>
  <c r="AB199" i="33"/>
  <c r="AG196" i="33"/>
  <c r="W150" i="33"/>
  <c r="AD93" i="33"/>
  <c r="Y58" i="33"/>
  <c r="Y57" i="33"/>
  <c r="D23" i="35"/>
  <c r="AB191" i="33"/>
  <c r="AA92" i="33"/>
  <c r="AF237" i="33"/>
  <c r="AF285" i="33"/>
  <c r="AG212" i="33"/>
  <c r="AB194" i="33"/>
  <c r="AB208" i="33"/>
  <c r="AD102" i="33"/>
  <c r="AG101" i="33"/>
  <c r="AC102" i="33"/>
  <c r="AL126" i="33"/>
  <c r="AL127" i="33"/>
  <c r="W74" i="33"/>
  <c r="AB59" i="33"/>
  <c r="F234" i="33"/>
  <c r="F224" i="33"/>
  <c r="I154" i="33"/>
  <c r="G192" i="33"/>
  <c r="G284" i="33"/>
  <c r="H187" i="33"/>
  <c r="G154" i="33"/>
  <c r="AI146" i="33"/>
  <c r="J234" i="33"/>
  <c r="J224" i="33"/>
  <c r="X145" i="33"/>
  <c r="V150" i="33"/>
  <c r="K284" i="33"/>
  <c r="K154" i="33"/>
  <c r="K192" i="33"/>
  <c r="Z57" i="33"/>
  <c r="AG285" i="33"/>
  <c r="AA147" i="33"/>
  <c r="AB98" i="33"/>
  <c r="AG106" i="33"/>
  <c r="AE93" i="33"/>
  <c r="Z58" i="33"/>
  <c r="Y144" i="33"/>
  <c r="D24" i="35"/>
  <c r="AC92" i="33"/>
  <c r="AH237" i="33"/>
  <c r="AH285" i="33"/>
  <c r="L37" i="33"/>
  <c r="D29" i="35"/>
  <c r="AB197" i="33"/>
  <c r="AG66" i="33"/>
  <c r="AH102" i="33"/>
  <c r="AL135" i="33"/>
  <c r="AG91" i="33"/>
  <c r="AB71" i="33"/>
  <c r="AB56" i="33"/>
  <c r="AB155" i="33"/>
  <c r="AJ146" i="33"/>
  <c r="H284" i="33"/>
  <c r="H192" i="33"/>
  <c r="G286" i="33"/>
  <c r="G201" i="33"/>
  <c r="K201" i="33"/>
  <c r="K286" i="33"/>
  <c r="Y145" i="33"/>
  <c r="AA40" i="35"/>
  <c r="G40" i="35"/>
  <c r="G41" i="35"/>
  <c r="W294" i="33"/>
  <c r="AG164" i="33"/>
  <c r="W189" i="33"/>
  <c r="X150" i="33"/>
  <c r="AA57" i="33"/>
  <c r="AA58" i="33"/>
  <c r="K40" i="35"/>
  <c r="R40" i="35"/>
  <c r="S40" i="35"/>
  <c r="W40" i="35"/>
  <c r="H40" i="35"/>
  <c r="AG40" i="35"/>
  <c r="AG41" i="35"/>
  <c r="L40" i="35"/>
  <c r="AB40" i="35"/>
  <c r="AD40" i="35"/>
  <c r="AE40" i="35"/>
  <c r="T40" i="35"/>
  <c r="V40" i="35"/>
  <c r="X40" i="35"/>
  <c r="Z40" i="35"/>
  <c r="M40" i="35"/>
  <c r="AC40" i="35"/>
  <c r="N40" i="35"/>
  <c r="O40" i="35"/>
  <c r="P40" i="35"/>
  <c r="F40" i="35"/>
  <c r="Q40" i="35"/>
  <c r="U40" i="35"/>
  <c r="J40" i="35"/>
  <c r="I40" i="35"/>
  <c r="Y40" i="35"/>
  <c r="AI40" i="35"/>
  <c r="AI41" i="35"/>
  <c r="Y150" i="33"/>
  <c r="AB103" i="33"/>
  <c r="Z144" i="33"/>
  <c r="AF93" i="33"/>
  <c r="AA144" i="33"/>
  <c r="D25" i="35"/>
  <c r="AD92" i="33"/>
  <c r="AI237" i="33"/>
  <c r="AI285" i="33"/>
  <c r="M153" i="33"/>
  <c r="M37" i="33"/>
  <c r="AD147" i="33"/>
  <c r="AC147" i="33"/>
  <c r="AI102" i="33"/>
  <c r="AL137" i="33"/>
  <c r="AB72" i="33"/>
  <c r="AB111" i="33"/>
  <c r="AB104" i="33"/>
  <c r="AG107" i="33"/>
  <c r="AB63" i="33"/>
  <c r="AB108" i="33"/>
  <c r="AK146" i="33"/>
  <c r="G224" i="33"/>
  <c r="G234" i="33"/>
  <c r="H201" i="33"/>
  <c r="H286" i="33"/>
  <c r="K234" i="33"/>
  <c r="K224" i="33"/>
  <c r="Z145" i="33"/>
  <c r="AC144" i="33"/>
  <c r="AC58" i="33"/>
  <c r="AH93" i="33"/>
  <c r="AC57" i="33"/>
  <c r="AG34" i="33"/>
  <c r="D27" i="35"/>
  <c r="AE92" i="33"/>
  <c r="AG43" i="33"/>
  <c r="AJ285" i="33"/>
  <c r="AJ237" i="33"/>
  <c r="AG206" i="33"/>
  <c r="AJ102" i="33"/>
  <c r="AQ123" i="33"/>
  <c r="AQ124" i="33"/>
  <c r="AL139" i="33"/>
  <c r="AG136" i="33"/>
  <c r="AB112" i="33"/>
  <c r="AB105" i="33"/>
  <c r="AG48" i="33"/>
  <c r="AB109" i="33"/>
  <c r="AG94" i="33"/>
  <c r="AG83" i="33"/>
  <c r="AB73" i="33"/>
  <c r="W218" i="33"/>
  <c r="H234" i="33"/>
  <c r="H224" i="33"/>
  <c r="AA145" i="33"/>
  <c r="Z150" i="33"/>
  <c r="AG221" i="33"/>
  <c r="AL220" i="33"/>
  <c r="AL213" i="33"/>
  <c r="AL215" i="33"/>
  <c r="AL205" i="33"/>
  <c r="AL207" i="33"/>
  <c r="AL200" i="33"/>
  <c r="AG199" i="33"/>
  <c r="AL196" i="33"/>
  <c r="AE147" i="33"/>
  <c r="AI93" i="33"/>
  <c r="AD57" i="33"/>
  <c r="AD58" i="33"/>
  <c r="V41" i="35"/>
  <c r="Q41" i="35"/>
  <c r="W41" i="35"/>
  <c r="I41" i="35"/>
  <c r="AC41" i="35"/>
  <c r="O41" i="35"/>
  <c r="R41" i="35"/>
  <c r="H41" i="35"/>
  <c r="X41" i="35"/>
  <c r="Y41" i="35"/>
  <c r="AD41" i="35"/>
  <c r="AE41" i="35"/>
  <c r="S41" i="35"/>
  <c r="J41" i="35"/>
  <c r="Z41" i="35"/>
  <c r="F41" i="35"/>
  <c r="L41" i="35"/>
  <c r="P41" i="35"/>
  <c r="K41" i="35"/>
  <c r="AA41" i="35"/>
  <c r="M41" i="35"/>
  <c r="N41" i="35"/>
  <c r="T41" i="35"/>
  <c r="AB41" i="35"/>
  <c r="U41" i="35"/>
  <c r="AG191" i="33"/>
  <c r="AF92" i="33"/>
  <c r="AK237" i="33"/>
  <c r="AK285" i="33"/>
  <c r="AG194" i="33"/>
  <c r="AG208" i="33"/>
  <c r="AK102" i="33"/>
  <c r="AL101" i="33"/>
  <c r="AM93" i="33"/>
  <c r="AB74" i="33"/>
  <c r="AG59" i="33"/>
  <c r="AA150" i="33"/>
  <c r="AC145" i="33"/>
  <c r="AE57" i="33"/>
  <c r="AE58" i="33"/>
  <c r="AD144" i="33"/>
  <c r="AL285" i="33"/>
  <c r="AG98" i="33"/>
  <c r="AJ93" i="33"/>
  <c r="AH92" i="33"/>
  <c r="AF147" i="33"/>
  <c r="AG197" i="33"/>
  <c r="AL66" i="33"/>
  <c r="AM102" i="33"/>
  <c r="AN102" i="33"/>
  <c r="AN93" i="33"/>
  <c r="AB150" i="33"/>
  <c r="AL106" i="33"/>
  <c r="AL91" i="33"/>
  <c r="AG71" i="33"/>
  <c r="AG56" i="33"/>
  <c r="AG155" i="33"/>
  <c r="AD145" i="33"/>
  <c r="AB189" i="33"/>
  <c r="AF57" i="33"/>
  <c r="AF58" i="33"/>
  <c r="AL164" i="33"/>
  <c r="AC150" i="33"/>
  <c r="AE144" i="33"/>
  <c r="AH147" i="33"/>
  <c r="AG103" i="33"/>
  <c r="AK93" i="33"/>
  <c r="AI92" i="33"/>
  <c r="AI147" i="33"/>
  <c r="AP43" i="33"/>
  <c r="AO102" i="33"/>
  <c r="AO93" i="33"/>
  <c r="AP162" i="33"/>
  <c r="AP164" i="33"/>
  <c r="AD150" i="33"/>
  <c r="AB294" i="33"/>
  <c r="AG108" i="33"/>
  <c r="AG109" i="33"/>
  <c r="AG72" i="33"/>
  <c r="AG104" i="33"/>
  <c r="AG105" i="33"/>
  <c r="AL107" i="33"/>
  <c r="AG63" i="33"/>
  <c r="AG111" i="33"/>
  <c r="AG112" i="33"/>
  <c r="AL43" i="33"/>
  <c r="AF144" i="33"/>
  <c r="AF145" i="33"/>
  <c r="AH58" i="33"/>
  <c r="AH144" i="33"/>
  <c r="AH57" i="33"/>
  <c r="AE145" i="33"/>
  <c r="AJ92" i="33"/>
  <c r="AJ147" i="33"/>
  <c r="AL206" i="33"/>
  <c r="AQ164" i="33"/>
  <c r="AQ43" i="33"/>
  <c r="AP102" i="33"/>
  <c r="AL83" i="33"/>
  <c r="AM83" i="33"/>
  <c r="AL48" i="33"/>
  <c r="AL136" i="33"/>
  <c r="AL94" i="33"/>
  <c r="AG73" i="33"/>
  <c r="AB218" i="33"/>
  <c r="AE150" i="33"/>
  <c r="AI58" i="33"/>
  <c r="AI57" i="33"/>
  <c r="AL34" i="33"/>
  <c r="AL221" i="33"/>
  <c r="AL199" i="33"/>
  <c r="AK92" i="33"/>
  <c r="AL191" i="33"/>
  <c r="AL208" i="33"/>
  <c r="AL194" i="33"/>
  <c r="AQ101" i="33"/>
  <c r="AP93" i="33"/>
  <c r="AQ106" i="33"/>
  <c r="AQ91" i="33"/>
  <c r="AM101" i="33"/>
  <c r="AN83" i="33"/>
  <c r="AM92" i="33"/>
  <c r="AM66" i="33"/>
  <c r="AK147" i="33"/>
  <c r="AG74" i="33"/>
  <c r="AL59" i="33"/>
  <c r="AG150" i="33"/>
  <c r="AF150" i="33"/>
  <c r="AH145" i="33"/>
  <c r="AI144" i="33"/>
  <c r="AI145" i="33"/>
  <c r="AJ57" i="33"/>
  <c r="AJ58" i="33"/>
  <c r="AH150" i="33"/>
  <c r="AL98" i="33"/>
  <c r="AQ66" i="33"/>
  <c r="AL197" i="33"/>
  <c r="AQ107" i="33"/>
  <c r="AO83" i="33"/>
  <c r="AN101" i="33"/>
  <c r="AN92" i="33"/>
  <c r="AM145" i="33"/>
  <c r="AN145" i="33"/>
  <c r="AN66" i="33"/>
  <c r="AM57" i="33"/>
  <c r="AM58" i="33"/>
  <c r="AM144" i="33"/>
  <c r="AL71" i="33"/>
  <c r="AL56" i="33"/>
  <c r="AG189" i="33"/>
  <c r="AL155" i="33"/>
  <c r="AJ144" i="33"/>
  <c r="AL103" i="33"/>
  <c r="AK57" i="33"/>
  <c r="AK58" i="33"/>
  <c r="AQ94" i="33"/>
  <c r="AP83" i="33"/>
  <c r="AO101" i="33"/>
  <c r="AO92" i="33"/>
  <c r="AN58" i="33"/>
  <c r="AN57" i="33"/>
  <c r="AO66" i="33"/>
  <c r="AL72" i="33"/>
  <c r="AL63" i="33"/>
  <c r="AL108" i="33"/>
  <c r="AL109" i="33"/>
  <c r="AL111" i="33"/>
  <c r="AL112" i="33"/>
  <c r="AL104" i="33"/>
  <c r="AL105" i="33"/>
  <c r="AI150" i="33"/>
  <c r="AG294" i="33"/>
  <c r="AL68" i="33"/>
  <c r="AJ145" i="33"/>
  <c r="AK144" i="33"/>
  <c r="AQ98" i="33"/>
  <c r="AN144" i="33"/>
  <c r="AQ83" i="33"/>
  <c r="AP101" i="33"/>
  <c r="AP92" i="33"/>
  <c r="AO145" i="33"/>
  <c r="AQ63" i="33"/>
  <c r="AQ59" i="33"/>
  <c r="AQ56" i="33"/>
  <c r="AQ48" i="33"/>
  <c r="AP66" i="33"/>
  <c r="AO58" i="33"/>
  <c r="AO57" i="33"/>
  <c r="AM150" i="33"/>
  <c r="AN150" i="33"/>
  <c r="AL73" i="33"/>
  <c r="AL69" i="33"/>
  <c r="AK145" i="33"/>
  <c r="AL76" i="33"/>
  <c r="AG218" i="33"/>
  <c r="AJ150" i="33"/>
  <c r="AK150" i="33"/>
  <c r="AO150" i="33"/>
  <c r="AQ103" i="33"/>
  <c r="AQ108" i="33"/>
  <c r="AQ104" i="33"/>
  <c r="AQ105" i="33"/>
  <c r="AQ111" i="33"/>
  <c r="AQ112" i="33"/>
  <c r="AO144" i="33"/>
  <c r="AP58" i="33"/>
  <c r="AP57" i="33"/>
  <c r="AL77" i="33"/>
  <c r="AL74" i="33"/>
  <c r="AL70" i="33"/>
  <c r="AL150" i="33"/>
  <c r="AL189" i="33"/>
  <c r="AP145" i="33"/>
  <c r="AQ109" i="33"/>
  <c r="AQ68" i="33"/>
  <c r="AQ71" i="33"/>
  <c r="AQ72" i="33"/>
  <c r="AQ150" i="33"/>
  <c r="AQ73" i="33"/>
  <c r="AQ74" i="33"/>
  <c r="AP144" i="33"/>
  <c r="AQ263" i="33"/>
  <c r="AQ294" i="33"/>
  <c r="AP150" i="33"/>
  <c r="AL294" i="33"/>
  <c r="AQ189" i="33"/>
  <c r="AQ76" i="33"/>
  <c r="AQ77" i="33"/>
  <c r="AQ190" i="33"/>
  <c r="AQ69" i="33"/>
  <c r="AQ70" i="33"/>
  <c r="AL218" i="33"/>
  <c r="AP273" i="33"/>
  <c r="AQ273" i="33"/>
  <c r="L74" i="33"/>
  <c r="M68" i="33"/>
  <c r="AP218" i="33"/>
  <c r="AQ218" i="33"/>
  <c r="L80" i="33"/>
  <c r="M80" i="33"/>
  <c r="L81" i="33"/>
  <c r="M81" i="33"/>
  <c r="L103" i="33"/>
  <c r="L105" i="33"/>
  <c r="M103" i="33"/>
  <c r="L109" i="33"/>
  <c r="L112" i="33"/>
  <c r="L145" i="33"/>
  <c r="M105" i="33"/>
  <c r="M112" i="33"/>
  <c r="M109" i="33"/>
  <c r="L116" i="33"/>
  <c r="M116" i="33"/>
  <c r="M117" i="33"/>
  <c r="L148" i="33"/>
  <c r="L117" i="33"/>
  <c r="N211" i="33"/>
  <c r="N216" i="33"/>
  <c r="N179" i="33"/>
  <c r="N26" i="33"/>
  <c r="N182" i="33"/>
  <c r="N36" i="33"/>
  <c r="L42" i="33"/>
  <c r="D34" i="35"/>
  <c r="L156" i="33"/>
  <c r="D31" i="35"/>
  <c r="L40" i="33"/>
  <c r="M38" i="33"/>
  <c r="L41" i="33"/>
  <c r="D30" i="35"/>
  <c r="M42" i="33"/>
  <c r="M40" i="33"/>
  <c r="D32" i="35"/>
  <c r="D33" i="35"/>
  <c r="M219" i="33"/>
  <c r="L222" i="33"/>
  <c r="M156" i="33"/>
  <c r="L236" i="33"/>
  <c r="M222" i="33"/>
  <c r="M188" i="33"/>
  <c r="M198" i="33"/>
  <c r="M193" i="33"/>
  <c r="X161" i="33"/>
  <c r="Y161" i="33"/>
  <c r="Z161" i="33"/>
  <c r="AA161" i="33"/>
  <c r="V39" i="33"/>
  <c r="AC161" i="33"/>
  <c r="X39" i="33"/>
  <c r="AD161" i="33"/>
  <c r="Y39" i="33"/>
  <c r="AE161" i="33"/>
  <c r="Z39" i="33"/>
  <c r="AF161" i="33"/>
  <c r="AA39" i="33"/>
  <c r="AH161" i="33"/>
  <c r="AC39" i="33"/>
  <c r="AI161" i="33"/>
  <c r="AP160" i="33"/>
  <c r="AJ161" i="33"/>
  <c r="AD39" i="33"/>
  <c r="AK161" i="33"/>
  <c r="AE39" i="33"/>
  <c r="AM161" i="33"/>
  <c r="AF39" i="33"/>
  <c r="AN161" i="33"/>
  <c r="AO161" i="33"/>
  <c r="AH39" i="33"/>
  <c r="AP161" i="33"/>
  <c r="AI39" i="33"/>
  <c r="AJ39" i="33"/>
  <c r="AK39" i="33"/>
  <c r="AM39" i="33"/>
  <c r="AN39" i="33"/>
  <c r="AO39" i="33"/>
  <c r="AP39" i="33"/>
  <c r="AP38" i="33"/>
  <c r="AP271" i="33"/>
  <c r="AP275" i="33"/>
  <c r="AQ271" i="33"/>
  <c r="AQ275" i="33"/>
  <c r="L233" i="33"/>
  <c r="M203" i="33"/>
  <c r="L211" i="33"/>
  <c r="L216" i="33"/>
  <c r="L223" i="33"/>
  <c r="M211" i="33"/>
  <c r="M216" i="33"/>
  <c r="M223" i="33"/>
  <c r="L293" i="33"/>
  <c r="L157" i="33"/>
  <c r="N141" i="33"/>
  <c r="M293" i="33"/>
  <c r="M157" i="33"/>
  <c r="N142" i="33"/>
  <c r="N116" i="33"/>
  <c r="O141" i="33"/>
  <c r="O142" i="33"/>
  <c r="M187" i="33"/>
  <c r="L284" i="33"/>
  <c r="N117" i="33"/>
  <c r="O114" i="33"/>
  <c r="O79" i="33"/>
  <c r="N27" i="33"/>
  <c r="N151" i="33"/>
  <c r="L286" i="33"/>
  <c r="R278" i="33"/>
  <c r="M154" i="33"/>
  <c r="M284" i="33"/>
  <c r="M192" i="33"/>
  <c r="M201" i="33"/>
  <c r="M286" i="33"/>
  <c r="N152" i="33"/>
  <c r="O80" i="33"/>
  <c r="P141" i="33"/>
  <c r="R138" i="33"/>
  <c r="O116" i="33"/>
  <c r="L224" i="33"/>
  <c r="R141" i="33"/>
  <c r="Q141" i="33"/>
  <c r="O117" i="33"/>
  <c r="R110" i="33"/>
  <c r="O81" i="33"/>
  <c r="P142" i="33"/>
  <c r="M224" i="33"/>
  <c r="R75" i="33"/>
  <c r="R125" i="33"/>
  <c r="R142" i="33"/>
  <c r="R129" i="33"/>
  <c r="P114" i="33"/>
  <c r="P79" i="33"/>
  <c r="Q142" i="33"/>
  <c r="R131" i="33"/>
  <c r="R132" i="33"/>
  <c r="P116" i="33"/>
  <c r="N37" i="33"/>
  <c r="P80" i="33"/>
  <c r="N35" i="33"/>
  <c r="P117" i="33"/>
  <c r="N42" i="33"/>
  <c r="N40" i="33"/>
  <c r="N41" i="33"/>
  <c r="R106" i="33"/>
  <c r="R111" i="33"/>
  <c r="R108" i="33"/>
  <c r="P81" i="33"/>
  <c r="R73" i="33"/>
  <c r="R74" i="33"/>
  <c r="R112" i="33"/>
  <c r="R109" i="33"/>
  <c r="R107" i="33"/>
  <c r="R104" i="33"/>
  <c r="Q114" i="33"/>
  <c r="Q79" i="33"/>
  <c r="R71" i="33"/>
  <c r="R72" i="33"/>
  <c r="N156" i="33"/>
  <c r="N222" i="33"/>
  <c r="N157" i="33"/>
  <c r="N293" i="33"/>
  <c r="S141" i="33"/>
  <c r="R114" i="33"/>
  <c r="R105" i="33"/>
  <c r="R79" i="33"/>
  <c r="Q116" i="33"/>
  <c r="N236" i="33"/>
  <c r="N223" i="33"/>
  <c r="Q80" i="33"/>
  <c r="S142" i="33"/>
  <c r="T141" i="33"/>
  <c r="Q117" i="33"/>
  <c r="R116" i="33"/>
  <c r="Q81" i="33"/>
  <c r="R80" i="33"/>
  <c r="T142" i="33"/>
  <c r="S114" i="33"/>
  <c r="S79" i="33"/>
  <c r="R81" i="33"/>
  <c r="U141" i="33"/>
  <c r="R117" i="33"/>
  <c r="W110" i="33"/>
  <c r="U142" i="33"/>
  <c r="W138" i="33"/>
  <c r="W75" i="33"/>
  <c r="S116" i="33"/>
  <c r="S80" i="33"/>
  <c r="W141" i="33"/>
  <c r="W125" i="33"/>
  <c r="W79" i="33"/>
  <c r="W114" i="33"/>
  <c r="S117" i="33"/>
  <c r="V141" i="33"/>
  <c r="S81" i="33"/>
  <c r="W142" i="33"/>
  <c r="W129" i="33"/>
  <c r="X129" i="33"/>
  <c r="X131" i="33"/>
  <c r="X132" i="33"/>
  <c r="X114" i="33"/>
  <c r="X116" i="33"/>
  <c r="X117" i="33"/>
  <c r="T114" i="33"/>
  <c r="T79" i="33"/>
  <c r="X141" i="33"/>
  <c r="V142" i="33"/>
  <c r="W131" i="33"/>
  <c r="W132" i="33"/>
  <c r="T80" i="33"/>
  <c r="X142" i="33"/>
  <c r="T116" i="33"/>
  <c r="Y114" i="33"/>
  <c r="Y116" i="33"/>
  <c r="Y117" i="33"/>
  <c r="T117" i="33"/>
  <c r="T81" i="33"/>
  <c r="N284" i="33"/>
  <c r="Y129" i="33"/>
  <c r="Y131" i="33"/>
  <c r="Y132" i="33"/>
  <c r="U114" i="33"/>
  <c r="U79" i="33"/>
  <c r="Y141" i="33"/>
  <c r="N286" i="33"/>
  <c r="Z129" i="33"/>
  <c r="Z131" i="33"/>
  <c r="Z132" i="33"/>
  <c r="AB110" i="33"/>
  <c r="Z114" i="33"/>
  <c r="Z116" i="33"/>
  <c r="AB75" i="33"/>
  <c r="AB138" i="33"/>
  <c r="Z141" i="33"/>
  <c r="U116" i="33"/>
  <c r="U80" i="33"/>
  <c r="N224" i="33"/>
  <c r="Y142" i="33"/>
  <c r="AA129" i="33"/>
  <c r="AA131" i="33"/>
  <c r="AA132" i="33"/>
  <c r="AB141" i="33"/>
  <c r="AA114" i="33"/>
  <c r="AA116" i="33"/>
  <c r="AA117" i="33"/>
  <c r="AB79" i="33"/>
  <c r="Z117" i="33"/>
  <c r="AB114" i="33"/>
  <c r="U117" i="33"/>
  <c r="V114" i="33"/>
  <c r="Z142" i="33"/>
  <c r="U81" i="33"/>
  <c r="AA141" i="33"/>
  <c r="AB125" i="33"/>
  <c r="AB116" i="33"/>
  <c r="AB117" i="33"/>
  <c r="AB142" i="33"/>
  <c r="AB129" i="33"/>
  <c r="V79" i="33"/>
  <c r="AA142" i="33"/>
  <c r="AC114" i="33"/>
  <c r="AC116" i="33"/>
  <c r="AC117" i="33"/>
  <c r="AC129" i="33"/>
  <c r="AC131" i="33"/>
  <c r="AC132" i="33"/>
  <c r="AB131" i="33"/>
  <c r="AB132" i="33"/>
  <c r="V80" i="33"/>
  <c r="W80" i="33"/>
  <c r="W81" i="33"/>
  <c r="V116" i="33"/>
  <c r="W116" i="33"/>
  <c r="W117" i="33"/>
  <c r="AC141" i="33"/>
  <c r="V117" i="33"/>
  <c r="V81" i="33"/>
  <c r="AD114" i="33"/>
  <c r="AD116" i="33"/>
  <c r="AD117" i="33"/>
  <c r="X79" i="33"/>
  <c r="AC142" i="33"/>
  <c r="AD141" i="33"/>
  <c r="AD129" i="33"/>
  <c r="AD131" i="33"/>
  <c r="AD132" i="33"/>
  <c r="X80" i="33"/>
  <c r="AE114" i="33"/>
  <c r="AE116" i="33"/>
  <c r="AE117" i="33"/>
  <c r="AE141" i="33"/>
  <c r="AD142" i="33"/>
  <c r="X81" i="33"/>
  <c r="AG75" i="33"/>
  <c r="AG125" i="33"/>
  <c r="AE129" i="33"/>
  <c r="AE131" i="33"/>
  <c r="AE132" i="33"/>
  <c r="AG79" i="33"/>
  <c r="Y79" i="33"/>
  <c r="AE142" i="33"/>
  <c r="AG138" i="33"/>
  <c r="AG141" i="33"/>
  <c r="AF129" i="33"/>
  <c r="AF131" i="33"/>
  <c r="AF132" i="33"/>
  <c r="AG129" i="33"/>
  <c r="AF114" i="33"/>
  <c r="AF116" i="33"/>
  <c r="AG110" i="33"/>
  <c r="AF141" i="33"/>
  <c r="Y80" i="33"/>
  <c r="AG142" i="33"/>
  <c r="AH129" i="33"/>
  <c r="AH131" i="33"/>
  <c r="AH132" i="33"/>
  <c r="AG131" i="33"/>
  <c r="AG132" i="33"/>
  <c r="AH114" i="33"/>
  <c r="AH116" i="33"/>
  <c r="AH117" i="33"/>
  <c r="AG114" i="33"/>
  <c r="AF117" i="33"/>
  <c r="AG116" i="33"/>
  <c r="AG117" i="33"/>
  <c r="Y81" i="33"/>
  <c r="AF142" i="33"/>
  <c r="Z79" i="33"/>
  <c r="AH141" i="33"/>
  <c r="AI114" i="33"/>
  <c r="AI116" i="33"/>
  <c r="AI117" i="33"/>
  <c r="AH142" i="33"/>
  <c r="Z80" i="33"/>
  <c r="AI129" i="33"/>
  <c r="AI131" i="33"/>
  <c r="AI132" i="33"/>
  <c r="AI141" i="33"/>
  <c r="Z81" i="33"/>
  <c r="AJ129" i="33"/>
  <c r="AJ131" i="33"/>
  <c r="AJ132" i="33"/>
  <c r="AJ114" i="33"/>
  <c r="AJ116" i="33"/>
  <c r="AA79" i="33"/>
  <c r="AI142" i="33"/>
  <c r="AJ141" i="33"/>
  <c r="AL138" i="33"/>
  <c r="AL141" i="33"/>
  <c r="AL75" i="33"/>
  <c r="AK114" i="33"/>
  <c r="AK116" i="33"/>
  <c r="AK117" i="33"/>
  <c r="AL110" i="33"/>
  <c r="AL114" i="33"/>
  <c r="AK129" i="33"/>
  <c r="AK131" i="33"/>
  <c r="AK132" i="33"/>
  <c r="AL125" i="33"/>
  <c r="AJ117" i="33"/>
  <c r="AL116" i="33"/>
  <c r="AL117" i="33"/>
  <c r="AL79" i="33"/>
  <c r="AK141" i="33"/>
  <c r="AJ142" i="33"/>
  <c r="AA80" i="33"/>
  <c r="AB80" i="33"/>
  <c r="AB81" i="33"/>
  <c r="AL142" i="33"/>
  <c r="AL129" i="33"/>
  <c r="AK142" i="33"/>
  <c r="AA81" i="33"/>
  <c r="AM141" i="33"/>
  <c r="AM142" i="33"/>
  <c r="AM79" i="33"/>
  <c r="AM80" i="33"/>
  <c r="AM129" i="33"/>
  <c r="AM131" i="33"/>
  <c r="AM132" i="33"/>
  <c r="AM114" i="33"/>
  <c r="AM116" i="33"/>
  <c r="AL131" i="33"/>
  <c r="AL132" i="33"/>
  <c r="AC79" i="33"/>
  <c r="AM81" i="33"/>
  <c r="AN129" i="33"/>
  <c r="AN131" i="33"/>
  <c r="AN132" i="33"/>
  <c r="AN141" i="33"/>
  <c r="AN142" i="33"/>
  <c r="AM117" i="33"/>
  <c r="AN114" i="33"/>
  <c r="AN116" i="33"/>
  <c r="AN117" i="33"/>
  <c r="AN79" i="33"/>
  <c r="AN80" i="33"/>
  <c r="AC80" i="33"/>
  <c r="AP195" i="33"/>
  <c r="AQ195" i="33"/>
  <c r="AN148" i="33"/>
  <c r="AN81" i="33"/>
  <c r="AN27" i="33"/>
  <c r="AN151" i="33"/>
  <c r="AQ75" i="33"/>
  <c r="AQ79" i="33"/>
  <c r="AO79" i="33"/>
  <c r="AO80" i="33"/>
  <c r="AP141" i="33"/>
  <c r="AP142" i="33"/>
  <c r="AO141" i="33"/>
  <c r="AO142" i="33"/>
  <c r="AM27" i="33"/>
  <c r="AM151" i="33"/>
  <c r="AP114" i="33"/>
  <c r="AP116" i="33"/>
  <c r="AP117" i="33"/>
  <c r="AO114" i="33"/>
  <c r="AO116" i="33"/>
  <c r="AO117" i="33"/>
  <c r="AO129" i="33"/>
  <c r="AO131" i="33"/>
  <c r="AO132" i="33"/>
  <c r="AM148" i="33"/>
  <c r="AC81" i="33"/>
  <c r="AQ138" i="33"/>
  <c r="AQ141" i="33"/>
  <c r="AQ142" i="33"/>
  <c r="AQ110" i="33"/>
  <c r="AQ114" i="33"/>
  <c r="AQ116" i="33"/>
  <c r="AQ117" i="33"/>
  <c r="AM152" i="33"/>
  <c r="AO148" i="33"/>
  <c r="AO81" i="33"/>
  <c r="AP79" i="33"/>
  <c r="AP80" i="33"/>
  <c r="AP129" i="33"/>
  <c r="AP131" i="33"/>
  <c r="AP132" i="33"/>
  <c r="AQ125" i="33"/>
  <c r="AQ129" i="33"/>
  <c r="AQ131" i="33"/>
  <c r="AQ132" i="33"/>
  <c r="AO27" i="33"/>
  <c r="AO151" i="33"/>
  <c r="AN152" i="33"/>
  <c r="AD79" i="33"/>
  <c r="AP148" i="33"/>
  <c r="AQ295" i="33"/>
  <c r="AO152" i="33"/>
  <c r="AP81" i="33"/>
  <c r="AQ80" i="33"/>
  <c r="AQ81" i="33"/>
  <c r="AD80" i="33"/>
  <c r="AQ151" i="33"/>
  <c r="AQ27" i="33"/>
  <c r="AP27" i="33"/>
  <c r="AP151" i="33"/>
  <c r="AD81" i="33"/>
  <c r="AP152" i="33"/>
  <c r="AQ152" i="33"/>
  <c r="AE79" i="33"/>
  <c r="AE80" i="33"/>
  <c r="AE81" i="33"/>
  <c r="AF79" i="33"/>
  <c r="AF80" i="33"/>
  <c r="AG80" i="33"/>
  <c r="AG81" i="33"/>
  <c r="AF81" i="33"/>
  <c r="AH79" i="33"/>
  <c r="AH80" i="33"/>
  <c r="AH81" i="33"/>
  <c r="AI79" i="33"/>
  <c r="AI80" i="33"/>
  <c r="AI81" i="33"/>
  <c r="AJ79" i="33"/>
  <c r="AJ80" i="33"/>
  <c r="AJ81" i="33"/>
  <c r="AK79" i="33"/>
  <c r="AK80" i="33"/>
  <c r="AL80" i="33"/>
  <c r="AL81" i="33"/>
  <c r="AK81" i="33"/>
  <c r="N131" i="33"/>
  <c r="N132" i="33"/>
  <c r="N148" i="33"/>
  <c r="O129" i="33"/>
  <c r="O131" i="33"/>
  <c r="O211" i="33"/>
  <c r="O148" i="33"/>
  <c r="O132" i="33"/>
  <c r="P129" i="33"/>
  <c r="O151" i="33"/>
  <c r="O216" i="33"/>
  <c r="O179" i="33"/>
  <c r="O182" i="33"/>
  <c r="O26" i="33"/>
  <c r="P131" i="33"/>
  <c r="O35" i="33"/>
  <c r="Q129" i="33"/>
  <c r="P132" i="33"/>
  <c r="O36" i="33"/>
  <c r="P148" i="33"/>
  <c r="O27" i="33"/>
  <c r="P151" i="33"/>
  <c r="O37" i="33"/>
  <c r="O152" i="33"/>
  <c r="O41" i="33"/>
  <c r="O40" i="33"/>
  <c r="P179" i="33"/>
  <c r="P182" i="33"/>
  <c r="O222" i="33"/>
  <c r="O42" i="33"/>
  <c r="O293" i="33"/>
  <c r="O157" i="33"/>
  <c r="P26" i="33"/>
  <c r="Q131" i="33"/>
  <c r="P27" i="33"/>
  <c r="R190" i="33"/>
  <c r="O156" i="33"/>
  <c r="R203" i="33"/>
  <c r="R211" i="33"/>
  <c r="R216" i="33"/>
  <c r="O223" i="33"/>
  <c r="O236" i="33"/>
  <c r="P36" i="33"/>
  <c r="Q132" i="33"/>
  <c r="Q148" i="33"/>
  <c r="S129" i="33"/>
  <c r="Q151" i="33"/>
  <c r="P152" i="33"/>
  <c r="R151" i="33"/>
  <c r="S131" i="33"/>
  <c r="S132" i="33"/>
  <c r="T129" i="33"/>
  <c r="Q152" i="33"/>
  <c r="R26" i="33"/>
  <c r="R27" i="33"/>
  <c r="R36" i="33"/>
  <c r="S151" i="33"/>
  <c r="S148" i="33"/>
  <c r="R152" i="33"/>
  <c r="T131" i="33"/>
  <c r="T132" i="33"/>
  <c r="U129" i="33"/>
  <c r="T148" i="33"/>
  <c r="T151" i="33"/>
  <c r="O284" i="33"/>
  <c r="U131" i="33"/>
  <c r="O286" i="33"/>
  <c r="S152" i="33"/>
  <c r="O224" i="33"/>
  <c r="U132" i="33"/>
  <c r="U148" i="33"/>
  <c r="V129" i="33"/>
  <c r="P37" i="33"/>
  <c r="U151" i="33"/>
  <c r="T152" i="33"/>
  <c r="V131" i="33"/>
  <c r="P42" i="33"/>
  <c r="P35" i="33"/>
  <c r="W190" i="33"/>
  <c r="P40" i="33"/>
  <c r="P41" i="33"/>
  <c r="V148" i="33"/>
  <c r="V132" i="33"/>
  <c r="P156" i="33"/>
  <c r="P157" i="33"/>
  <c r="P293" i="33"/>
  <c r="W295" i="33"/>
  <c r="V151" i="33"/>
  <c r="V179" i="33"/>
  <c r="P236" i="33"/>
  <c r="V26" i="33"/>
  <c r="V181" i="33"/>
  <c r="W151" i="33"/>
  <c r="U152" i="33"/>
  <c r="X148" i="33"/>
  <c r="V36" i="33"/>
  <c r="V27" i="33"/>
  <c r="W26" i="33"/>
  <c r="W27" i="33"/>
  <c r="V152" i="33"/>
  <c r="W36" i="33"/>
  <c r="X151" i="33"/>
  <c r="W152" i="33"/>
  <c r="X181" i="33"/>
  <c r="Y148" i="33"/>
  <c r="X36" i="33"/>
  <c r="X27" i="33"/>
  <c r="Y151" i="33"/>
  <c r="X152" i="33"/>
  <c r="Y181" i="33"/>
  <c r="Z148" i="33"/>
  <c r="Z151" i="33"/>
  <c r="Y27" i="33"/>
  <c r="Y36" i="33"/>
  <c r="Y152" i="33"/>
  <c r="P224" i="33"/>
  <c r="Z181" i="33"/>
  <c r="Z36" i="33"/>
  <c r="Z27" i="33"/>
  <c r="AA148" i="33"/>
  <c r="AB190" i="33"/>
  <c r="Z152" i="33"/>
  <c r="AA151" i="33"/>
  <c r="AB151" i="33"/>
  <c r="AC148" i="33"/>
  <c r="AA181" i="33"/>
  <c r="AA27" i="33"/>
  <c r="AC179" i="33"/>
  <c r="AC151" i="33"/>
  <c r="AA36" i="33"/>
  <c r="AA152" i="33"/>
  <c r="AB36" i="33"/>
  <c r="AC26" i="33"/>
  <c r="AC181" i="33"/>
  <c r="AB152" i="33"/>
  <c r="AC27" i="33"/>
  <c r="AD148" i="33"/>
  <c r="AC36" i="33"/>
  <c r="AD151" i="33"/>
  <c r="AC152" i="33"/>
  <c r="AD179" i="33"/>
  <c r="AE148" i="33"/>
  <c r="AD26" i="33"/>
  <c r="AD181" i="33"/>
  <c r="AE151" i="33"/>
  <c r="AD36" i="33"/>
  <c r="AD27" i="33"/>
  <c r="AE179" i="33"/>
  <c r="AE26" i="33"/>
  <c r="AE181" i="33"/>
  <c r="AD152" i="33"/>
  <c r="AE27" i="33"/>
  <c r="AG190" i="33"/>
  <c r="AF148" i="33"/>
  <c r="AE36" i="33"/>
  <c r="AG295" i="33"/>
  <c r="AE152" i="33"/>
  <c r="AF151" i="33"/>
  <c r="AG151" i="33"/>
  <c r="AF179" i="33"/>
  <c r="AF181" i="33"/>
  <c r="AF26" i="33"/>
  <c r="AH151" i="33"/>
  <c r="AF36" i="33"/>
  <c r="AH148" i="33"/>
  <c r="AG26" i="33"/>
  <c r="AF27" i="33"/>
  <c r="AH179" i="33"/>
  <c r="AF152" i="33"/>
  <c r="AG27" i="33"/>
  <c r="AG152" i="33"/>
  <c r="AG36" i="33"/>
  <c r="AH181" i="33"/>
  <c r="AH26" i="33"/>
  <c r="AI179" i="33"/>
  <c r="AH36" i="33"/>
  <c r="AI151" i="33"/>
  <c r="AH27" i="33"/>
  <c r="AI148" i="33"/>
  <c r="AH152" i="33"/>
  <c r="AI26" i="33"/>
  <c r="AI181" i="33"/>
  <c r="AI27" i="33"/>
  <c r="AI36" i="33"/>
  <c r="AJ151" i="33"/>
  <c r="AI152" i="33"/>
  <c r="AJ148" i="33"/>
  <c r="AJ179" i="33"/>
  <c r="AQ204" i="33"/>
  <c r="AK148" i="33"/>
  <c r="AJ181" i="33"/>
  <c r="AJ26" i="33"/>
  <c r="AL190" i="33"/>
  <c r="AK179" i="33"/>
  <c r="AK151" i="33"/>
  <c r="AL295" i="33"/>
  <c r="AJ27" i="33"/>
  <c r="AJ36" i="33"/>
  <c r="AK26" i="33"/>
  <c r="AK181" i="33"/>
  <c r="AJ152" i="33"/>
  <c r="AL151" i="33"/>
  <c r="AL26" i="33"/>
  <c r="AK27" i="33"/>
  <c r="AK36" i="33"/>
  <c r="AL36" i="33"/>
  <c r="AK152" i="33"/>
  <c r="AL27" i="33"/>
  <c r="AL152" i="33"/>
  <c r="V233" i="33"/>
  <c r="Z233" i="33"/>
  <c r="AI233" i="33"/>
  <c r="AM233" i="33"/>
  <c r="Q35" i="33"/>
  <c r="AA233" i="33"/>
  <c r="W203" i="33"/>
  <c r="W211" i="33"/>
  <c r="W216" i="33"/>
  <c r="AF233" i="33"/>
  <c r="AN233" i="33"/>
  <c r="AJ233" i="33"/>
  <c r="AE233" i="33"/>
  <c r="R37" i="33"/>
  <c r="Q40" i="33"/>
  <c r="Q41" i="33"/>
  <c r="Q156" i="33"/>
  <c r="AB203" i="33"/>
  <c r="AB211" i="33"/>
  <c r="AB216" i="33"/>
  <c r="AO233" i="33"/>
  <c r="AP233" i="33"/>
  <c r="AK233" i="33"/>
  <c r="AG203" i="33"/>
  <c r="AG211" i="33"/>
  <c r="AG216" i="33"/>
  <c r="AL203" i="33"/>
  <c r="AL211" i="33"/>
  <c r="AL216" i="33"/>
  <c r="R219" i="33"/>
  <c r="R222" i="33"/>
  <c r="R223" i="33"/>
  <c r="R35" i="33"/>
  <c r="Q293" i="33"/>
  <c r="Q157" i="33"/>
  <c r="I280" i="33"/>
  <c r="K280" i="33"/>
  <c r="J280" i="33"/>
  <c r="L280" i="33"/>
  <c r="O280" i="33"/>
  <c r="P280" i="33"/>
  <c r="D280" i="33"/>
  <c r="F280" i="33"/>
  <c r="N280" i="33"/>
  <c r="E280" i="33"/>
  <c r="G280" i="33"/>
  <c r="AP211" i="33"/>
  <c r="AP216" i="33"/>
  <c r="J158" i="33"/>
  <c r="O158" i="33"/>
  <c r="K158" i="33"/>
  <c r="I158" i="33"/>
  <c r="M280" i="33"/>
  <c r="R157" i="33"/>
  <c r="R293" i="33"/>
  <c r="Q158" i="33"/>
  <c r="L158" i="33"/>
  <c r="N158" i="33"/>
  <c r="R280" i="33"/>
  <c r="H280" i="33"/>
  <c r="Q236" i="33"/>
  <c r="R38" i="33"/>
  <c r="R40" i="33"/>
  <c r="R39" i="33"/>
  <c r="R42" i="33"/>
  <c r="R156" i="33"/>
  <c r="P158" i="33"/>
  <c r="AQ203" i="33"/>
  <c r="AQ211" i="33"/>
  <c r="AQ216" i="33"/>
  <c r="H282" i="33"/>
  <c r="R193" i="33"/>
  <c r="R158" i="33"/>
  <c r="R282" i="33"/>
  <c r="M158" i="33"/>
  <c r="M282" i="33"/>
  <c r="R41" i="33"/>
  <c r="R44" i="33"/>
  <c r="R198" i="33"/>
  <c r="R188" i="33"/>
  <c r="W278" i="33"/>
  <c r="Q284" i="33"/>
  <c r="Q286" i="33"/>
  <c r="R187" i="33"/>
  <c r="Q192" i="33"/>
  <c r="Q201" i="33"/>
  <c r="Q224" i="33"/>
  <c r="R192" i="33"/>
  <c r="R201" i="33"/>
  <c r="R224" i="33"/>
  <c r="R284" i="33"/>
  <c r="R286" i="33"/>
  <c r="R154" i="33"/>
  <c r="S35" i="33"/>
  <c r="S156" i="33"/>
  <c r="S41" i="33"/>
  <c r="S40" i="33"/>
  <c r="S157" i="33"/>
  <c r="S293" i="33"/>
  <c r="S236" i="33"/>
  <c r="S158" i="33"/>
  <c r="S284" i="33"/>
  <c r="S286" i="33"/>
  <c r="S192" i="33"/>
  <c r="S201" i="33"/>
  <c r="S224" i="33"/>
  <c r="T35" i="33"/>
  <c r="T156" i="33"/>
  <c r="T40" i="33"/>
  <c r="T41" i="33"/>
  <c r="T293" i="33"/>
  <c r="T157" i="33"/>
  <c r="T158" i="33"/>
  <c r="T236" i="33"/>
  <c r="T284" i="33"/>
  <c r="T286" i="33"/>
  <c r="T192" i="33"/>
  <c r="T201" i="33"/>
  <c r="T224" i="33"/>
  <c r="U35" i="33"/>
  <c r="U156" i="33"/>
  <c r="U40" i="33"/>
  <c r="U41" i="33"/>
  <c r="U157" i="33"/>
  <c r="U293" i="33"/>
  <c r="U236" i="33"/>
  <c r="U158" i="33"/>
  <c r="U192" i="33"/>
  <c r="U201" i="33"/>
  <c r="U224" i="33"/>
  <c r="U284" i="33"/>
  <c r="U286" i="33"/>
  <c r="V35" i="33"/>
  <c r="V37" i="33"/>
  <c r="V42" i="33"/>
  <c r="V156" i="33"/>
  <c r="W35" i="33"/>
  <c r="W153" i="33"/>
  <c r="W37" i="33"/>
  <c r="V40" i="33"/>
  <c r="V41" i="33"/>
  <c r="W293" i="33"/>
  <c r="W157" i="33"/>
  <c r="W219" i="33"/>
  <c r="W222" i="33"/>
  <c r="V293" i="33"/>
  <c r="V157" i="33"/>
  <c r="W39" i="33"/>
  <c r="W42" i="33"/>
  <c r="W156" i="33"/>
  <c r="W38" i="33"/>
  <c r="W40" i="33"/>
  <c r="W223" i="33"/>
  <c r="W236" i="33"/>
  <c r="W41" i="33"/>
  <c r="W44" i="33"/>
  <c r="V236" i="33"/>
  <c r="V158" i="33"/>
  <c r="W158" i="33"/>
  <c r="W193" i="33"/>
  <c r="W188" i="33"/>
  <c r="W198" i="33"/>
  <c r="AB278" i="33"/>
  <c r="W187" i="33"/>
  <c r="V284" i="33"/>
  <c r="V286" i="33"/>
  <c r="V192" i="33"/>
  <c r="V201" i="33"/>
  <c r="V224" i="33"/>
  <c r="W284" i="33"/>
  <c r="W286" i="33"/>
  <c r="W192" i="33"/>
  <c r="W201" i="33"/>
  <c r="W224" i="33"/>
  <c r="W154" i="33"/>
  <c r="X35" i="33"/>
  <c r="X37" i="33"/>
  <c r="X42" i="33"/>
  <c r="X156" i="33"/>
  <c r="X40" i="33"/>
  <c r="X41" i="33"/>
  <c r="X158" i="33"/>
  <c r="X157" i="33"/>
  <c r="X293" i="33"/>
  <c r="X236" i="33"/>
  <c r="X284" i="33"/>
  <c r="X286" i="33"/>
  <c r="X192" i="33"/>
  <c r="X201" i="33"/>
  <c r="X224" i="33"/>
  <c r="Y35" i="33"/>
  <c r="Y37" i="33"/>
  <c r="Y42" i="33"/>
  <c r="Y156" i="33"/>
  <c r="Y40" i="33"/>
  <c r="Y41" i="33"/>
  <c r="Y293" i="33"/>
  <c r="Y157" i="33"/>
  <c r="Y236" i="33"/>
  <c r="Y158" i="33"/>
  <c r="Y192" i="33"/>
  <c r="Y201" i="33"/>
  <c r="Y224" i="33"/>
  <c r="Y284" i="33"/>
  <c r="Y286" i="33"/>
  <c r="Z37" i="33"/>
  <c r="Z42" i="33"/>
  <c r="Z156" i="33"/>
  <c r="Z35" i="33"/>
  <c r="Z40" i="33"/>
  <c r="Z41" i="33"/>
  <c r="Z157" i="33"/>
  <c r="Z293" i="33"/>
  <c r="Z158" i="33"/>
  <c r="Z236" i="33"/>
  <c r="Z284" i="33"/>
  <c r="Z286" i="33"/>
  <c r="Z192" i="33"/>
  <c r="Z201" i="33"/>
  <c r="Z224" i="33"/>
  <c r="AA35" i="33"/>
  <c r="AA37" i="33"/>
  <c r="AA42" i="33"/>
  <c r="AA156" i="33"/>
  <c r="AB35" i="33"/>
  <c r="AB153" i="33"/>
  <c r="AB37" i="33"/>
  <c r="AA40" i="33"/>
  <c r="AA41" i="33"/>
  <c r="AB219" i="33"/>
  <c r="AB222" i="33"/>
  <c r="AB223" i="33"/>
  <c r="AA293" i="33"/>
  <c r="AA157" i="33"/>
  <c r="AB38" i="33"/>
  <c r="AB40" i="33"/>
  <c r="AB39" i="33"/>
  <c r="AB42" i="33"/>
  <c r="AB156" i="33"/>
  <c r="AB293" i="33"/>
  <c r="AB157" i="33"/>
  <c r="AB41" i="33"/>
  <c r="AB44" i="33"/>
  <c r="AA158" i="33"/>
  <c r="AA236" i="33"/>
  <c r="AB193" i="33"/>
  <c r="AB158" i="33"/>
  <c r="AB198" i="33"/>
  <c r="AB188" i="33"/>
  <c r="AG278" i="33"/>
  <c r="AA284" i="33"/>
  <c r="AA286" i="33"/>
  <c r="AB187" i="33"/>
  <c r="AB298" i="33"/>
  <c r="AA192" i="33"/>
  <c r="AA201" i="33"/>
  <c r="AA224" i="33"/>
  <c r="AB192" i="33"/>
  <c r="AB201" i="33"/>
  <c r="AB224" i="33"/>
  <c r="AB284" i="33"/>
  <c r="AB286" i="33"/>
  <c r="AB154" i="33"/>
  <c r="AC35" i="33"/>
  <c r="AC37" i="33"/>
  <c r="AC42" i="33"/>
  <c r="AC156" i="33"/>
  <c r="AC40" i="33"/>
  <c r="AC41" i="33"/>
  <c r="AC157" i="33"/>
  <c r="AC293" i="33"/>
  <c r="AC158" i="33"/>
  <c r="AC236" i="33"/>
  <c r="AC192" i="33"/>
  <c r="AC201" i="33"/>
  <c r="AC224" i="33"/>
  <c r="AC284" i="33"/>
  <c r="AC286" i="33"/>
  <c r="AD35" i="33"/>
  <c r="AD37" i="33"/>
  <c r="AD42" i="33"/>
  <c r="AD156" i="33"/>
  <c r="AD41" i="33"/>
  <c r="AD40" i="33"/>
  <c r="AD157" i="33"/>
  <c r="AD293" i="33"/>
  <c r="AD158" i="33"/>
  <c r="AD236" i="33"/>
  <c r="AD192" i="33"/>
  <c r="AD201" i="33"/>
  <c r="AD224" i="33"/>
  <c r="AD284" i="33"/>
  <c r="AD286" i="33"/>
  <c r="AE35" i="33"/>
  <c r="AE37" i="33"/>
  <c r="AE42" i="33"/>
  <c r="AE156" i="33"/>
  <c r="AE41" i="33"/>
  <c r="AE40" i="33"/>
  <c r="AE293" i="33"/>
  <c r="AE157" i="33"/>
  <c r="AE236" i="33"/>
  <c r="AE158" i="33"/>
  <c r="AE284" i="33"/>
  <c r="AE286" i="33"/>
  <c r="AE192" i="33"/>
  <c r="AE201" i="33"/>
  <c r="AE224" i="33"/>
  <c r="AF37" i="33"/>
  <c r="AF42" i="33"/>
  <c r="AF156" i="33"/>
  <c r="AF35" i="33"/>
  <c r="AG153" i="33"/>
  <c r="AG37" i="33"/>
  <c r="AG35" i="33"/>
  <c r="AF40" i="33"/>
  <c r="AF41" i="33"/>
  <c r="AG219" i="33"/>
  <c r="AG222" i="33"/>
  <c r="AG223" i="33"/>
  <c r="AG38" i="33"/>
  <c r="AG40" i="33"/>
  <c r="AG39" i="33"/>
  <c r="AG42" i="33"/>
  <c r="AG156" i="33"/>
  <c r="AF293" i="33"/>
  <c r="AF157" i="33"/>
  <c r="AG293" i="33"/>
  <c r="AG157" i="33"/>
  <c r="AF236" i="33"/>
  <c r="AF158" i="33"/>
  <c r="AG41" i="33"/>
  <c r="AG44" i="33"/>
  <c r="AG158" i="33"/>
  <c r="AG193" i="33"/>
  <c r="AG188" i="33"/>
  <c r="AG198" i="33"/>
  <c r="AL278" i="33"/>
  <c r="AF284" i="33"/>
  <c r="AF286" i="33"/>
  <c r="AF192" i="33"/>
  <c r="AF201" i="33"/>
  <c r="AF224" i="33"/>
  <c r="AG187" i="33"/>
  <c r="AG284" i="33"/>
  <c r="AG286" i="33"/>
  <c r="AG192" i="33"/>
  <c r="AG201" i="33"/>
  <c r="AG224" i="33"/>
  <c r="AG154" i="33"/>
  <c r="AH35" i="33"/>
  <c r="AH37" i="33"/>
  <c r="AH42" i="33"/>
  <c r="AH156" i="33"/>
  <c r="AH41" i="33"/>
  <c r="AH40" i="33"/>
  <c r="AH293" i="33"/>
  <c r="AH157" i="33"/>
  <c r="AH158" i="33"/>
  <c r="AH236" i="33"/>
  <c r="AH192" i="33"/>
  <c r="AH201" i="33"/>
  <c r="AH224" i="33"/>
  <c r="AH284" i="33"/>
  <c r="AH286" i="33"/>
  <c r="AI35" i="33"/>
  <c r="AI37" i="33"/>
  <c r="AI42" i="33"/>
  <c r="AI156" i="33"/>
  <c r="AI40" i="33"/>
  <c r="AI41" i="33"/>
  <c r="AI157" i="33"/>
  <c r="AI293" i="33"/>
  <c r="AI158" i="33"/>
  <c r="AI236" i="33"/>
  <c r="AI284" i="33"/>
  <c r="AI286" i="33"/>
  <c r="AI192" i="33"/>
  <c r="AI201" i="33"/>
  <c r="AI224" i="33"/>
  <c r="AJ35" i="33"/>
  <c r="AJ37" i="33"/>
  <c r="AJ42" i="33"/>
  <c r="AJ156" i="33"/>
  <c r="AJ41" i="33"/>
  <c r="AJ40" i="33"/>
  <c r="AJ293" i="33"/>
  <c r="AJ157" i="33"/>
  <c r="AJ158" i="33"/>
  <c r="AJ236" i="33"/>
  <c r="AJ284" i="33"/>
  <c r="AJ286" i="33"/>
  <c r="AJ192" i="33"/>
  <c r="AJ201" i="33"/>
  <c r="AJ224" i="33"/>
  <c r="AK35" i="33"/>
  <c r="AK37" i="33"/>
  <c r="AK42" i="33"/>
  <c r="AK156" i="33"/>
  <c r="AL35" i="33"/>
  <c r="AL153" i="33"/>
  <c r="AL37" i="33"/>
  <c r="AK40" i="33"/>
  <c r="AK41" i="33"/>
  <c r="AK293" i="33"/>
  <c r="AK157" i="33"/>
  <c r="AL293" i="33"/>
  <c r="AL157" i="33"/>
  <c r="AL219" i="33"/>
  <c r="AL222" i="33"/>
  <c r="AL223" i="33"/>
  <c r="AL38" i="33"/>
  <c r="AL40" i="33"/>
  <c r="AL39" i="33"/>
  <c r="AL42" i="33"/>
  <c r="AL156" i="33"/>
  <c r="AL41" i="33"/>
  <c r="AL44" i="33"/>
  <c r="AK236" i="33"/>
  <c r="AK158" i="33"/>
  <c r="AL158" i="33"/>
  <c r="AL193" i="33"/>
  <c r="AL198" i="33"/>
  <c r="AL188" i="33"/>
  <c r="AQ278" i="33"/>
  <c r="AK284" i="33"/>
  <c r="AK286" i="33"/>
  <c r="AL187" i="33"/>
  <c r="AK192" i="33"/>
  <c r="AK201" i="33"/>
  <c r="AK224" i="33"/>
  <c r="AL284" i="33"/>
  <c r="AL286" i="33"/>
  <c r="AL192" i="33"/>
  <c r="AL201" i="33"/>
  <c r="AL224" i="33"/>
  <c r="AL154" i="33"/>
  <c r="AM35" i="33"/>
  <c r="AM37" i="33"/>
  <c r="AM42" i="33"/>
  <c r="AM156" i="33"/>
  <c r="AM41" i="33"/>
  <c r="AM40" i="33"/>
  <c r="AM157" i="33"/>
  <c r="AM293" i="33"/>
  <c r="AM236" i="33"/>
  <c r="AM158" i="33"/>
  <c r="AM192" i="33"/>
  <c r="AM201" i="33"/>
  <c r="AM224" i="33"/>
  <c r="AM284" i="33"/>
  <c r="AM286" i="33"/>
  <c r="AN35" i="33"/>
  <c r="AN37" i="33"/>
  <c r="AN42" i="33"/>
  <c r="AN156" i="33"/>
  <c r="AN41" i="33"/>
  <c r="AN40" i="33"/>
  <c r="AN293" i="33"/>
  <c r="AN157" i="33"/>
  <c r="AN158" i="33"/>
  <c r="AN236" i="33"/>
  <c r="AN284" i="33"/>
  <c r="AN286" i="33"/>
  <c r="AN192" i="33"/>
  <c r="AN201" i="33"/>
  <c r="AN224" i="33"/>
  <c r="AO35" i="33"/>
  <c r="AO37" i="33"/>
  <c r="AO42" i="33"/>
  <c r="AO156" i="33"/>
  <c r="AO40" i="33"/>
  <c r="AO41" i="33"/>
  <c r="AO293" i="33"/>
  <c r="AO157" i="33"/>
  <c r="AO158" i="33"/>
  <c r="AO236" i="33"/>
  <c r="AP278" i="33"/>
  <c r="AO192" i="33"/>
  <c r="AO201" i="33"/>
  <c r="AO224" i="33"/>
  <c r="AO284" i="33"/>
  <c r="AO286" i="33"/>
  <c r="AP35" i="33"/>
  <c r="AP37" i="33"/>
  <c r="AP42" i="33"/>
  <c r="AP156" i="33"/>
  <c r="AP41" i="33"/>
  <c r="AP40" i="33"/>
  <c r="AQ153" i="33"/>
  <c r="AQ37" i="33"/>
  <c r="AP219" i="33"/>
  <c r="AP293" i="33"/>
  <c r="AP157" i="33"/>
  <c r="AQ219" i="33"/>
  <c r="AQ222" i="33"/>
  <c r="AQ223" i="33"/>
  <c r="AP222" i="33"/>
  <c r="AQ35" i="33"/>
  <c r="AQ293" i="33"/>
  <c r="AQ157" i="33"/>
  <c r="AQ38" i="33"/>
  <c r="AQ40" i="33"/>
  <c r="AQ39" i="33"/>
  <c r="AQ42" i="33"/>
  <c r="AQ156" i="33"/>
  <c r="AP223" i="33"/>
  <c r="AP236" i="33"/>
  <c r="AP158" i="33"/>
  <c r="AP193" i="33"/>
  <c r="AQ193" i="33"/>
  <c r="AP188" i="33"/>
  <c r="AP198" i="33"/>
  <c r="AQ41" i="33"/>
  <c r="AQ44" i="33"/>
  <c r="AQ158" i="33"/>
  <c r="AQ198" i="33"/>
  <c r="AP264" i="33"/>
  <c r="AQ264" i="33"/>
  <c r="AP262" i="33"/>
  <c r="AQ188" i="33"/>
  <c r="AP265" i="33"/>
  <c r="AP277" i="33"/>
  <c r="AP279" i="33"/>
  <c r="AP187" i="33"/>
  <c r="AQ262" i="33"/>
  <c r="AQ265" i="33"/>
  <c r="AQ277" i="33"/>
  <c r="AQ279" i="33"/>
  <c r="AP284" i="33"/>
  <c r="AP286" i="33"/>
  <c r="AQ187" i="33"/>
  <c r="AP192" i="33"/>
  <c r="AP201" i="33"/>
  <c r="AP224" i="33"/>
  <c r="AQ284" i="33"/>
  <c r="AQ286" i="33"/>
  <c r="AQ192" i="33"/>
  <c r="AQ201" i="33"/>
  <c r="AQ224" i="33"/>
  <c r="AQ154" i="33"/>
</calcChain>
</file>

<file path=xl/sharedStrings.xml><?xml version="1.0" encoding="utf-8"?>
<sst xmlns="http://schemas.openxmlformats.org/spreadsheetml/2006/main" count="1231" uniqueCount="374">
  <si>
    <t>Basic shares outstanding</t>
  </si>
  <si>
    <t xml:space="preserve">Diluted shares outstanding </t>
  </si>
  <si>
    <t>Effective tax rate</t>
  </si>
  <si>
    <t>(Dollars in millions, except per share data)</t>
  </si>
  <si>
    <t>Total Current Assets</t>
  </si>
  <si>
    <t>Total Assets</t>
  </si>
  <si>
    <t>Assets</t>
  </si>
  <si>
    <t>Liabilities</t>
  </si>
  <si>
    <t>Total Current liabilities</t>
  </si>
  <si>
    <t>Total liabilities</t>
  </si>
  <si>
    <t>Total liabilities and equity</t>
  </si>
  <si>
    <t>Cash flows from operating activities</t>
  </si>
  <si>
    <t>Net cash provided by operating activities</t>
  </si>
  <si>
    <t>Cash flows from investing activities</t>
  </si>
  <si>
    <t>Net cash provided by (used for) investing</t>
  </si>
  <si>
    <t>Cash flows from financing activities</t>
  </si>
  <si>
    <t>Net cash provided by (used for) financing</t>
  </si>
  <si>
    <t>Net increase (decrease) in cash and equivalents</t>
  </si>
  <si>
    <t>Cash and equivalents at beginning of period</t>
  </si>
  <si>
    <t>Multiple Valuation</t>
  </si>
  <si>
    <t>Balance Sheet Ratios &amp; Assumptions</t>
  </si>
  <si>
    <t>Receivables turnover</t>
  </si>
  <si>
    <t>Number of days of payables</t>
  </si>
  <si>
    <t>Cash Flow Ratios &amp; Assumptions</t>
  </si>
  <si>
    <t>Operating margin (GAAP)</t>
  </si>
  <si>
    <t>Discounted FCFF</t>
  </si>
  <si>
    <t>Discounted Cash Flow Valuation</t>
  </si>
  <si>
    <t>Shares outstanding</t>
  </si>
  <si>
    <t>Market Capitalization ($M)</t>
  </si>
  <si>
    <t>Equity market risk premium</t>
  </si>
  <si>
    <t>Required return on equity (CAPM)</t>
  </si>
  <si>
    <t>Equity to total capital</t>
  </si>
  <si>
    <t>Average cost of debt</t>
  </si>
  <si>
    <t xml:space="preserve">After tax cost of debt </t>
  </si>
  <si>
    <t>Provisions for income tax</t>
  </si>
  <si>
    <t>Cash and equivalents</t>
  </si>
  <si>
    <t>Goodwill</t>
  </si>
  <si>
    <t>Accounts payable</t>
  </si>
  <si>
    <t xml:space="preserve">Retained earnings </t>
  </si>
  <si>
    <t>Total shareholders' equity</t>
  </si>
  <si>
    <t>Beta (relative to the S&amp;P500)</t>
  </si>
  <si>
    <t>Revenue growth (in perpetuity)</t>
  </si>
  <si>
    <t>Constant CFO growth rate</t>
  </si>
  <si>
    <t>DCF Valuation</t>
  </si>
  <si>
    <t xml:space="preserve">Basic EPS </t>
  </si>
  <si>
    <t xml:space="preserve">Diluted EPS </t>
  </si>
  <si>
    <t>DCF Period (approximate number of years)</t>
  </si>
  <si>
    <t xml:space="preserve">Plus cash/(debt) per share </t>
  </si>
  <si>
    <t>Implied P/E 12-month target value</t>
  </si>
  <si>
    <t>Implied DCF 12-month target value</t>
  </si>
  <si>
    <t>Total operating expenses</t>
  </si>
  <si>
    <t>Change in basic shares  (excluding repurchases)</t>
  </si>
  <si>
    <t>Change in diluted shares  (excluding repurchases)</t>
  </si>
  <si>
    <t>By obtaining this model you are deemed to have read and agreed to our Terms of Use. Visit our website for details: https://www.gutenbergresearch.com/terms-of-use.html</t>
  </si>
  <si>
    <t>GR</t>
  </si>
  <si>
    <t>Ratio Analysis</t>
  </si>
  <si>
    <t xml:space="preserve">Net Cash and investments per share </t>
  </si>
  <si>
    <t>Days sales outstanding</t>
  </si>
  <si>
    <t>Payables turnover</t>
  </si>
  <si>
    <t>Net Cash from Operations growth rate (YoY)</t>
  </si>
  <si>
    <t xml:space="preserve">Standard deviation </t>
  </si>
  <si>
    <t>Implied upper bound</t>
  </si>
  <si>
    <t>Implied Lower bound</t>
  </si>
  <si>
    <t>Implied target value</t>
  </si>
  <si>
    <t>Implied 50/50 average target value</t>
  </si>
  <si>
    <t xml:space="preserve">Implied target price band </t>
  </si>
  <si>
    <t>Total operating income/(loss)</t>
  </si>
  <si>
    <t>Income/(loss) before income tax</t>
  </si>
  <si>
    <t xml:space="preserve">Depreciation and amortization </t>
  </si>
  <si>
    <t>Changes in operating assets and liabilities, net of the effects</t>
  </si>
  <si>
    <t>Depreciation &amp; amortization-to-average P&amp;E</t>
  </si>
  <si>
    <t>Prepaid expenses and other current assets</t>
  </si>
  <si>
    <t>Free Cash Flow to Firm (FCFF)</t>
  </si>
  <si>
    <t>Total Debt</t>
  </si>
  <si>
    <t xml:space="preserve">Adjusted net cash  per share </t>
  </si>
  <si>
    <t>Non-GAAP Adjustments</t>
  </si>
  <si>
    <t>Cash Flow Statement Ratios</t>
  </si>
  <si>
    <t>Capex to revenue</t>
  </si>
  <si>
    <t>Equity</t>
  </si>
  <si>
    <t>Average CapEx (% of sales)</t>
  </si>
  <si>
    <t>Weighted Average Cost of Capital (WACC) Inputs</t>
  </si>
  <si>
    <t>Stage 1 WACC</t>
  </si>
  <si>
    <t>Share-based compensation to revenue</t>
  </si>
  <si>
    <t>NPV of Stage 1 cash flows</t>
  </si>
  <si>
    <t>PV of terminal value (Stage 2)</t>
  </si>
  <si>
    <r>
      <rPr>
        <b/>
        <sz val="11"/>
        <color theme="1"/>
        <rFont val="Calibri"/>
        <family val="2"/>
        <scheme val="minor"/>
      </rPr>
      <t>Purpose:</t>
    </r>
    <r>
      <rPr>
        <sz val="11"/>
        <color theme="1"/>
        <rFont val="Calibri"/>
        <family val="2"/>
        <scheme val="minor"/>
      </rPr>
      <t xml:space="preserve"> This worksheet tracks the mean monthly share return and standard deviation.</t>
    </r>
  </si>
  <si>
    <t>Date</t>
  </si>
  <si>
    <t>Monthly return</t>
  </si>
  <si>
    <t>Diff from mean</t>
  </si>
  <si>
    <t>Diff Squared</t>
  </si>
  <si>
    <t>Mean</t>
  </si>
  <si>
    <t>Sum of squared differences</t>
  </si>
  <si>
    <t>Variance</t>
  </si>
  <si>
    <t>Standard Deviation</t>
  </si>
  <si>
    <t>check</t>
  </si>
  <si>
    <t>Target share price</t>
  </si>
  <si>
    <t>DCF check</t>
  </si>
  <si>
    <t>Estimate of Risk Free (future 10yr UST)</t>
  </si>
  <si>
    <t>Segment Data</t>
  </si>
  <si>
    <t>Reconciliation</t>
  </si>
  <si>
    <t>Adjustments</t>
  </si>
  <si>
    <t>Constant market Sharpe ratio</t>
  </si>
  <si>
    <t>S&amp;P500 implied volatility</t>
  </si>
  <si>
    <t>Constant Growth Stage Assumptions</t>
  </si>
  <si>
    <t>Stage 2 Long-Term WACC</t>
  </si>
  <si>
    <t>Risk Estimation Summary</t>
  </si>
  <si>
    <t>Dec-18</t>
  </si>
  <si>
    <t xml:space="preserve">   Net income attributable to common shareholders</t>
  </si>
  <si>
    <t>Accounts receivable</t>
  </si>
  <si>
    <t>Other investing activities</t>
  </si>
  <si>
    <t>Repurchase of common stock</t>
  </si>
  <si>
    <t>Other financing activities</t>
  </si>
  <si>
    <t>Cash and equivalents at end of period (BS)</t>
  </si>
  <si>
    <t>Effect of exchange rate changes &amp; restricted cash</t>
  </si>
  <si>
    <t>Accumulated other comprehensive loss</t>
  </si>
  <si>
    <t>Revenue growth rate (GAAP, YoY)</t>
  </si>
  <si>
    <t>Starbucks Income Statement</t>
  </si>
  <si>
    <t>Starbucks Balance Sheet</t>
  </si>
  <si>
    <t>Starbucks Cash Flow Statement</t>
  </si>
  <si>
    <t>F1Q19</t>
  </si>
  <si>
    <t>Sept-21E</t>
  </si>
  <si>
    <t>Dec-21E</t>
  </si>
  <si>
    <t>Mar-22E</t>
  </si>
  <si>
    <t>June-22E</t>
  </si>
  <si>
    <t>Sept-22E</t>
  </si>
  <si>
    <t>Dec-22E</t>
  </si>
  <si>
    <t>Mar-23E</t>
  </si>
  <si>
    <t>June-23E</t>
  </si>
  <si>
    <t>Sept-23E</t>
  </si>
  <si>
    <t>F4Q21E</t>
  </si>
  <si>
    <t>FY 2021E</t>
  </si>
  <si>
    <t>F1Q22E</t>
  </si>
  <si>
    <t>F2Q22E</t>
  </si>
  <si>
    <t>F3Q22E</t>
  </si>
  <si>
    <t>F4Q22E</t>
  </si>
  <si>
    <t>FY 2022E</t>
  </si>
  <si>
    <t>F1Q23E</t>
  </si>
  <si>
    <t>F2Q23E</t>
  </si>
  <si>
    <t>F3Q23E</t>
  </si>
  <si>
    <t>F4Q23E</t>
  </si>
  <si>
    <t>FY 2023E</t>
  </si>
  <si>
    <t>Store operating expenses</t>
  </si>
  <si>
    <t>Other operating expenses</t>
  </si>
  <si>
    <t>Depreciation and amortization expenses</t>
  </si>
  <si>
    <t>General and administrative expenses</t>
  </si>
  <si>
    <t>Income from equity investees</t>
  </si>
  <si>
    <t>Interest income and other</t>
  </si>
  <si>
    <t>Interest expense</t>
  </si>
  <si>
    <t>Net income including noncontrolling interest</t>
  </si>
  <si>
    <t xml:space="preserve">Net earnings attributable to noncontrolling interest </t>
  </si>
  <si>
    <t>Cash dividend</t>
  </si>
  <si>
    <t>Americas (GAAP)</t>
  </si>
  <si>
    <t>Restructuring and impairments</t>
  </si>
  <si>
    <t>Americas company-operated stores</t>
  </si>
  <si>
    <t>Americas licensed stores</t>
  </si>
  <si>
    <t>Comp store sales - Ticket</t>
  </si>
  <si>
    <t>Comp store sales - Transaction</t>
  </si>
  <si>
    <t>Comp store sales - Total</t>
  </si>
  <si>
    <t xml:space="preserve">Net new company operated stores added </t>
  </si>
  <si>
    <t>Estimated stores included in comp sales calculation [step 1]</t>
  </si>
  <si>
    <t>Estimated revenue per store in comp sales calc ($M) [step 4]</t>
  </si>
  <si>
    <t>Comp sale revenue reconciliation [step 5]</t>
  </si>
  <si>
    <t xml:space="preserve">Net new licensed  stores added </t>
  </si>
  <si>
    <t>Revenue per company operated store [step 2]</t>
  </si>
  <si>
    <t>Average revenue per licensed store</t>
  </si>
  <si>
    <t>Average licensed stores in the period</t>
  </si>
  <si>
    <t>Americas Revenue: Other</t>
  </si>
  <si>
    <t>Americas Revenue: licensed stores ($M)</t>
  </si>
  <si>
    <t>Americas Revenue: Company-operated stores ($M)</t>
  </si>
  <si>
    <t>Other revenue YoY growth rate</t>
  </si>
  <si>
    <t>Americas total net revenues ($M)</t>
  </si>
  <si>
    <t>Americas total stores</t>
  </si>
  <si>
    <t>Americas total net store additions</t>
  </si>
  <si>
    <t>Channel Development (GAAP)</t>
  </si>
  <si>
    <t>Channel Dev Total operating expenses</t>
  </si>
  <si>
    <t>Channel Dev Total operating income</t>
  </si>
  <si>
    <t>Channel Dev Total operating margin (%)</t>
  </si>
  <si>
    <t>Corporate &amp; Other  (GAAP)</t>
  </si>
  <si>
    <t>Corp &amp; Other Total operating expenses</t>
  </si>
  <si>
    <t>Corp &amp; Other Total operating income</t>
  </si>
  <si>
    <t>Revenue YoY growth rate</t>
  </si>
  <si>
    <t>Company-operated revenue</t>
  </si>
  <si>
    <t>Licensed store revenue</t>
  </si>
  <si>
    <t>Other revenue</t>
  </si>
  <si>
    <t>Operating Income</t>
  </si>
  <si>
    <t>Gain on acquisition of JV/disposition of business</t>
  </si>
  <si>
    <r>
      <t xml:space="preserve">Other company-operated revenue (stores open less than 13 months and FX) </t>
    </r>
    <r>
      <rPr>
        <i/>
        <sz val="11"/>
        <color theme="3"/>
        <rFont val="Calibri"/>
        <family val="2"/>
        <scheme val="minor"/>
      </rPr>
      <t>[step 3]</t>
    </r>
  </si>
  <si>
    <r>
      <t>Other company-operated revenue (stores open less than 13 months and FX)</t>
    </r>
    <r>
      <rPr>
        <i/>
        <sz val="11"/>
        <color theme="3"/>
        <rFont val="Calibri"/>
        <family val="2"/>
        <scheme val="minor"/>
      </rPr>
      <t xml:space="preserve"> [step 3]</t>
    </r>
  </si>
  <si>
    <t>Nestle Transaction (Operating expenses)</t>
  </si>
  <si>
    <t>Restructuring and impairments (Operating expenses)</t>
  </si>
  <si>
    <t>Stock Awards (Operating expenses)</t>
  </si>
  <si>
    <t>Total impact on operating expenses</t>
  </si>
  <si>
    <t>Total impact on operating income</t>
  </si>
  <si>
    <t>Gain/(loss) on acquisitions and divestitures (Net income)</t>
  </si>
  <si>
    <t>Non-GAAP operating income adjustments</t>
  </si>
  <si>
    <t xml:space="preserve">Non-GAAP operating income </t>
  </si>
  <si>
    <t>Non-GAAP net income adjustments</t>
  </si>
  <si>
    <t xml:space="preserve">Non-GAAP net income </t>
  </si>
  <si>
    <t>Non-GAAP diluted EPS</t>
  </si>
  <si>
    <t>Income tax impact of adjustments and other (Net income)</t>
  </si>
  <si>
    <t>Income tax impact and other as % of operating income adj</t>
  </si>
  <si>
    <t>Short-term investments</t>
  </si>
  <si>
    <t>Accounts receivable, net</t>
  </si>
  <si>
    <t>Inventories</t>
  </si>
  <si>
    <t>Long-term investments</t>
  </si>
  <si>
    <t xml:space="preserve">Property, plant and equipment, net </t>
  </si>
  <si>
    <t>Other intangible assets, net</t>
  </si>
  <si>
    <t>Accrued liabilities</t>
  </si>
  <si>
    <t>Stored value card liability and deferred revenue</t>
  </si>
  <si>
    <t>Long-term debt</t>
  </si>
  <si>
    <t>Other long-term liabilities</t>
  </si>
  <si>
    <t>Common stock and additional paid in capital</t>
  </si>
  <si>
    <t>Noncontrolling interest</t>
  </si>
  <si>
    <t>Net income - including noncontrolling interests</t>
  </si>
  <si>
    <t>Deferred income taxes, net</t>
  </si>
  <si>
    <t>Income earned from equity method investees</t>
  </si>
  <si>
    <t>Distributions received from equity method investees</t>
  </si>
  <si>
    <t>Stock-based compensation expense</t>
  </si>
  <si>
    <t>Deferred revenue</t>
  </si>
  <si>
    <t>Proceeds from issuance of common stock</t>
  </si>
  <si>
    <t>Sale/Maturities/(Purchases) of investments</t>
  </si>
  <si>
    <t>Additions to PP&amp;E</t>
  </si>
  <si>
    <t>Gain resulting from acquisitions/sales</t>
  </si>
  <si>
    <t>Other Noncash Income/(Expense)</t>
  </si>
  <si>
    <t>Other operating assets and liabilities</t>
  </si>
  <si>
    <t>Cash dividends paid</t>
  </si>
  <si>
    <t>Increase/(Decrease) in prepaid expenses, other</t>
  </si>
  <si>
    <t>Operating margin (Non-GAAP)</t>
  </si>
  <si>
    <t>Interest &amp; other income as a % of average  investments and cash</t>
  </si>
  <si>
    <t>Interest expense as a % of average debt balances</t>
  </si>
  <si>
    <t>Deferred income taxes as % of def revenue &amp; stored value liability</t>
  </si>
  <si>
    <t xml:space="preserve">Distributions from equity investments as a % of income </t>
  </si>
  <si>
    <t>Inventory turnover</t>
  </si>
  <si>
    <t>Short-term investments as a % of total investments</t>
  </si>
  <si>
    <t>Total investments as a % of assets</t>
  </si>
  <si>
    <t>Debt to equity ratio</t>
  </si>
  <si>
    <t>Short-term debt to total debt</t>
  </si>
  <si>
    <t>All Other  (Operating expense)</t>
  </si>
  <si>
    <t>Americas total operating expenses</t>
  </si>
  <si>
    <t>Americas total operating income</t>
  </si>
  <si>
    <t>Americas total operating margin (%)</t>
  </si>
  <si>
    <t>Minimum tax withholdings on share-based awards</t>
  </si>
  <si>
    <t>Cash &amp; marketable securities (exEquity method investments)</t>
  </si>
  <si>
    <t>F2Q19</t>
  </si>
  <si>
    <t>Mar-19</t>
  </si>
  <si>
    <t>General and administrative expenses (GAAP)</t>
  </si>
  <si>
    <t>June-19</t>
  </si>
  <si>
    <t>F3Q19</t>
  </si>
  <si>
    <t>Dec-23E</t>
  </si>
  <si>
    <t>Mar-24E</t>
  </si>
  <si>
    <t>June-24E</t>
  </si>
  <si>
    <t>Sept-24E</t>
  </si>
  <si>
    <t>F1Q24E</t>
  </si>
  <si>
    <t>F2Q24E</t>
  </si>
  <si>
    <t>F3Q24E</t>
  </si>
  <si>
    <t>F4Q24E</t>
  </si>
  <si>
    <t>FY 2024E</t>
  </si>
  <si>
    <t>F4Q19</t>
  </si>
  <si>
    <t>FY 2019</t>
  </si>
  <si>
    <t>F1Q20</t>
  </si>
  <si>
    <t>F2Q20</t>
  </si>
  <si>
    <t>F3Q20</t>
  </si>
  <si>
    <t>Product and distribution costs</t>
  </si>
  <si>
    <t>Revenue - Company-operated stores</t>
  </si>
  <si>
    <t>Revenue - Licensed stores revenue</t>
  </si>
  <si>
    <t>Revenue - Product, Services, and Other</t>
  </si>
  <si>
    <t>Total revenues</t>
  </si>
  <si>
    <t>Proceeds from issuance of commercial paper</t>
  </si>
  <si>
    <t>Increase/(Decrease) in Income Taxes Payable</t>
  </si>
  <si>
    <t xml:space="preserve">Debt/commercial paper (payments) </t>
  </si>
  <si>
    <t>Debt issuance</t>
  </si>
  <si>
    <t>Other current liabilities</t>
  </si>
  <si>
    <t>Accrued payroll and benefits (current)</t>
  </si>
  <si>
    <t>Income taxes payable (current)</t>
  </si>
  <si>
    <t xml:space="preserve">Current portion of operating lease liability </t>
  </si>
  <si>
    <t>Equity investments</t>
  </si>
  <si>
    <t>Operating lease, right-of-use asset</t>
  </si>
  <si>
    <t>Other long-term assets</t>
  </si>
  <si>
    <t>Current portion of debt</t>
  </si>
  <si>
    <t>Operating lease liability</t>
  </si>
  <si>
    <t>Day Count (number of days in the quarter)</t>
  </si>
  <si>
    <t>Dec-24E</t>
  </si>
  <si>
    <t>Mar-25E</t>
  </si>
  <si>
    <t>June-25E</t>
  </si>
  <si>
    <t>Sept-25E</t>
  </si>
  <si>
    <t>F1Q25E</t>
  </si>
  <si>
    <t>F2Q25E</t>
  </si>
  <si>
    <t>F3Q25E</t>
  </si>
  <si>
    <t>F4Q25E</t>
  </si>
  <si>
    <t>FY 2025E</t>
  </si>
  <si>
    <t>International Segment (GAAP)</t>
  </si>
  <si>
    <t>International company-operated stores</t>
  </si>
  <si>
    <t>Int'l Revenue: Company-operated stores ($M)</t>
  </si>
  <si>
    <t>International licensed stores</t>
  </si>
  <si>
    <t>Int'l Revenue: licensed stores ($M)</t>
  </si>
  <si>
    <t>Int'l Revenue: Other</t>
  </si>
  <si>
    <t>Int'l total stores</t>
  </si>
  <si>
    <t>Int'l total net store additions</t>
  </si>
  <si>
    <t>Int'l total net revenues ($M)</t>
  </si>
  <si>
    <t>Int'l Total operating expenses</t>
  </si>
  <si>
    <t>Int'l Total operating income</t>
  </si>
  <si>
    <t>Int'l Total operating margin (%)</t>
  </si>
  <si>
    <t>Channel Development Revenue</t>
  </si>
  <si>
    <t>Net revenues ($M)</t>
  </si>
  <si>
    <t>Net revenue YoY growth rate</t>
  </si>
  <si>
    <t>International transaction and integration related costs</t>
  </si>
  <si>
    <t>Share Count Analysis</t>
  </si>
  <si>
    <t>Sept '18 ASR - Share repurchase assumptions: average price</t>
  </si>
  <si>
    <t>Sept '18 ASR - Share repurchase: amount in the period ($M)</t>
  </si>
  <si>
    <t>Sept '18 ASR -Shares repurchased (in millions)</t>
  </si>
  <si>
    <t>March '19 ASR - Share repurchase assumptions: average price</t>
  </si>
  <si>
    <t>March '19 ASR - Share repurchase: amount in the period ($M)</t>
  </si>
  <si>
    <t>March '19 ASR -Shares repurchased (in millions)</t>
  </si>
  <si>
    <t>Share repurchase assumptions: average price (exASRs)</t>
  </si>
  <si>
    <t>Share repurchase: amount in the period ($M, exASRs)</t>
  </si>
  <si>
    <t>Shares repurchased (in millions, exASRs)</t>
  </si>
  <si>
    <t>Non-GAAP EPS Growth (YoY)</t>
  </si>
  <si>
    <t>Cash Flow From Operations Growth (YoY)</t>
  </si>
  <si>
    <t>Free Cash Flow Growth (YoY)</t>
  </si>
  <si>
    <t>Price</t>
  </si>
  <si>
    <t>Mean monthly return</t>
  </si>
  <si>
    <t>Sept-20</t>
  </si>
  <si>
    <t>F4Q20</t>
  </si>
  <si>
    <t>Actual</t>
  </si>
  <si>
    <t>Absolute Value of Differences</t>
  </si>
  <si>
    <t>Total Revenue</t>
  </si>
  <si>
    <t>Most Accurate Model</t>
  </si>
  <si>
    <t>Class</t>
  </si>
  <si>
    <t>Average</t>
  </si>
  <si>
    <t>Consensus</t>
  </si>
  <si>
    <t>Est</t>
  </si>
  <si>
    <t>Operating Income (Non-GAAP)</t>
  </si>
  <si>
    <t>Net Income (Non-GAAP)</t>
  </si>
  <si>
    <t>FY 2020</t>
  </si>
  <si>
    <t>June-20</t>
  </si>
  <si>
    <t>Mar-20</t>
  </si>
  <si>
    <t>Dec-19</t>
  </si>
  <si>
    <t>Sept-19</t>
  </si>
  <si>
    <t>Dec-20</t>
  </si>
  <si>
    <t>F1Q21</t>
  </si>
  <si>
    <t xml:space="preserve"> Store opex (as % of comp-op store revenue)</t>
  </si>
  <si>
    <t>Product/dist costs (as % of total segment revenue)</t>
  </si>
  <si>
    <t xml:space="preserve"> Other opex (as % of total segment revenue)</t>
  </si>
  <si>
    <t>G&amp;A expense (as % of total segment revenue)</t>
  </si>
  <si>
    <t>Other opex (as % of comp-op store revenue)</t>
  </si>
  <si>
    <t>Impact of extra week  (Operating income)</t>
  </si>
  <si>
    <t>Mar-21</t>
  </si>
  <si>
    <t>F2Q21</t>
  </si>
  <si>
    <t>June-21</t>
  </si>
  <si>
    <t>F3Q21</t>
  </si>
  <si>
    <t>Blue cells = Gutenberg estimates (updated 9/5/2021)</t>
  </si>
  <si>
    <t>Purple cells = Company guidance (updated 9/5/2021)</t>
  </si>
  <si>
    <t>Dec-25E</t>
  </si>
  <si>
    <t>Mar-26E</t>
  </si>
  <si>
    <t>June-26E</t>
  </si>
  <si>
    <t>Sept-26E</t>
  </si>
  <si>
    <t>F1Q26E</t>
  </si>
  <si>
    <t>F2Q26E</t>
  </si>
  <si>
    <t>F3Q26E</t>
  </si>
  <si>
    <t>F4Q26E</t>
  </si>
  <si>
    <t>FY 2026E</t>
  </si>
  <si>
    <t>Global Store Growth</t>
  </si>
  <si>
    <t>Approximate Dividend Payout Ratio</t>
  </si>
  <si>
    <t>Debt-to-EBITDA</t>
  </si>
  <si>
    <t>P/E 3-month average (NTM)</t>
  </si>
  <si>
    <t>P/E 3-month high (NTM)</t>
  </si>
  <si>
    <t>P/E 3-month low (NTM)</t>
  </si>
  <si>
    <t>P/E used for valuation (NTM)</t>
  </si>
  <si>
    <r>
      <rPr>
        <b/>
        <sz val="11"/>
        <color theme="1"/>
        <rFont val="Calibri"/>
        <family val="2"/>
        <scheme val="minor"/>
      </rPr>
      <t>Last updated:</t>
    </r>
    <r>
      <rPr>
        <sz val="11"/>
        <color theme="1"/>
        <rFont val="Calibri"/>
        <family val="2"/>
        <scheme val="minor"/>
      </rPr>
      <t xml:space="preserve"> 9/18/2021</t>
    </r>
  </si>
  <si>
    <r>
      <t xml:space="preserve">Last updated: </t>
    </r>
    <r>
      <rPr>
        <sz val="11"/>
        <color theme="1"/>
        <rFont val="Calibri"/>
        <family val="2"/>
        <scheme val="minor"/>
      </rPr>
      <t>9/18/2021</t>
    </r>
  </si>
  <si>
    <t>Orange cells = Consensus estimates (updated 9/21/2021)</t>
  </si>
  <si>
    <t>2023 EBITDA (Non-GAAP)</t>
  </si>
  <si>
    <t>2023 Debt</t>
  </si>
  <si>
    <t>2023 Cash and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</si>
</sst>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0.0_)\%;\(0.0\)\%;0.0_)\%;@_)_%"/>
    <numFmt numFmtId="169" formatCode="#,##0.0_)_%;\(#,##0.0\)_%;0.0_)_%;@_)_%"/>
    <numFmt numFmtId="170" formatCode="#,##0.0_);\(#,##0.0\);#,##0.0_);@_)"/>
    <numFmt numFmtId="171" formatCode="&quot;$&quot;_(#,##0.00_);&quot;$&quot;\(#,##0.00\);&quot;$&quot;_(0.00_);@_)"/>
    <numFmt numFmtId="172" formatCode="#,##0.00_);\(#,##0.00\);0.00_);@_)"/>
    <numFmt numFmtId="173" formatCode="\€_(#,##0.00_);\€\(#,##0.00\);\€_(0.00_);@_)"/>
    <numFmt numFmtId="174" formatCode="#,##0_)\x;\(#,##0\)\x;0_)\x;@_)_x"/>
    <numFmt numFmtId="175" formatCode="#,##0_)_x;\(#,##0\)_x;0_)_x;@_)_x"/>
    <numFmt numFmtId="176" formatCode="* #,##0.00_);\(#,##0.00\)"/>
    <numFmt numFmtId="177" formatCode="&quot;$&quot;#,##0;\-&quot;$&quot;#,##0"/>
    <numFmt numFmtId="178" formatCode="#,##0;\-#,##0;&quot;-&quot;"/>
    <numFmt numFmtId="179" formatCode="0.000000"/>
    <numFmt numFmtId="180" formatCode="_(* #,##0,,_);_(* \(#,##0,,\);_(* &quot;-&quot;_)"/>
    <numFmt numFmtId="181" formatCode="_(* #,##0_);[Red]_(* \(#,##0\);_(* &quot;&quot;&quot;&quot;&quot;&quot;&quot;&quot;\ \-\ &quot;&quot;&quot;&quot;&quot;&quot;&quot;&quot;_);_(@_)"/>
    <numFmt numFmtId="182" formatCode="&quot;£&quot;#,##0;[Red]\-&quot;£&quot;#,##0"/>
    <numFmt numFmtId="183" formatCode="_(* #,##0,_);[Red]_(* \(#,##0,\);_(* &quot;&quot;&quot;&quot;&quot;&quot;&quot;&quot;\ \-\ &quot;&quot;&quot;&quot;&quot;&quot;&quot;&quot;_);_(@_)"/>
    <numFmt numFmtId="184" formatCode="0.00_);[Red]\(0.00\)"/>
    <numFmt numFmtId="185" formatCode="0%;\(0%\);;"/>
    <numFmt numFmtId="186" formatCode="&quot;£&quot;#,##0.00;[Red]\-&quot;£&quot;#,##0.00"/>
    <numFmt numFmtId="187" formatCode="_(* #,##0.000_);_(* \(#,##0.000\);_(* &quot;-&quot;_);_(@_)"/>
    <numFmt numFmtId="188" formatCode="0%;\(0%\);&quot;-&quot;"/>
    <numFmt numFmtId="189" formatCode="_-&quot;£&quot;* #,##0_-;\-&quot;£&quot;* #,##0_-;_-&quot;£&quot;* &quot;-&quot;_-;_-@_-"/>
    <numFmt numFmtId="190" formatCode="_(&quot;$&quot;* #,##0,_);_(&quot;$&quot;* \(#,##0,\);_(&quot;$&quot;* &quot;-&quot;_);_(@_)"/>
    <numFmt numFmtId="191" formatCode="#,##0\ ;\(#,##0.0\)"/>
    <numFmt numFmtId="192" formatCode="0.0"/>
    <numFmt numFmtId="193" formatCode="#,##0.00;\-#,##0.00;&quot;-&quot;"/>
    <numFmt numFmtId="194" formatCode="_._.* \(#,##0\)_%;_._.* #,##0_)_%;_._.* 0_)_%;_._.@_)_%"/>
    <numFmt numFmtId="195" formatCode="_._.&quot;$&quot;* \(#,##0\)_%;_._.&quot;$&quot;* #,##0_)_%;_._.&quot;$&quot;* 0_)_%;_._.@_)_%"/>
    <numFmt numFmtId="196" formatCode="&quot;$&quot;0.00_)"/>
    <numFmt numFmtId="197" formatCode="&quot;SFr.&quot;\ #,##0.00;&quot;SFr.&quot;\ \-#,##0.00"/>
    <numFmt numFmtId="198" formatCode="#,##0;\(#,##0\)"/>
    <numFmt numFmtId="199" formatCode="_([$€-2]* #,##0.00_);_([$€-2]* \(#,##0.00\);_([$€-2]* &quot;-&quot;??_)"/>
    <numFmt numFmtId="200" formatCode="_-* #,##0\ _D_M_-;\-* #,##0\ _D_M_-;_-* &quot;-&quot;\ _D_M_-;_-@_-"/>
    <numFmt numFmtId="201" formatCode="_-* #,##0.00\ _D_M_-;\-* #,##0.00\ _D_M_-;_-* &quot;-&quot;??\ _D_M_-;_-@_-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#,##0.0_);\(#,##0.0\)"/>
    <numFmt numFmtId="205" formatCode="#,##0.0\ ;\(#,##0.0\)"/>
    <numFmt numFmtId="206" formatCode="0%;\(0%\)"/>
    <numFmt numFmtId="207" formatCode="&quot;SFr.&quot;#,##0;[Red]&quot;SFr.&quot;\-#,##0"/>
    <numFmt numFmtId="208" formatCode="#,##0.0000000000;\-#,##0.0000000000"/>
    <numFmt numFmtId="209" formatCode="#,##0.0;\-#,##0.0"/>
    <numFmt numFmtId="210" formatCode="#,##0.000;\-#,##0.000"/>
    <numFmt numFmtId="211" formatCode="#,##0.0000;\-#,##0.0000"/>
    <numFmt numFmtId="212" formatCode="#,##0.00000;\-#,##0.00000"/>
    <numFmt numFmtId="213" formatCode="#,##0.000000;\-#,##0.000000"/>
    <numFmt numFmtId="214" formatCode="#,##0.0000000;\-#,##0.0000000"/>
    <numFmt numFmtId="215" formatCode="#,##0.00000000;\-#,##0.00000000"/>
    <numFmt numFmtId="216" formatCode="#,##0.000000000;\-#,##0.000000000"/>
    <numFmt numFmtId="217" formatCode="#,##0___);\(#,##0.00\)"/>
    <numFmt numFmtId="218" formatCode="#,##0&quot;%&quot;"/>
    <numFmt numFmtId="219" formatCode="#,##0_);[Red]\(#,##0\);&quot;-&quot;"/>
    <numFmt numFmtId="220" formatCode="_-&quot;£&quot;* #,##0.00_-;\-&quot;£&quot;* #,##0.00_-;_-&quot;£&quot;* &quot;-&quot;??_-;_-@_-"/>
    <numFmt numFmtId="221" formatCode="*-"/>
    <numFmt numFmtId="222" formatCode="#,##0;[Red]\(#,##0\)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&quot;$&quot;#,##0"/>
    <numFmt numFmtId="226" formatCode="0.0\x"/>
    <numFmt numFmtId="227" formatCode="0.00000"/>
    <numFmt numFmtId="228" formatCode="_(* #,##0.0000_);_(* \(#,##0.0000\);_(* &quot;-&quot;??_);_(@_)"/>
    <numFmt numFmtId="229" formatCode="0.000%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color theme="0" tint="-0.14999847407452621"/>
      <name val="Calibri"/>
      <family val="2"/>
      <scheme val="minor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8"/>
      <name val="Helv"/>
    </font>
    <font>
      <b/>
      <sz val="12"/>
      <name val="Tms Rmn"/>
    </font>
    <font>
      <b/>
      <i/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Helv"/>
    </font>
    <font>
      <sz val="10"/>
      <color theme="1"/>
      <name val="Arial"/>
      <family val="2"/>
    </font>
    <font>
      <sz val="10"/>
      <color indexed="0"/>
      <name val="MS Sans Serif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1"/>
      <name val="Times New Roman"/>
      <family val="1"/>
    </font>
    <font>
      <sz val="10"/>
      <color indexed="12"/>
      <name val="Helv"/>
    </font>
    <font>
      <sz val="8"/>
      <color indexed="18"/>
      <name val="Helv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Trebuchet MS"/>
      <family val="2"/>
    </font>
    <font>
      <sz val="10"/>
      <color indexed="14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sz val="12"/>
      <name val="Helv"/>
      <family val="2"/>
    </font>
    <font>
      <sz val="10"/>
      <name val="Trebuchet MS"/>
      <family val="2"/>
    </font>
    <font>
      <sz val="10"/>
      <name val="Tms Rmn"/>
    </font>
    <font>
      <sz val="10"/>
      <name val="Tms Rmn"/>
      <family val="1"/>
    </font>
    <font>
      <sz val="11"/>
      <color indexed="8"/>
      <name val="Calibri"/>
      <family val="2"/>
    </font>
    <font>
      <b/>
      <u/>
      <sz val="26"/>
      <color indexed="9"/>
      <name val="Arial"/>
      <family val="2"/>
    </font>
    <font>
      <sz val="10"/>
      <color indexed="10"/>
      <name val="Arial"/>
      <family val="2"/>
    </font>
    <font>
      <sz val="12"/>
      <name val="Helv"/>
    </font>
    <font>
      <sz val="10"/>
      <color rgb="FF404040"/>
      <name val="Segoe UI"/>
      <family val="2"/>
    </font>
    <font>
      <b/>
      <sz val="10"/>
      <color rgb="FF404040"/>
      <name val="Segoe UI"/>
      <family val="2"/>
    </font>
    <font>
      <b/>
      <sz val="10"/>
      <color indexed="10"/>
      <name val="Arial"/>
      <family val="2"/>
    </font>
    <font>
      <sz val="8"/>
      <name val="Tms Rmn"/>
    </font>
    <font>
      <b/>
      <u val="singleAccounting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u val="singleAccounting"/>
      <sz val="11"/>
      <color theme="2"/>
      <name val="Calibri"/>
      <family val="2"/>
      <scheme val="minor"/>
    </font>
    <font>
      <b/>
      <u/>
      <sz val="12"/>
      <color theme="2"/>
      <name val="Calibri"/>
      <family val="2"/>
      <scheme val="minor"/>
    </font>
    <font>
      <sz val="10"/>
      <color theme="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u val="singleAccounting"/>
      <sz val="11"/>
      <color theme="1" tint="0.1499984740745262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i/>
      <sz val="9"/>
      <color theme="3"/>
      <name val="Calibri"/>
      <family val="2"/>
      <scheme val="minor"/>
    </font>
    <font>
      <b/>
      <i/>
      <u/>
      <sz val="12"/>
      <color theme="3"/>
      <name val="Calibri"/>
      <family val="2"/>
      <scheme val="minor"/>
    </font>
    <font>
      <i/>
      <u val="singleAccounting"/>
      <sz val="11"/>
      <color theme="3"/>
      <name val="Calibri"/>
      <family val="2"/>
      <scheme val="minor"/>
    </font>
    <font>
      <b/>
      <i/>
      <u val="singleAccounting"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8"/>
      <color theme="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</borders>
  <cellStyleXfs count="33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4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15" applyNumberFormat="0" applyFill="0" applyAlignment="0" applyProtection="0"/>
    <xf numFmtId="0" fontId="10" fillId="0" borderId="16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12" fillId="0" borderId="0" applyNumberFormat="0" applyFill="0" applyBorder="0" applyAlignment="0" applyProtection="0"/>
    <xf numFmtId="0" fontId="13" fillId="0" borderId="0"/>
    <xf numFmtId="176" fontId="14" fillId="0" borderId="0">
      <alignment horizontal="center"/>
    </xf>
    <xf numFmtId="37" fontId="15" fillId="0" borderId="0"/>
    <xf numFmtId="37" fontId="16" fillId="0" borderId="0"/>
    <xf numFmtId="177" fontId="17" fillId="0" borderId="2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7" fillId="0" borderId="2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7" fillId="0" borderId="2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7" fillId="0" borderId="2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7" fillId="0" borderId="2" applyAlignment="0" applyProtection="0"/>
    <xf numFmtId="177" fontId="17" fillId="0" borderId="2" applyAlignment="0" applyProtection="0"/>
    <xf numFmtId="177" fontId="17" fillId="0" borderId="2" applyAlignment="0" applyProtection="0"/>
    <xf numFmtId="177" fontId="17" fillId="0" borderId="2" applyAlignment="0" applyProtection="0"/>
    <xf numFmtId="177" fontId="1" fillId="0" borderId="0" applyAlignment="0" applyProtection="0"/>
    <xf numFmtId="178" fontId="18" fillId="0" borderId="0" applyFill="0" applyBorder="0" applyAlignment="0"/>
    <xf numFmtId="179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181" fontId="3" fillId="0" borderId="0" applyFill="0" applyBorder="0" applyAlignment="0"/>
    <xf numFmtId="182" fontId="3" fillId="0" borderId="0" applyFill="0" applyBorder="0" applyAlignment="0"/>
    <xf numFmtId="183" fontId="3" fillId="0" borderId="0" applyFill="0" applyBorder="0" applyAlignment="0"/>
    <xf numFmtId="184" fontId="3" fillId="0" borderId="0" applyFill="0" applyBorder="0" applyAlignment="0"/>
    <xf numFmtId="185" fontId="3" fillId="0" borderId="0" applyFill="0" applyBorder="0" applyAlignment="0"/>
    <xf numFmtId="186" fontId="3" fillId="0" borderId="0" applyFill="0" applyBorder="0" applyAlignment="0"/>
    <xf numFmtId="178" fontId="18" fillId="0" borderId="0" applyFill="0" applyBorder="0" applyAlignment="0"/>
    <xf numFmtId="187" fontId="3" fillId="0" borderId="0" applyFill="0" applyBorder="0" applyAlignment="0"/>
    <xf numFmtId="188" fontId="3" fillId="0" borderId="0" applyFill="0" applyBorder="0" applyAlignment="0"/>
    <xf numFmtId="189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0" fontId="19" fillId="0" borderId="0" applyFill="0" applyBorder="0" applyProtection="0">
      <alignment horizontal="center"/>
      <protection locked="0"/>
    </xf>
    <xf numFmtId="0" fontId="20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1" fontId="20" fillId="0" borderId="7"/>
    <xf numFmtId="192" fontId="1" fillId="0" borderId="0"/>
    <xf numFmtId="0" fontId="13" fillId="0" borderId="7"/>
    <xf numFmtId="192" fontId="1" fillId="0" borderId="0"/>
    <xf numFmtId="17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Fill="0" applyBorder="0" applyAlignment="0" applyProtection="0">
      <protection locked="0"/>
    </xf>
    <xf numFmtId="193" fontId="3" fillId="0" borderId="0">
      <alignment horizontal="center"/>
    </xf>
    <xf numFmtId="194" fontId="24" fillId="0" borderId="0" applyFill="0" applyBorder="0" applyProtection="0"/>
    <xf numFmtId="195" fontId="25" fillId="0" borderId="0" applyFont="0" applyFill="0" applyBorder="0" applyAlignment="0" applyProtection="0"/>
    <xf numFmtId="196" fontId="26" fillId="0" borderId="17">
      <protection hidden="1"/>
    </xf>
    <xf numFmtId="18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" fontId="14" fillId="0" borderId="0"/>
    <xf numFmtId="14" fontId="27" fillId="0" borderId="0">
      <alignment horizontal="center"/>
    </xf>
    <xf numFmtId="14" fontId="18" fillId="0" borderId="0" applyFill="0" applyBorder="0" applyAlignment="0"/>
    <xf numFmtId="15" fontId="28" fillId="5" borderId="0" applyNumberFormat="0" applyFont="0" applyFill="0" applyBorder="0" applyAlignment="0">
      <alignment horizontal="center" wrapText="1"/>
    </xf>
    <xf numFmtId="0" fontId="18" fillId="0" borderId="14" applyNumberFormat="0" applyFill="0" applyBorder="0" applyAlignment="0" applyProtection="0"/>
    <xf numFmtId="197" fontId="20" fillId="0" borderId="0" applyFont="0" applyFill="0" applyBorder="0" applyAlignment="0" applyProtection="0"/>
    <xf numFmtId="198" fontId="25" fillId="0" borderId="0" applyFont="0" applyFill="0" applyBorder="0" applyAlignment="0" applyProtection="0"/>
    <xf numFmtId="178" fontId="29" fillId="0" borderId="0" applyFill="0" applyBorder="0" applyAlignment="0"/>
    <xf numFmtId="187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178" fontId="29" fillId="0" borderId="0" applyFill="0" applyBorder="0" applyAlignment="0"/>
    <xf numFmtId="187" fontId="3" fillId="0" borderId="0" applyFill="0" applyBorder="0" applyAlignment="0"/>
    <xf numFmtId="188" fontId="3" fillId="0" borderId="0" applyFill="0" applyBorder="0" applyAlignment="0"/>
    <xf numFmtId="189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196" fontId="26" fillId="0" borderId="17">
      <protection hidden="1"/>
    </xf>
    <xf numFmtId="199" fontId="3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18" applyNumberFormat="0" applyAlignment="0" applyProtection="0">
      <alignment horizontal="left" vertical="center"/>
    </xf>
    <xf numFmtId="0" fontId="31" fillId="0" borderId="9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31" fillId="0" borderId="9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31" fillId="0" borderId="9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31" fillId="0" borderId="9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31" fillId="0" borderId="9">
      <alignment horizontal="left" vertical="center"/>
    </xf>
    <xf numFmtId="0" fontId="31" fillId="0" borderId="9">
      <alignment horizontal="left" vertical="center"/>
    </xf>
    <xf numFmtId="0" fontId="31" fillId="0" borderId="9">
      <alignment horizontal="left" vertical="center"/>
    </xf>
    <xf numFmtId="0" fontId="31" fillId="0" borderId="9">
      <alignment horizontal="left" vertical="center"/>
    </xf>
    <xf numFmtId="0" fontId="1" fillId="0" borderId="0">
      <alignment horizontal="left" vertical="center"/>
    </xf>
    <xf numFmtId="14" fontId="32" fillId="6" borderId="17">
      <alignment horizontal="center" vertical="center" wrapText="1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7" applyFill="0" applyAlignment="0" applyProtection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0" fontId="30" fillId="7" borderId="14" applyNumberFormat="0" applyBorder="0" applyAlignment="0" applyProtection="0"/>
    <xf numFmtId="178" fontId="36" fillId="0" borderId="0" applyFill="0" applyBorder="0" applyAlignment="0"/>
    <xf numFmtId="187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178" fontId="36" fillId="0" borderId="0" applyFill="0" applyBorder="0" applyAlignment="0"/>
    <xf numFmtId="187" fontId="3" fillId="0" borderId="0" applyFill="0" applyBorder="0" applyAlignment="0"/>
    <xf numFmtId="188" fontId="3" fillId="0" borderId="0" applyFill="0" applyBorder="0" applyAlignment="0"/>
    <xf numFmtId="189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200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204" fontId="14" fillId="0" borderId="7"/>
    <xf numFmtId="37" fontId="38" fillId="0" borderId="0"/>
    <xf numFmtId="205" fontId="20" fillId="0" borderId="0"/>
    <xf numFmtId="205" fontId="1" fillId="0" borderId="0"/>
    <xf numFmtId="206" fontId="3" fillId="0" borderId="0"/>
    <xf numFmtId="207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>
      <alignment wrapText="1"/>
    </xf>
    <xf numFmtId="0" fontId="3" fillId="0" borderId="0"/>
    <xf numFmtId="0" fontId="40" fillId="0" borderId="0"/>
    <xf numFmtId="0" fontId="3" fillId="0" borderId="0"/>
    <xf numFmtId="0" fontId="3" fillId="0" borderId="0"/>
    <xf numFmtId="37" fontId="41" fillId="0" borderId="0"/>
    <xf numFmtId="0" fontId="1" fillId="0" borderId="0"/>
    <xf numFmtId="0" fontId="1" fillId="0" borderId="0"/>
    <xf numFmtId="0" fontId="3" fillId="0" borderId="0">
      <alignment wrapText="1"/>
    </xf>
    <xf numFmtId="0" fontId="3" fillId="0" borderId="0"/>
    <xf numFmtId="37" fontId="41" fillId="0" borderId="0"/>
    <xf numFmtId="0" fontId="3" fillId="0" borderId="0"/>
    <xf numFmtId="37" fontId="41" fillId="0" borderId="0"/>
    <xf numFmtId="0" fontId="1" fillId="0" borderId="0"/>
    <xf numFmtId="0" fontId="21" fillId="0" borderId="0"/>
    <xf numFmtId="37" fontId="1" fillId="0" borderId="0"/>
    <xf numFmtId="0" fontId="1" fillId="0" borderId="0"/>
    <xf numFmtId="37" fontId="1" fillId="0" borderId="0"/>
    <xf numFmtId="0" fontId="3" fillId="0" borderId="0">
      <alignment wrapText="1"/>
    </xf>
    <xf numFmtId="37" fontId="42" fillId="0" borderId="0"/>
    <xf numFmtId="0" fontId="3" fillId="0" borderId="0"/>
    <xf numFmtId="37" fontId="3" fillId="0" borderId="0"/>
    <xf numFmtId="37" fontId="3" fillId="0" borderId="0"/>
    <xf numFmtId="208" fontId="3" fillId="0" borderId="0"/>
    <xf numFmtId="209" fontId="3" fillId="0" borderId="0"/>
    <xf numFmtId="39" fontId="3" fillId="0" borderId="0"/>
    <xf numFmtId="39" fontId="3" fillId="0" borderId="0"/>
    <xf numFmtId="210" fontId="3" fillId="0" borderId="0"/>
    <xf numFmtId="211" fontId="3" fillId="0" borderId="0"/>
    <xf numFmtId="212" fontId="3" fillId="0" borderId="0"/>
    <xf numFmtId="213" fontId="3" fillId="0" borderId="0"/>
    <xf numFmtId="214" fontId="3" fillId="0" borderId="0"/>
    <xf numFmtId="215" fontId="3" fillId="0" borderId="0"/>
    <xf numFmtId="216" fontId="3" fillId="0" borderId="0"/>
    <xf numFmtId="217" fontId="37" fillId="0" borderId="0"/>
    <xf numFmtId="218" fontId="26" fillId="0" borderId="0">
      <protection hidden="1"/>
    </xf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7" fillId="0" borderId="19" applyNumberFormat="0" applyBorder="0"/>
    <xf numFmtId="204" fontId="14" fillId="0" borderId="0"/>
    <xf numFmtId="0" fontId="44" fillId="8" borderId="20" applyNumberFormat="0" applyFont="0" applyFill="0" applyAlignment="0">
      <alignment horizontal="center" vertical="center"/>
    </xf>
    <xf numFmtId="178" fontId="45" fillId="0" borderId="0" applyFill="0" applyBorder="0" applyAlignment="0"/>
    <xf numFmtId="187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178" fontId="45" fillId="0" borderId="0" applyFill="0" applyBorder="0" applyAlignment="0"/>
    <xf numFmtId="187" fontId="3" fillId="0" borderId="0" applyFill="0" applyBorder="0" applyAlignment="0"/>
    <xf numFmtId="188" fontId="3" fillId="0" borderId="0" applyFill="0" applyBorder="0" applyAlignment="0"/>
    <xf numFmtId="189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37" fontId="41" fillId="0" borderId="21"/>
    <xf numFmtId="0" fontId="46" fillId="0" borderId="0"/>
    <xf numFmtId="0" fontId="20" fillId="0" borderId="0"/>
    <xf numFmtId="0" fontId="37" fillId="0" borderId="0"/>
    <xf numFmtId="37" fontId="47" fillId="0" borderId="17">
      <alignment horizontal="right"/>
      <protection locked="0"/>
    </xf>
    <xf numFmtId="37" fontId="48" fillId="0" borderId="17">
      <alignment horizontal="right"/>
      <protection locked="0"/>
    </xf>
    <xf numFmtId="49" fontId="18" fillId="0" borderId="0" applyFill="0" applyBorder="0" applyAlignment="0"/>
    <xf numFmtId="219" fontId="3" fillId="0" borderId="0" applyFill="0" applyBorder="0" applyAlignment="0"/>
    <xf numFmtId="220" fontId="3" fillId="0" borderId="0" applyFill="0" applyBorder="0" applyAlignment="0"/>
    <xf numFmtId="221" fontId="3" fillId="0" borderId="0" applyFill="0" applyBorder="0" applyAlignment="0"/>
    <xf numFmtId="222" fontId="3" fillId="0" borderId="0" applyFill="0" applyBorder="0" applyAlignment="0"/>
    <xf numFmtId="49" fontId="3" fillId="0" borderId="0"/>
    <xf numFmtId="0" fontId="49" fillId="0" borderId="0" applyFill="0" applyBorder="0" applyProtection="0">
      <alignment horizontal="left" vertical="top"/>
    </xf>
    <xf numFmtId="40" fontId="50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41" fillId="0" borderId="7"/>
    <xf numFmtId="37" fontId="41" fillId="0" borderId="22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4" fontId="32" fillId="6" borderId="46">
      <alignment horizontal="center" vertical="center" wrapText="1"/>
    </xf>
    <xf numFmtId="196" fontId="26" fillId="0" borderId="46">
      <protection hidden="1"/>
    </xf>
    <xf numFmtId="196" fontId="26" fillId="0" borderId="46">
      <protection hidden="1"/>
    </xf>
    <xf numFmtId="37" fontId="47" fillId="0" borderId="46">
      <alignment horizontal="right"/>
      <protection locked="0"/>
    </xf>
    <xf numFmtId="37" fontId="48" fillId="0" borderId="46">
      <alignment horizontal="right"/>
      <protection locked="0"/>
    </xf>
  </cellStyleXfs>
  <cellXfs count="605">
    <xf numFmtId="0" fontId="0" fillId="0" borderId="0" xfId="0"/>
    <xf numFmtId="165" fontId="0" fillId="0" borderId="0" xfId="1" applyNumberFormat="1" applyFont="1"/>
    <xf numFmtId="166" fontId="0" fillId="0" borderId="0" xfId="2" applyNumberFormat="1" applyFont="1"/>
    <xf numFmtId="164" fontId="4" fillId="0" borderId="0" xfId="1" applyNumberFormat="1" applyFont="1" applyAlignment="1">
      <alignment horizontal="right"/>
    </xf>
    <xf numFmtId="0" fontId="4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textRotation="90"/>
    </xf>
    <xf numFmtId="164" fontId="6" fillId="0" borderId="0" xfId="1" quotePrefix="1" applyNumberFormat="1" applyFont="1" applyAlignment="1">
      <alignment horizontal="left"/>
    </xf>
    <xf numFmtId="164" fontId="6" fillId="0" borderId="0" xfId="1" quotePrefix="1" applyNumberFormat="1" applyFont="1" applyAlignment="1">
      <alignment horizontal="right"/>
    </xf>
    <xf numFmtId="164" fontId="0" fillId="0" borderId="0" xfId="1" applyNumberFormat="1" applyFont="1"/>
    <xf numFmtId="0" fontId="4" fillId="0" borderId="0" xfId="0" applyFont="1" applyAlignment="1">
      <alignment horizontal="right"/>
    </xf>
    <xf numFmtId="43" fontId="4" fillId="0" borderId="0" xfId="1" applyFont="1" applyAlignment="1">
      <alignment horizontal="right"/>
    </xf>
    <xf numFmtId="165" fontId="4" fillId="0" borderId="0" xfId="1" applyNumberFormat="1" applyFont="1" applyAlignment="1">
      <alignment horizontal="right"/>
    </xf>
    <xf numFmtId="9" fontId="4" fillId="0" borderId="0" xfId="2" applyFont="1" applyAlignment="1">
      <alignment horizontal="right"/>
    </xf>
    <xf numFmtId="165" fontId="4" fillId="0" borderId="5" xfId="1" applyNumberFormat="1" applyFont="1" applyBorder="1" applyAlignment="1">
      <alignment horizontal="right"/>
    </xf>
    <xf numFmtId="164" fontId="53" fillId="0" borderId="0" xfId="1" quotePrefix="1" applyNumberFormat="1" applyFont="1" applyAlignment="1">
      <alignment horizontal="right"/>
    </xf>
    <xf numFmtId="164" fontId="53" fillId="0" borderId="5" xfId="1" quotePrefix="1" applyNumberFormat="1" applyFont="1" applyBorder="1" applyAlignment="1">
      <alignment horizontal="right"/>
    </xf>
    <xf numFmtId="165" fontId="4" fillId="0" borderId="5" xfId="1" quotePrefix="1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2" fillId="0" borderId="0" xfId="0" applyFont="1"/>
    <xf numFmtId="9" fontId="4" fillId="0" borderId="5" xfId="2" applyFont="1" applyBorder="1" applyAlignment="1">
      <alignment horizontal="right"/>
    </xf>
    <xf numFmtId="164" fontId="52" fillId="0" borderId="0" xfId="1" quotePrefix="1" applyNumberFormat="1" applyFont="1" applyAlignment="1">
      <alignment horizontal="right"/>
    </xf>
    <xf numFmtId="43" fontId="52" fillId="0" borderId="0" xfId="1" quotePrefix="1" applyFont="1" applyAlignment="1">
      <alignment horizontal="right"/>
    </xf>
    <xf numFmtId="165" fontId="4" fillId="0" borderId="31" xfId="1" applyNumberFormat="1" applyFont="1" applyBorder="1" applyAlignment="1">
      <alignment horizontal="right"/>
    </xf>
    <xf numFmtId="165" fontId="4" fillId="0" borderId="32" xfId="1" applyNumberFormat="1" applyFont="1" applyBorder="1" applyAlignment="1">
      <alignment horizontal="right"/>
    </xf>
    <xf numFmtId="164" fontId="4" fillId="0" borderId="5" xfId="1" quotePrefix="1" applyNumberFormat="1" applyFont="1" applyBorder="1" applyAlignment="1">
      <alignment horizontal="right"/>
    </xf>
    <xf numFmtId="165" fontId="4" fillId="0" borderId="2" xfId="1" applyNumberFormat="1" applyFont="1" applyBorder="1" applyAlignment="1">
      <alignment horizontal="right"/>
    </xf>
    <xf numFmtId="164" fontId="4" fillId="0" borderId="4" xfId="1" applyNumberFormat="1" applyFont="1" applyBorder="1" applyAlignment="1">
      <alignment horizontal="right"/>
    </xf>
    <xf numFmtId="0" fontId="4" fillId="0" borderId="0" xfId="0" applyFont="1" applyAlignment="1">
      <alignment vertical="top" wrapText="1"/>
    </xf>
    <xf numFmtId="164" fontId="51" fillId="3" borderId="0" xfId="1" quotePrefix="1" applyNumberFormat="1" applyFont="1" applyFill="1" applyAlignment="1">
      <alignment horizontal="right"/>
    </xf>
    <xf numFmtId="164" fontId="55" fillId="2" borderId="2" xfId="1" quotePrefix="1" applyNumberFormat="1" applyFont="1" applyFill="1" applyBorder="1" applyAlignment="1">
      <alignment horizontal="right"/>
    </xf>
    <xf numFmtId="164" fontId="56" fillId="2" borderId="0" xfId="1" quotePrefix="1" applyNumberFormat="1" applyFont="1" applyFill="1" applyAlignment="1">
      <alignment horizontal="right"/>
    </xf>
    <xf numFmtId="164" fontId="2" fillId="3" borderId="2" xfId="1" quotePrefix="1" applyNumberFormat="1" applyFont="1" applyFill="1" applyBorder="1" applyAlignment="1">
      <alignment horizontal="right"/>
    </xf>
    <xf numFmtId="165" fontId="59" fillId="0" borderId="0" xfId="1" applyNumberFormat="1" applyFont="1" applyAlignment="1">
      <alignment horizontal="right"/>
    </xf>
    <xf numFmtId="165" fontId="59" fillId="0" borderId="5" xfId="1" applyNumberFormat="1" applyFont="1" applyBorder="1" applyAlignment="1">
      <alignment horizontal="right"/>
    </xf>
    <xf numFmtId="0" fontId="4" fillId="0" borderId="4" xfId="0" applyFont="1" applyBorder="1"/>
    <xf numFmtId="165" fontId="61" fillId="0" borderId="0" xfId="1" applyNumberFormat="1" applyFont="1" applyAlignment="1">
      <alignment horizontal="right"/>
    </xf>
    <xf numFmtId="165" fontId="61" fillId="0" borderId="5" xfId="1" applyNumberFormat="1" applyFont="1" applyBorder="1" applyAlignment="1">
      <alignment horizontal="right"/>
    </xf>
    <xf numFmtId="0" fontId="60" fillId="0" borderId="4" xfId="0" applyFont="1" applyBorder="1"/>
    <xf numFmtId="0" fontId="60" fillId="0" borderId="0" xfId="0" applyFont="1"/>
    <xf numFmtId="165" fontId="60" fillId="0" borderId="0" xfId="1" applyNumberFormat="1" applyFont="1" applyAlignment="1">
      <alignment horizontal="right"/>
    </xf>
    <xf numFmtId="165" fontId="60" fillId="0" borderId="5" xfId="1" applyNumberFormat="1" applyFont="1" applyBorder="1" applyAlignment="1">
      <alignment horizontal="right"/>
    </xf>
    <xf numFmtId="0" fontId="59" fillId="0" borderId="0" xfId="0" applyFont="1"/>
    <xf numFmtId="43" fontId="60" fillId="0" borderId="0" xfId="1" applyFont="1" applyAlignment="1">
      <alignment horizontal="right"/>
    </xf>
    <xf numFmtId="43" fontId="60" fillId="0" borderId="5" xfId="1" applyFont="1" applyBorder="1" applyAlignment="1">
      <alignment horizontal="right"/>
    </xf>
    <xf numFmtId="43" fontId="59" fillId="0" borderId="0" xfId="1" applyFont="1" applyAlignment="1">
      <alignment horizontal="right"/>
    </xf>
    <xf numFmtId="165" fontId="59" fillId="0" borderId="0" xfId="1" quotePrefix="1" applyNumberFormat="1" applyFont="1" applyAlignment="1">
      <alignment horizontal="right"/>
    </xf>
    <xf numFmtId="165" fontId="60" fillId="0" borderId="7" xfId="1" applyNumberFormat="1" applyFont="1" applyBorder="1" applyAlignment="1">
      <alignment horizontal="right"/>
    </xf>
    <xf numFmtId="166" fontId="59" fillId="0" borderId="0" xfId="2" quotePrefix="1" applyNumberFormat="1" applyFont="1" applyAlignment="1">
      <alignment horizontal="right"/>
    </xf>
    <xf numFmtId="165" fontId="59" fillId="0" borderId="5" xfId="1" quotePrefix="1" applyNumberFormat="1" applyFont="1" applyBorder="1" applyAlignment="1">
      <alignment horizontal="right"/>
    </xf>
    <xf numFmtId="166" fontId="59" fillId="9" borderId="0" xfId="2" quotePrefix="1" applyNumberFormat="1" applyFont="1" applyFill="1" applyAlignment="1">
      <alignment horizontal="right"/>
    </xf>
    <xf numFmtId="9" fontId="59" fillId="0" borderId="0" xfId="2" quotePrefix="1" applyFont="1" applyAlignment="1">
      <alignment horizontal="right"/>
    </xf>
    <xf numFmtId="166" fontId="59" fillId="0" borderId="0" xfId="2" applyNumberFormat="1" applyFont="1" applyAlignment="1">
      <alignment horizontal="right"/>
    </xf>
    <xf numFmtId="9" fontId="59" fillId="0" borderId="5" xfId="2" applyFont="1" applyBorder="1" applyAlignment="1">
      <alignment horizontal="right"/>
    </xf>
    <xf numFmtId="166" fontId="59" fillId="0" borderId="5" xfId="2" applyNumberFormat="1" applyFont="1" applyBorder="1" applyAlignment="1">
      <alignment horizontal="right"/>
    </xf>
    <xf numFmtId="9" fontId="59" fillId="0" borderId="0" xfId="2" applyFont="1" applyAlignment="1">
      <alignment horizontal="right"/>
    </xf>
    <xf numFmtId="0" fontId="59" fillId="0" borderId="3" xfId="0" applyFont="1" applyBorder="1"/>
    <xf numFmtId="164" fontId="59" fillId="0" borderId="0" xfId="1" quotePrefix="1" applyNumberFormat="1" applyFont="1" applyAlignment="1">
      <alignment horizontal="right"/>
    </xf>
    <xf numFmtId="164" fontId="59" fillId="0" borderId="5" xfId="1" quotePrefix="1" applyNumberFormat="1" applyFont="1" applyBorder="1" applyAlignment="1">
      <alignment horizontal="right"/>
    </xf>
    <xf numFmtId="164" fontId="59" fillId="9" borderId="0" xfId="1" quotePrefix="1" applyNumberFormat="1" applyFont="1" applyFill="1" applyAlignment="1">
      <alignment horizontal="right"/>
    </xf>
    <xf numFmtId="165" fontId="61" fillId="9" borderId="0" xfId="1" applyNumberFormat="1" applyFont="1" applyFill="1" applyAlignment="1">
      <alignment horizontal="right"/>
    </xf>
    <xf numFmtId="9" fontId="59" fillId="0" borderId="5" xfId="2" quotePrefix="1" applyFont="1" applyBorder="1" applyAlignment="1">
      <alignment horizontal="right"/>
    </xf>
    <xf numFmtId="165" fontId="59" fillId="9" borderId="0" xfId="1" applyNumberFormat="1" applyFont="1" applyFill="1" applyAlignment="1">
      <alignment horizontal="right"/>
    </xf>
    <xf numFmtId="9" fontId="59" fillId="9" borderId="0" xfId="2" applyFont="1" applyFill="1" applyAlignment="1">
      <alignment horizontal="right"/>
    </xf>
    <xf numFmtId="166" fontId="59" fillId="9" borderId="0" xfId="2" applyNumberFormat="1" applyFont="1" applyFill="1" applyAlignment="1">
      <alignment horizontal="right"/>
    </xf>
    <xf numFmtId="165" fontId="52" fillId="0" borderId="9" xfId="1" applyNumberFormat="1" applyFont="1" applyBorder="1" applyAlignment="1">
      <alignment horizontal="right"/>
    </xf>
    <xf numFmtId="7" fontId="59" fillId="0" borderId="0" xfId="1" applyNumberFormat="1" applyFont="1" applyAlignment="1">
      <alignment horizontal="right"/>
    </xf>
    <xf numFmtId="7" fontId="4" fillId="0" borderId="5" xfId="1" applyNumberFormat="1" applyFont="1" applyBorder="1" applyAlignment="1">
      <alignment horizontal="right"/>
    </xf>
    <xf numFmtId="7" fontId="59" fillId="9" borderId="0" xfId="1" applyNumberFormat="1" applyFont="1" applyFill="1" applyAlignment="1">
      <alignment horizontal="right"/>
    </xf>
    <xf numFmtId="9" fontId="59" fillId="9" borderId="4" xfId="2" applyFont="1" applyFill="1" applyBorder="1" applyAlignment="1">
      <alignment horizontal="right"/>
    </xf>
    <xf numFmtId="43" fontId="59" fillId="0" borderId="7" xfId="1" applyFont="1" applyBorder="1" applyAlignment="1">
      <alignment horizontal="right"/>
    </xf>
    <xf numFmtId="43" fontId="59" fillId="0" borderId="8" xfId="1" applyFont="1" applyBorder="1" applyAlignment="1">
      <alignment horizontal="right"/>
    </xf>
    <xf numFmtId="165" fontId="59" fillId="0" borderId="8" xfId="1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62" fillId="11" borderId="4" xfId="0" applyFont="1" applyFill="1" applyBorder="1" applyAlignment="1">
      <alignment horizontal="left"/>
    </xf>
    <xf numFmtId="0" fontId="59" fillId="0" borderId="25" xfId="0" applyFont="1" applyBorder="1" applyAlignment="1">
      <alignment horizontal="left"/>
    </xf>
    <xf numFmtId="0" fontId="59" fillId="0" borderId="26" xfId="0" applyFont="1" applyBorder="1" applyAlignment="1">
      <alignment horizontal="left"/>
    </xf>
    <xf numFmtId="0" fontId="59" fillId="0" borderId="3" xfId="0" applyFont="1" applyBorder="1" applyAlignment="1">
      <alignment horizontal="left" indent="2"/>
    </xf>
    <xf numFmtId="166" fontId="59" fillId="0" borderId="5" xfId="2" quotePrefix="1" applyNumberFormat="1" applyFont="1" applyBorder="1" applyAlignment="1">
      <alignment horizontal="right"/>
    </xf>
    <xf numFmtId="165" fontId="60" fillId="11" borderId="0" xfId="1" applyNumberFormat="1" applyFont="1" applyFill="1" applyAlignment="1">
      <alignment horizontal="right"/>
    </xf>
    <xf numFmtId="165" fontId="59" fillId="11" borderId="0" xfId="1" applyNumberFormat="1" applyFont="1" applyFill="1" applyAlignment="1">
      <alignment horizontal="right"/>
    </xf>
    <xf numFmtId="165" fontId="59" fillId="11" borderId="5" xfId="1" applyNumberFormat="1" applyFont="1" applyFill="1" applyBorder="1" applyAlignment="1">
      <alignment horizontal="right"/>
    </xf>
    <xf numFmtId="165" fontId="59" fillId="11" borderId="30" xfId="1" applyNumberFormat="1" applyFont="1" applyFill="1" applyBorder="1" applyAlignment="1">
      <alignment horizontal="right"/>
    </xf>
    <xf numFmtId="165" fontId="59" fillId="11" borderId="29" xfId="1" applyNumberFormat="1" applyFont="1" applyFill="1" applyBorder="1" applyAlignment="1">
      <alignment horizontal="right"/>
    </xf>
    <xf numFmtId="164" fontId="55" fillId="2" borderId="33" xfId="1" quotePrefix="1" applyNumberFormat="1" applyFont="1" applyFill="1" applyBorder="1" applyAlignment="1">
      <alignment horizontal="right"/>
    </xf>
    <xf numFmtId="164" fontId="56" fillId="2" borderId="5" xfId="1" quotePrefix="1" applyNumberFormat="1" applyFont="1" applyFill="1" applyBorder="1" applyAlignment="1">
      <alignment horizontal="right"/>
    </xf>
    <xf numFmtId="9" fontId="59" fillId="0" borderId="8" xfId="2" quotePrefix="1" applyFont="1" applyBorder="1" applyAlignment="1">
      <alignment horizontal="right"/>
    </xf>
    <xf numFmtId="164" fontId="2" fillId="3" borderId="33" xfId="1" quotePrefix="1" applyNumberFormat="1" applyFont="1" applyFill="1" applyBorder="1" applyAlignment="1">
      <alignment horizontal="right"/>
    </xf>
    <xf numFmtId="164" fontId="51" fillId="3" borderId="5" xfId="1" quotePrefix="1" applyNumberFormat="1" applyFont="1" applyFill="1" applyBorder="1" applyAlignment="1">
      <alignment horizontal="right"/>
    </xf>
    <xf numFmtId="0" fontId="65" fillId="0" borderId="3" xfId="0" applyFont="1" applyBorder="1"/>
    <xf numFmtId="0" fontId="63" fillId="0" borderId="3" xfId="0" applyFont="1" applyBorder="1"/>
    <xf numFmtId="165" fontId="64" fillId="0" borderId="13" xfId="1" applyNumberFormat="1" applyFont="1" applyBorder="1" applyAlignment="1">
      <alignment horizontal="right"/>
    </xf>
    <xf numFmtId="43" fontId="63" fillId="0" borderId="4" xfId="1" applyFont="1" applyBorder="1" applyAlignment="1">
      <alignment horizontal="right"/>
    </xf>
    <xf numFmtId="166" fontId="63" fillId="9" borderId="4" xfId="1" applyNumberFormat="1" applyFont="1" applyFill="1" applyBorder="1" applyAlignment="1">
      <alignment horizontal="right"/>
    </xf>
    <xf numFmtId="166" fontId="64" fillId="0" borderId="4" xfId="2" applyNumberFormat="1" applyFont="1" applyBorder="1" applyAlignment="1">
      <alignment horizontal="right"/>
    </xf>
    <xf numFmtId="10" fontId="63" fillId="9" borderId="4" xfId="2" applyNumberFormat="1" applyFont="1" applyFill="1" applyBorder="1" applyAlignment="1">
      <alignment horizontal="right"/>
    </xf>
    <xf numFmtId="166" fontId="59" fillId="0" borderId="4" xfId="2" applyNumberFormat="1" applyFont="1" applyBorder="1" applyAlignment="1">
      <alignment horizontal="right"/>
    </xf>
    <xf numFmtId="166" fontId="60" fillId="0" borderId="13" xfId="2" applyNumberFormat="1" applyFont="1" applyBorder="1" applyAlignment="1">
      <alignment horizontal="right"/>
    </xf>
    <xf numFmtId="0" fontId="64" fillId="0" borderId="12" xfId="0" applyFont="1" applyBorder="1" applyAlignment="1">
      <alignment horizontal="left" indent="1"/>
    </xf>
    <xf numFmtId="0" fontId="64" fillId="0" borderId="3" xfId="0" applyFont="1" applyBorder="1" applyAlignment="1">
      <alignment horizontal="left" indent="1"/>
    </xf>
    <xf numFmtId="0" fontId="60" fillId="0" borderId="12" xfId="0" applyFont="1" applyBorder="1" applyAlignment="1">
      <alignment horizontal="left" indent="1"/>
    </xf>
    <xf numFmtId="166" fontId="64" fillId="0" borderId="13" xfId="2" applyNumberFormat="1" applyFont="1" applyBorder="1" applyAlignment="1">
      <alignment horizontal="right"/>
    </xf>
    <xf numFmtId="0" fontId="62" fillId="0" borderId="3" xfId="0" applyFont="1" applyBorder="1"/>
    <xf numFmtId="166" fontId="59" fillId="0" borderId="8" xfId="2" quotePrefix="1" applyNumberFormat="1" applyFont="1" applyBorder="1" applyAlignment="1">
      <alignment horizontal="right"/>
    </xf>
    <xf numFmtId="5" fontId="62" fillId="0" borderId="4" xfId="1" applyNumberFormat="1" applyFont="1" applyBorder="1" applyAlignment="1">
      <alignment horizontal="right"/>
    </xf>
    <xf numFmtId="165" fontId="59" fillId="0" borderId="4" xfId="1" applyNumberFormat="1" applyFont="1" applyBorder="1" applyAlignment="1">
      <alignment horizontal="right"/>
    </xf>
    <xf numFmtId="167" fontId="59" fillId="0" borderId="0" xfId="1" applyNumberFormat="1" applyFont="1" applyAlignment="1">
      <alignment horizontal="right"/>
    </xf>
    <xf numFmtId="166" fontId="59" fillId="0" borderId="0" xfId="1" applyNumberFormat="1" applyFont="1" applyAlignment="1">
      <alignment horizontal="right"/>
    </xf>
    <xf numFmtId="5" fontId="60" fillId="0" borderId="4" xfId="1" applyNumberFormat="1" applyFont="1" applyBorder="1" applyAlignment="1">
      <alignment horizontal="right"/>
    </xf>
    <xf numFmtId="5" fontId="60" fillId="0" borderId="24" xfId="1" applyNumberFormat="1" applyFont="1" applyBorder="1" applyAlignment="1">
      <alignment horizontal="right"/>
    </xf>
    <xf numFmtId="0" fontId="60" fillId="0" borderId="1" xfId="0" applyFont="1" applyBorder="1" applyAlignment="1">
      <alignment horizontal="left"/>
    </xf>
    <xf numFmtId="5" fontId="60" fillId="0" borderId="11" xfId="1" applyNumberFormat="1" applyFont="1" applyBorder="1" applyAlignment="1">
      <alignment horizontal="right"/>
    </xf>
    <xf numFmtId="0" fontId="59" fillId="0" borderId="1" xfId="0" applyFont="1" applyBorder="1"/>
    <xf numFmtId="5" fontId="59" fillId="0" borderId="4" xfId="1" applyNumberFormat="1" applyFont="1" applyBorder="1" applyAlignment="1">
      <alignment horizontal="right"/>
    </xf>
    <xf numFmtId="10" fontId="59" fillId="9" borderId="11" xfId="1" applyNumberFormat="1" applyFont="1" applyFill="1" applyBorder="1" applyAlignment="1">
      <alignment horizontal="right"/>
    </xf>
    <xf numFmtId="10" fontId="59" fillId="9" borderId="4" xfId="2" applyNumberFormat="1" applyFont="1" applyFill="1" applyBorder="1" applyAlignment="1">
      <alignment horizontal="right"/>
    </xf>
    <xf numFmtId="165" fontId="59" fillId="0" borderId="0" xfId="1" applyNumberFormat="1" applyFont="1" applyAlignment="1">
      <alignment horizontal="left"/>
    </xf>
    <xf numFmtId="43" fontId="59" fillId="0" borderId="0" xfId="1" applyFont="1" applyAlignment="1">
      <alignment horizontal="left"/>
    </xf>
    <xf numFmtId="0" fontId="2" fillId="0" borderId="0" xfId="0" applyFont="1"/>
    <xf numFmtId="164" fontId="6" fillId="2" borderId="34" xfId="1" quotePrefix="1" applyNumberFormat="1" applyFont="1" applyFill="1" applyBorder="1" applyAlignment="1">
      <alignment horizontal="center" vertical="center" wrapText="1"/>
    </xf>
    <xf numFmtId="0" fontId="0" fillId="0" borderId="40" xfId="0" applyBorder="1"/>
    <xf numFmtId="0" fontId="0" fillId="0" borderId="41" xfId="0" applyBorder="1"/>
    <xf numFmtId="0" fontId="0" fillId="0" borderId="38" xfId="0" applyBorder="1"/>
    <xf numFmtId="10" fontId="0" fillId="0" borderId="0" xfId="2" applyNumberFormat="1" applyFont="1"/>
    <xf numFmtId="10" fontId="0" fillId="0" borderId="0" xfId="0" applyNumberFormat="1"/>
    <xf numFmtId="10" fontId="0" fillId="0" borderId="38" xfId="0" applyNumberFormat="1" applyBorder="1"/>
    <xf numFmtId="0" fontId="0" fillId="0" borderId="36" xfId="0" applyBorder="1"/>
    <xf numFmtId="0" fontId="2" fillId="0" borderId="0" xfId="0" applyFont="1" applyAlignment="1">
      <alignment horizontal="right"/>
    </xf>
    <xf numFmtId="0" fontId="0" fillId="12" borderId="0" xfId="0" applyFill="1"/>
    <xf numFmtId="0" fontId="2" fillId="12" borderId="0" xfId="0" applyFont="1" applyFill="1" applyAlignment="1">
      <alignment horizontal="right"/>
    </xf>
    <xf numFmtId="10" fontId="2" fillId="12" borderId="41" xfId="2" applyNumberFormat="1" applyFont="1" applyFill="1" applyBorder="1"/>
    <xf numFmtId="43" fontId="63" fillId="9" borderId="4" xfId="1" applyFont="1" applyFill="1" applyBorder="1" applyAlignment="1">
      <alignment horizontal="right"/>
    </xf>
    <xf numFmtId="227" fontId="0" fillId="0" borderId="41" xfId="0" applyNumberFormat="1" applyBorder="1"/>
    <xf numFmtId="227" fontId="0" fillId="0" borderId="39" xfId="0" applyNumberFormat="1" applyBorder="1"/>
    <xf numFmtId="0" fontId="68" fillId="0" borderId="0" xfId="0" applyFont="1" applyAlignment="1">
      <alignment horizontal="right"/>
    </xf>
    <xf numFmtId="166" fontId="59" fillId="0" borderId="0" xfId="2" applyNumberFormat="1" applyFont="1" applyAlignment="1">
      <alignment horizontal="left"/>
    </xf>
    <xf numFmtId="9" fontId="59" fillId="0" borderId="0" xfId="1" applyNumberFormat="1" applyFont="1" applyAlignment="1">
      <alignment horizontal="left"/>
    </xf>
    <xf numFmtId="227" fontId="2" fillId="0" borderId="41" xfId="0" applyNumberFormat="1" applyFont="1" applyBorder="1"/>
    <xf numFmtId="0" fontId="0" fillId="0" borderId="37" xfId="0" applyBorder="1"/>
    <xf numFmtId="0" fontId="60" fillId="0" borderId="6" xfId="0" applyFont="1" applyBorder="1"/>
    <xf numFmtId="43" fontId="61" fillId="0" borderId="4" xfId="1" quotePrefix="1" applyFont="1" applyBorder="1" applyAlignment="1">
      <alignment horizontal="right"/>
    </xf>
    <xf numFmtId="0" fontId="59" fillId="0" borderId="6" xfId="0" applyFont="1" applyBorder="1"/>
    <xf numFmtId="6" fontId="59" fillId="0" borderId="10" xfId="0" applyNumberFormat="1" applyFont="1" applyBorder="1"/>
    <xf numFmtId="0" fontId="59" fillId="0" borderId="4" xfId="0" applyFont="1" applyBorder="1"/>
    <xf numFmtId="43" fontId="60" fillId="0" borderId="8" xfId="1" applyFont="1" applyBorder="1" applyAlignment="1">
      <alignment horizontal="right"/>
    </xf>
    <xf numFmtId="0" fontId="59" fillId="0" borderId="12" xfId="0" applyFont="1" applyBorder="1"/>
    <xf numFmtId="0" fontId="59" fillId="0" borderId="13" xfId="0" applyFont="1" applyBorder="1"/>
    <xf numFmtId="0" fontId="59" fillId="11" borderId="0" xfId="0" applyFont="1" applyFill="1" applyAlignment="1">
      <alignment horizontal="left"/>
    </xf>
    <xf numFmtId="166" fontId="59" fillId="9" borderId="7" xfId="2" applyNumberFormat="1" applyFont="1" applyFill="1" applyBorder="1" applyAlignment="1">
      <alignment horizontal="right"/>
    </xf>
    <xf numFmtId="166" fontId="59" fillId="9" borderId="7" xfId="2" quotePrefix="1" applyNumberFormat="1" applyFont="1" applyFill="1" applyBorder="1" applyAlignment="1">
      <alignment horizontal="right"/>
    </xf>
    <xf numFmtId="9" fontId="4" fillId="0" borderId="0" xfId="1" applyNumberFormat="1" applyFont="1"/>
    <xf numFmtId="9" fontId="59" fillId="9" borderId="0" xfId="2" quotePrefix="1" applyFont="1" applyFill="1" applyAlignment="1">
      <alignment horizontal="right"/>
    </xf>
    <xf numFmtId="225" fontId="60" fillId="0" borderId="10" xfId="1" applyNumberFormat="1" applyFont="1" applyBorder="1" applyAlignment="1">
      <alignment horizontal="right"/>
    </xf>
    <xf numFmtId="5" fontId="63" fillId="0" borderId="4" xfId="1" applyNumberFormat="1" applyFont="1" applyBorder="1" applyAlignment="1">
      <alignment horizontal="right"/>
    </xf>
    <xf numFmtId="165" fontId="66" fillId="0" borderId="4" xfId="1" applyNumberFormat="1" applyFont="1" applyBorder="1" applyAlignment="1">
      <alignment horizontal="right"/>
    </xf>
    <xf numFmtId="43" fontId="61" fillId="0" borderId="4" xfId="1" applyFont="1" applyBorder="1" applyAlignment="1">
      <alignment horizontal="right"/>
    </xf>
    <xf numFmtId="165" fontId="0" fillId="0" borderId="35" xfId="1" applyNumberFormat="1" applyFont="1" applyBorder="1"/>
    <xf numFmtId="10" fontId="0" fillId="0" borderId="35" xfId="2" applyNumberFormat="1" applyFont="1" applyBorder="1"/>
    <xf numFmtId="10" fontId="0" fillId="0" borderId="35" xfId="0" applyNumberFormat="1" applyBorder="1"/>
    <xf numFmtId="10" fontId="0" fillId="0" borderId="38" xfId="2" applyNumberFormat="1" applyFont="1" applyBorder="1"/>
    <xf numFmtId="166" fontId="59" fillId="9" borderId="4" xfId="2" applyNumberFormat="1" applyFont="1" applyFill="1" applyBorder="1" applyAlignment="1">
      <alignment horizontal="right"/>
    </xf>
    <xf numFmtId="165" fontId="69" fillId="0" borderId="0" xfId="1" applyNumberFormat="1" applyFont="1" applyAlignment="1">
      <alignment horizontal="right"/>
    </xf>
    <xf numFmtId="0" fontId="59" fillId="0" borderId="3" xfId="3" applyFont="1" applyBorder="1" applyAlignment="1">
      <alignment horizontal="left" vertical="top"/>
    </xf>
    <xf numFmtId="0" fontId="59" fillId="0" borderId="4" xfId="3" applyFont="1" applyBorder="1" applyAlignment="1">
      <alignment horizontal="left" vertical="top"/>
    </xf>
    <xf numFmtId="17" fontId="59" fillId="0" borderId="0" xfId="1" applyNumberFormat="1" applyFont="1" applyAlignment="1">
      <alignment horizontal="right" wrapText="1"/>
    </xf>
    <xf numFmtId="0" fontId="59" fillId="0" borderId="3" xfId="0" applyFont="1" applyBorder="1" applyAlignment="1">
      <alignment horizontal="left" indent="3"/>
    </xf>
    <xf numFmtId="0" fontId="60" fillId="0" borderId="3" xfId="0" applyFont="1" applyBorder="1" applyAlignment="1">
      <alignment horizontal="left" indent="4"/>
    </xf>
    <xf numFmtId="0" fontId="59" fillId="0" borderId="3" xfId="0" applyFont="1" applyBorder="1" applyAlignment="1">
      <alignment horizontal="left" indent="5"/>
    </xf>
    <xf numFmtId="164" fontId="59" fillId="0" borderId="0" xfId="1" applyNumberFormat="1" applyFont="1" applyAlignment="1">
      <alignment horizontal="right"/>
    </xf>
    <xf numFmtId="164" fontId="59" fillId="0" borderId="5" xfId="1" applyNumberFormat="1" applyFont="1" applyBorder="1" applyAlignment="1">
      <alignment horizontal="right"/>
    </xf>
    <xf numFmtId="164" fontId="60" fillId="0" borderId="0" xfId="1" applyNumberFormat="1" applyFont="1" applyAlignment="1">
      <alignment horizontal="right"/>
    </xf>
    <xf numFmtId="164" fontId="60" fillId="0" borderId="5" xfId="1" applyNumberFormat="1" applyFont="1" applyBorder="1" applyAlignment="1">
      <alignment horizontal="right"/>
    </xf>
    <xf numFmtId="164" fontId="61" fillId="0" borderId="0" xfId="1" applyNumberFormat="1" applyFont="1" applyAlignment="1">
      <alignment horizontal="right"/>
    </xf>
    <xf numFmtId="164" fontId="61" fillId="0" borderId="5" xfId="1" applyNumberFormat="1" applyFont="1" applyBorder="1" applyAlignment="1">
      <alignment horizontal="right"/>
    </xf>
    <xf numFmtId="164" fontId="51" fillId="0" borderId="0" xfId="1" applyNumberFormat="1" applyFont="1" applyAlignment="1">
      <alignment horizontal="right"/>
    </xf>
    <xf numFmtId="164" fontId="51" fillId="0" borderId="5" xfId="1" applyNumberFormat="1" applyFont="1" applyBorder="1" applyAlignment="1">
      <alignment horizontal="right"/>
    </xf>
    <xf numFmtId="164" fontId="61" fillId="9" borderId="0" xfId="1" applyNumberFormat="1" applyFont="1" applyFill="1" applyAlignment="1">
      <alignment horizontal="right"/>
    </xf>
    <xf numFmtId="165" fontId="52" fillId="0" borderId="5" xfId="1" quotePrefix="1" applyNumberFormat="1" applyFont="1" applyBorder="1" applyAlignment="1">
      <alignment horizontal="right"/>
    </xf>
    <xf numFmtId="165" fontId="4" fillId="0" borderId="29" xfId="1" quotePrefix="1" applyNumberFormat="1" applyFont="1" applyBorder="1" applyAlignment="1">
      <alignment horizontal="right"/>
    </xf>
    <xf numFmtId="9" fontId="70" fillId="0" borderId="0" xfId="2" applyFont="1" applyAlignment="1">
      <alignment horizontal="right"/>
    </xf>
    <xf numFmtId="9" fontId="70" fillId="0" borderId="5" xfId="2" applyFont="1" applyBorder="1" applyAlignment="1">
      <alignment horizontal="right"/>
    </xf>
    <xf numFmtId="9" fontId="60" fillId="0" borderId="5" xfId="2" applyFont="1" applyBorder="1" applyAlignment="1">
      <alignment horizontal="right"/>
    </xf>
    <xf numFmtId="164" fontId="52" fillId="0" borderId="5" xfId="1" quotePrefix="1" applyNumberFormat="1" applyFont="1" applyBorder="1" applyAlignment="1">
      <alignment horizontal="right"/>
    </xf>
    <xf numFmtId="167" fontId="59" fillId="9" borderId="0" xfId="1" applyNumberFormat="1" applyFont="1" applyFill="1" applyAlignment="1">
      <alignment horizontal="right"/>
    </xf>
    <xf numFmtId="0" fontId="71" fillId="0" borderId="0" xfId="0" applyFont="1"/>
    <xf numFmtId="0" fontId="71" fillId="0" borderId="3" xfId="0" applyFont="1" applyBorder="1" applyAlignment="1">
      <alignment horizontal="left"/>
    </xf>
    <xf numFmtId="0" fontId="71" fillId="0" borderId="4" xfId="0" applyFont="1" applyBorder="1" applyAlignment="1">
      <alignment horizontal="left"/>
    </xf>
    <xf numFmtId="165" fontId="71" fillId="0" borderId="0" xfId="1" applyNumberFormat="1" applyFont="1" applyAlignment="1">
      <alignment horizontal="right"/>
    </xf>
    <xf numFmtId="165" fontId="71" fillId="9" borderId="0" xfId="1" applyNumberFormat="1" applyFont="1" applyFill="1" applyAlignment="1">
      <alignment horizontal="right"/>
    </xf>
    <xf numFmtId="165" fontId="71" fillId="0" borderId="5" xfId="1" quotePrefix="1" applyNumberFormat="1" applyFont="1" applyBorder="1" applyAlignment="1">
      <alignment horizontal="right"/>
    </xf>
    <xf numFmtId="167" fontId="71" fillId="9" borderId="0" xfId="1" applyNumberFormat="1" applyFont="1" applyFill="1" applyAlignment="1">
      <alignment horizontal="right"/>
    </xf>
    <xf numFmtId="0" fontId="71" fillId="0" borderId="3" xfId="0" applyFont="1" applyBorder="1" applyAlignment="1">
      <alignment horizontal="left" indent="2"/>
    </xf>
    <xf numFmtId="0" fontId="71" fillId="0" borderId="4" xfId="0" applyFont="1" applyBorder="1" applyAlignment="1">
      <alignment horizontal="left" indent="1"/>
    </xf>
    <xf numFmtId="164" fontId="71" fillId="0" borderId="0" xfId="1" applyNumberFormat="1" applyFont="1" applyAlignment="1">
      <alignment horizontal="right"/>
    </xf>
    <xf numFmtId="164" fontId="71" fillId="0" borderId="5" xfId="1" quotePrefix="1" applyNumberFormat="1" applyFont="1" applyBorder="1" applyAlignment="1">
      <alignment horizontal="right"/>
    </xf>
    <xf numFmtId="167" fontId="71" fillId="0" borderId="0" xfId="1" applyNumberFormat="1" applyFont="1" applyAlignment="1">
      <alignment horizontal="right"/>
    </xf>
    <xf numFmtId="165" fontId="60" fillId="0" borderId="31" xfId="1" applyNumberFormat="1" applyFont="1" applyBorder="1" applyAlignment="1">
      <alignment horizontal="right"/>
    </xf>
    <xf numFmtId="165" fontId="52" fillId="0" borderId="32" xfId="1" quotePrefix="1" applyNumberFormat="1" applyFont="1" applyBorder="1" applyAlignment="1">
      <alignment horizontal="right"/>
    </xf>
    <xf numFmtId="0" fontId="59" fillId="0" borderId="12" xfId="0" applyFont="1" applyBorder="1" applyAlignment="1">
      <alignment horizontal="left" indent="2"/>
    </xf>
    <xf numFmtId="0" fontId="59" fillId="0" borderId="13" xfId="0" applyFont="1" applyBorder="1" applyAlignment="1">
      <alignment horizontal="left" indent="1"/>
    </xf>
    <xf numFmtId="9" fontId="59" fillId="9" borderId="30" xfId="2" applyFont="1" applyFill="1" applyBorder="1" applyAlignment="1">
      <alignment horizontal="right"/>
    </xf>
    <xf numFmtId="164" fontId="60" fillId="0" borderId="30" xfId="1" applyNumberFormat="1" applyFont="1" applyBorder="1" applyAlignment="1">
      <alignment horizontal="right"/>
    </xf>
    <xf numFmtId="164" fontId="60" fillId="0" borderId="29" xfId="1" quotePrefix="1" applyNumberFormat="1" applyFont="1" applyBorder="1" applyAlignment="1">
      <alignment horizontal="right"/>
    </xf>
    <xf numFmtId="164" fontId="59" fillId="0" borderId="0" xfId="2" applyNumberFormat="1" applyFont="1" applyAlignment="1">
      <alignment horizontal="right"/>
    </xf>
    <xf numFmtId="164" fontId="61" fillId="0" borderId="0" xfId="2" applyNumberFormat="1" applyFont="1" applyAlignment="1">
      <alignment horizontal="right"/>
    </xf>
    <xf numFmtId="164" fontId="60" fillId="0" borderId="0" xfId="2" applyNumberFormat="1" applyFont="1" applyAlignment="1">
      <alignment horizontal="right"/>
    </xf>
    <xf numFmtId="166" fontId="60" fillId="0" borderId="0" xfId="2" applyNumberFormat="1" applyFont="1" applyAlignment="1">
      <alignment horizontal="right"/>
    </xf>
    <xf numFmtId="164" fontId="59" fillId="0" borderId="32" xfId="1" applyNumberFormat="1" applyFont="1" applyBorder="1" applyAlignment="1">
      <alignment horizontal="right"/>
    </xf>
    <xf numFmtId="164" fontId="61" fillId="0" borderId="5" xfId="2" applyNumberFormat="1" applyFont="1" applyBorder="1" applyAlignment="1">
      <alignment horizontal="right"/>
    </xf>
    <xf numFmtId="0" fontId="73" fillId="0" borderId="0" xfId="0" applyFont="1"/>
    <xf numFmtId="0" fontId="74" fillId="0" borderId="4" xfId="0" applyFont="1" applyBorder="1" applyAlignment="1">
      <alignment horizontal="left"/>
    </xf>
    <xf numFmtId="0" fontId="72" fillId="0" borderId="13" xfId="0" applyFont="1" applyBorder="1"/>
    <xf numFmtId="164" fontId="72" fillId="0" borderId="30" xfId="1" applyNumberFormat="1" applyFont="1" applyBorder="1" applyAlignment="1">
      <alignment horizontal="right"/>
    </xf>
    <xf numFmtId="164" fontId="72" fillId="0" borderId="29" xfId="1" applyNumberFormat="1" applyFont="1" applyBorder="1" applyAlignment="1">
      <alignment horizontal="right"/>
    </xf>
    <xf numFmtId="43" fontId="72" fillId="0" borderId="44" xfId="1" applyFont="1" applyBorder="1" applyAlignment="1">
      <alignment horizontal="right"/>
    </xf>
    <xf numFmtId="43" fontId="72" fillId="0" borderId="42" xfId="1" applyFont="1" applyBorder="1" applyAlignment="1">
      <alignment horizontal="right"/>
    </xf>
    <xf numFmtId="43" fontId="59" fillId="9" borderId="7" xfId="1" applyFont="1" applyFill="1" applyBorder="1" applyAlignment="1">
      <alignment horizontal="right"/>
    </xf>
    <xf numFmtId="0" fontId="72" fillId="0" borderId="26" xfId="0" applyFont="1" applyBorder="1" applyAlignment="1">
      <alignment horizontal="left"/>
    </xf>
    <xf numFmtId="0" fontId="72" fillId="0" borderId="12" xfId="0" applyFont="1" applyBorder="1" applyAlignment="1">
      <alignment horizontal="left" indent="2"/>
    </xf>
    <xf numFmtId="0" fontId="72" fillId="0" borderId="13" xfId="0" applyFont="1" applyBorder="1" applyAlignment="1">
      <alignment horizontal="left"/>
    </xf>
    <xf numFmtId="0" fontId="71" fillId="0" borderId="25" xfId="0" applyFont="1" applyBorder="1" applyAlignment="1">
      <alignment horizontal="left" indent="1"/>
    </xf>
    <xf numFmtId="0" fontId="71" fillId="0" borderId="26" xfId="0" applyFont="1" applyBorder="1"/>
    <xf numFmtId="164" fontId="75" fillId="0" borderId="31" xfId="1" applyNumberFormat="1" applyFont="1" applyBorder="1" applyAlignment="1">
      <alignment horizontal="right"/>
    </xf>
    <xf numFmtId="164" fontId="75" fillId="0" borderId="32" xfId="1" applyNumberFormat="1" applyFont="1" applyBorder="1" applyAlignment="1">
      <alignment horizontal="right"/>
    </xf>
    <xf numFmtId="164" fontId="76" fillId="0" borderId="31" xfId="1" applyNumberFormat="1" applyFont="1" applyBorder="1" applyAlignment="1">
      <alignment horizontal="right"/>
    </xf>
    <xf numFmtId="164" fontId="76" fillId="0" borderId="32" xfId="1" applyNumberFormat="1" applyFont="1" applyBorder="1" applyAlignment="1">
      <alignment horizontal="right"/>
    </xf>
    <xf numFmtId="0" fontId="72" fillId="0" borderId="43" xfId="0" applyFont="1" applyBorder="1" applyAlignment="1">
      <alignment horizontal="left" indent="2"/>
    </xf>
    <xf numFmtId="0" fontId="59" fillId="11" borderId="4" xfId="0" applyFont="1" applyFill="1" applyBorder="1" applyAlignment="1">
      <alignment horizontal="left" indent="1"/>
    </xf>
    <xf numFmtId="9" fontId="59" fillId="0" borderId="7" xfId="2" applyFont="1" applyBorder="1" applyAlignment="1">
      <alignment horizontal="right"/>
    </xf>
    <xf numFmtId="9" fontId="59" fillId="9" borderId="7" xfId="2" applyFont="1" applyFill="1" applyBorder="1" applyAlignment="1">
      <alignment horizontal="right"/>
    </xf>
    <xf numFmtId="164" fontId="59" fillId="9" borderId="0" xfId="1" applyNumberFormat="1" applyFont="1" applyFill="1" applyAlignment="1">
      <alignment horizontal="right"/>
    </xf>
    <xf numFmtId="164" fontId="59" fillId="0" borderId="31" xfId="1" applyNumberFormat="1" applyFont="1" applyBorder="1" applyAlignment="1">
      <alignment horizontal="right"/>
    </xf>
    <xf numFmtId="43" fontId="59" fillId="0" borderId="5" xfId="1" quotePrefix="1" applyFont="1" applyBorder="1" applyAlignment="1">
      <alignment horizontal="right"/>
    </xf>
    <xf numFmtId="166" fontId="59" fillId="0" borderId="7" xfId="2" quotePrefix="1" applyNumberFormat="1" applyFont="1" applyBorder="1" applyAlignment="1">
      <alignment horizontal="right"/>
    </xf>
    <xf numFmtId="166" fontId="4" fillId="0" borderId="8" xfId="2" quotePrefix="1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43" fontId="52" fillId="0" borderId="0" xfId="0" applyNumberFormat="1" applyFont="1" applyAlignment="1">
      <alignment horizontal="left"/>
    </xf>
    <xf numFmtId="164" fontId="60" fillId="0" borderId="5" xfId="1" quotePrefix="1" applyNumberFormat="1" applyFont="1" applyBorder="1" applyAlignment="1">
      <alignment horizontal="right"/>
    </xf>
    <xf numFmtId="166" fontId="60" fillId="0" borderId="5" xfId="2" quotePrefix="1" applyNumberFormat="1" applyFont="1" applyBorder="1" applyAlignment="1">
      <alignment horizontal="right"/>
    </xf>
    <xf numFmtId="165" fontId="61" fillId="11" borderId="5" xfId="1" applyNumberFormat="1" applyFont="1" applyFill="1" applyBorder="1" applyAlignment="1">
      <alignment horizontal="right"/>
    </xf>
    <xf numFmtId="165" fontId="60" fillId="11" borderId="5" xfId="1" applyNumberFormat="1" applyFont="1" applyFill="1" applyBorder="1" applyAlignment="1">
      <alignment horizontal="right"/>
    </xf>
    <xf numFmtId="165" fontId="51" fillId="3" borderId="0" xfId="1" quotePrefix="1" applyNumberFormat="1" applyFont="1" applyFill="1" applyAlignment="1">
      <alignment horizontal="right"/>
    </xf>
    <xf numFmtId="165" fontId="51" fillId="3" borderId="5" xfId="1" quotePrefix="1" applyNumberFormat="1" applyFont="1" applyFill="1" applyBorder="1" applyAlignment="1">
      <alignment horizontal="right"/>
    </xf>
    <xf numFmtId="165" fontId="60" fillId="0" borderId="8" xfId="1" applyNumberFormat="1" applyFont="1" applyBorder="1" applyAlignment="1">
      <alignment horizontal="right"/>
    </xf>
    <xf numFmtId="165" fontId="4" fillId="11" borderId="31" xfId="1" applyNumberFormat="1" applyFont="1" applyFill="1" applyBorder="1" applyAlignment="1">
      <alignment horizontal="right"/>
    </xf>
    <xf numFmtId="165" fontId="59" fillId="11" borderId="32" xfId="1" applyNumberFormat="1" applyFont="1" applyFill="1" applyBorder="1" applyAlignment="1">
      <alignment horizontal="right"/>
    </xf>
    <xf numFmtId="165" fontId="61" fillId="11" borderId="0" xfId="1" applyNumberFormat="1" applyFont="1" applyFill="1" applyAlignment="1">
      <alignment horizontal="right"/>
    </xf>
    <xf numFmtId="165" fontId="59" fillId="0" borderId="32" xfId="1" applyNumberFormat="1" applyFont="1" applyBorder="1" applyAlignment="1">
      <alignment horizontal="right"/>
    </xf>
    <xf numFmtId="165" fontId="59" fillId="9" borderId="31" xfId="1" applyNumberFormat="1" applyFont="1" applyFill="1" applyBorder="1" applyAlignment="1">
      <alignment horizontal="right"/>
    </xf>
    <xf numFmtId="165" fontId="59" fillId="11" borderId="31" xfId="1" applyNumberFormat="1" applyFont="1" applyFill="1" applyBorder="1" applyAlignment="1">
      <alignment horizontal="right"/>
    </xf>
    <xf numFmtId="165" fontId="60" fillId="11" borderId="32" xfId="1" applyNumberFormat="1" applyFont="1" applyFill="1" applyBorder="1" applyAlignment="1">
      <alignment horizontal="right"/>
    </xf>
    <xf numFmtId="0" fontId="77" fillId="0" borderId="0" xfId="0" applyFont="1"/>
    <xf numFmtId="0" fontId="4" fillId="0" borderId="0" xfId="0" applyFont="1" applyFill="1"/>
    <xf numFmtId="0" fontId="72" fillId="0" borderId="45" xfId="0" applyFont="1" applyBorder="1" applyAlignment="1">
      <alignment horizontal="left" indent="1"/>
    </xf>
    <xf numFmtId="165" fontId="59" fillId="0" borderId="0" xfId="1" applyNumberFormat="1" applyFont="1" applyFill="1" applyAlignment="1">
      <alignment horizontal="right"/>
    </xf>
    <xf numFmtId="165" fontId="59" fillId="0" borderId="5" xfId="1" applyNumberFormat="1" applyFont="1" applyFill="1" applyBorder="1" applyAlignment="1">
      <alignment horizontal="right"/>
    </xf>
    <xf numFmtId="43" fontId="59" fillId="0" borderId="0" xfId="1" applyNumberFormat="1" applyFont="1" applyFill="1" applyAlignment="1">
      <alignment horizontal="right"/>
    </xf>
    <xf numFmtId="164" fontId="60" fillId="0" borderId="0" xfId="1" applyNumberFormat="1" applyFont="1" applyFill="1" applyAlignment="1">
      <alignment horizontal="right"/>
    </xf>
    <xf numFmtId="164" fontId="61" fillId="0" borderId="0" xfId="1" applyNumberFormat="1" applyFont="1" applyFill="1" applyAlignment="1">
      <alignment horizontal="right"/>
    </xf>
    <xf numFmtId="164" fontId="59" fillId="0" borderId="0" xfId="1" applyNumberFormat="1" applyFont="1" applyFill="1" applyAlignment="1">
      <alignment horizontal="right"/>
    </xf>
    <xf numFmtId="164" fontId="51" fillId="0" borderId="0" xfId="1" applyNumberFormat="1" applyFont="1" applyFill="1" applyAlignment="1">
      <alignment horizontal="right"/>
    </xf>
    <xf numFmtId="164" fontId="75" fillId="0" borderId="31" xfId="1" applyNumberFormat="1" applyFont="1" applyFill="1" applyBorder="1" applyAlignment="1">
      <alignment horizontal="right"/>
    </xf>
    <xf numFmtId="164" fontId="72" fillId="0" borderId="30" xfId="1" applyNumberFormat="1" applyFont="1" applyFill="1" applyBorder="1" applyAlignment="1">
      <alignment horizontal="right"/>
    </xf>
    <xf numFmtId="164" fontId="76" fillId="0" borderId="31" xfId="1" applyNumberFormat="1" applyFont="1" applyFill="1" applyBorder="1" applyAlignment="1">
      <alignment horizontal="right"/>
    </xf>
    <xf numFmtId="43" fontId="60" fillId="0" borderId="0" xfId="1" applyFont="1" applyFill="1" applyAlignment="1">
      <alignment horizontal="right"/>
    </xf>
    <xf numFmtId="43" fontId="72" fillId="0" borderId="44" xfId="1" applyFont="1" applyFill="1" applyBorder="1" applyAlignment="1">
      <alignment horizontal="right"/>
    </xf>
    <xf numFmtId="43" fontId="59" fillId="0" borderId="7" xfId="1" applyFont="1" applyFill="1" applyBorder="1" applyAlignment="1">
      <alignment horizontal="right"/>
    </xf>
    <xf numFmtId="0" fontId="52" fillId="0" borderId="0" xfId="0" applyFont="1" applyFill="1"/>
    <xf numFmtId="165" fontId="61" fillId="0" borderId="0" xfId="1" applyNumberFormat="1" applyFont="1" applyFill="1" applyAlignment="1">
      <alignment horizontal="right"/>
    </xf>
    <xf numFmtId="7" fontId="59" fillId="0" borderId="0" xfId="1" applyNumberFormat="1" applyFont="1" applyFill="1" applyAlignment="1">
      <alignment horizontal="right"/>
    </xf>
    <xf numFmtId="0" fontId="71" fillId="0" borderId="0" xfId="0" applyFont="1" applyFill="1"/>
    <xf numFmtId="164" fontId="59" fillId="0" borderId="5" xfId="1" applyNumberFormat="1" applyFont="1" applyFill="1" applyBorder="1" applyAlignment="1">
      <alignment horizontal="right"/>
    </xf>
    <xf numFmtId="164" fontId="60" fillId="0" borderId="5" xfId="1" applyNumberFormat="1" applyFont="1" applyFill="1" applyBorder="1" applyAlignment="1">
      <alignment horizontal="right"/>
    </xf>
    <xf numFmtId="164" fontId="71" fillId="0" borderId="0" xfId="1" applyNumberFormat="1" applyFont="1" applyFill="1" applyAlignment="1">
      <alignment horizontal="right"/>
    </xf>
    <xf numFmtId="165" fontId="59" fillId="0" borderId="0" xfId="1" quotePrefix="1" applyNumberFormat="1" applyFont="1" applyFill="1" applyAlignment="1">
      <alignment horizontal="right"/>
    </xf>
    <xf numFmtId="166" fontId="59" fillId="0" borderId="0" xfId="2" applyNumberFormat="1" applyFont="1" applyFill="1" applyAlignment="1">
      <alignment horizontal="right"/>
    </xf>
    <xf numFmtId="167" fontId="59" fillId="0" borderId="0" xfId="1" applyNumberFormat="1" applyFont="1" applyFill="1" applyAlignment="1">
      <alignment horizontal="right"/>
    </xf>
    <xf numFmtId="164" fontId="60" fillId="0" borderId="30" xfId="1" applyNumberFormat="1" applyFont="1" applyFill="1" applyBorder="1" applyAlignment="1">
      <alignment horizontal="right"/>
    </xf>
    <xf numFmtId="43" fontId="72" fillId="0" borderId="42" xfId="1" applyFont="1" applyFill="1" applyBorder="1" applyAlignment="1">
      <alignment horizontal="right"/>
    </xf>
    <xf numFmtId="43" fontId="72" fillId="0" borderId="44" xfId="1" applyNumberFormat="1" applyFont="1" applyFill="1" applyBorder="1" applyAlignment="1">
      <alignment horizontal="right"/>
    </xf>
    <xf numFmtId="164" fontId="61" fillId="0" borderId="5" xfId="1" applyNumberFormat="1" applyFont="1" applyFill="1" applyBorder="1" applyAlignment="1">
      <alignment horizontal="right"/>
    </xf>
    <xf numFmtId="165" fontId="60" fillId="0" borderId="0" xfId="1" applyNumberFormat="1" applyFont="1" applyFill="1" applyAlignment="1">
      <alignment horizontal="right"/>
    </xf>
    <xf numFmtId="165" fontId="60" fillId="0" borderId="31" xfId="1" applyNumberFormat="1" applyFont="1" applyFill="1" applyBorder="1" applyAlignment="1">
      <alignment horizontal="right"/>
    </xf>
    <xf numFmtId="9" fontId="59" fillId="0" borderId="0" xfId="2" applyFont="1" applyFill="1" applyAlignment="1">
      <alignment horizontal="right"/>
    </xf>
    <xf numFmtId="167" fontId="71" fillId="0" borderId="0" xfId="1" applyNumberFormat="1" applyFont="1" applyFill="1" applyAlignment="1">
      <alignment horizontal="right"/>
    </xf>
    <xf numFmtId="164" fontId="59" fillId="0" borderId="0" xfId="2" applyNumberFormat="1" applyFont="1" applyFill="1" applyAlignment="1">
      <alignment horizontal="right"/>
    </xf>
    <xf numFmtId="164" fontId="61" fillId="0" borderId="0" xfId="2" applyNumberFormat="1" applyFont="1" applyFill="1" applyAlignment="1">
      <alignment horizontal="right"/>
    </xf>
    <xf numFmtId="9" fontId="59" fillId="0" borderId="30" xfId="2" applyFont="1" applyFill="1" applyBorder="1" applyAlignment="1">
      <alignment horizontal="right"/>
    </xf>
    <xf numFmtId="165" fontId="71" fillId="0" borderId="0" xfId="1" applyNumberFormat="1" applyFont="1" applyFill="1" applyAlignment="1">
      <alignment horizontal="right"/>
    </xf>
    <xf numFmtId="165" fontId="59" fillId="0" borderId="5" xfId="1" quotePrefix="1" applyNumberFormat="1" applyFont="1" applyFill="1" applyBorder="1" applyAlignment="1">
      <alignment horizontal="right"/>
    </xf>
    <xf numFmtId="164" fontId="61" fillId="9" borderId="0" xfId="2" applyNumberFormat="1" applyFont="1" applyFill="1" applyAlignment="1">
      <alignment horizontal="right"/>
    </xf>
    <xf numFmtId="0" fontId="71" fillId="0" borderId="25" xfId="0" applyFont="1" applyBorder="1" applyAlignment="1">
      <alignment horizontal="left" indent="5"/>
    </xf>
    <xf numFmtId="0" fontId="72" fillId="0" borderId="12" xfId="0" applyFont="1" applyBorder="1" applyAlignment="1">
      <alignment horizontal="left" indent="6"/>
    </xf>
    <xf numFmtId="43" fontId="60" fillId="0" borderId="5" xfId="1" applyFont="1" applyFill="1" applyBorder="1" applyAlignment="1">
      <alignment horizontal="right"/>
    </xf>
    <xf numFmtId="164" fontId="51" fillId="0" borderId="5" xfId="1" applyNumberFormat="1" applyFont="1" applyFill="1" applyBorder="1" applyAlignment="1">
      <alignment horizontal="right"/>
    </xf>
    <xf numFmtId="164" fontId="2" fillId="2" borderId="2" xfId="1" quotePrefix="1" applyNumberFormat="1" applyFont="1" applyFill="1" applyBorder="1" applyAlignment="1">
      <alignment horizontal="right"/>
    </xf>
    <xf numFmtId="164" fontId="2" fillId="2" borderId="33" xfId="1" quotePrefix="1" applyNumberFormat="1" applyFont="1" applyFill="1" applyBorder="1" applyAlignment="1">
      <alignment horizontal="right"/>
    </xf>
    <xf numFmtId="165" fontId="59" fillId="0" borderId="31" xfId="1" applyNumberFormat="1" applyFont="1" applyFill="1" applyBorder="1" applyAlignment="1">
      <alignment horizontal="right"/>
    </xf>
    <xf numFmtId="165" fontId="4" fillId="11" borderId="0" xfId="1" applyNumberFormat="1" applyFont="1" applyFill="1" applyAlignment="1">
      <alignment horizontal="right"/>
    </xf>
    <xf numFmtId="165" fontId="4" fillId="0" borderId="31" xfId="1" applyNumberFormat="1" applyFont="1" applyFill="1" applyBorder="1" applyAlignment="1">
      <alignment horizontal="right"/>
    </xf>
    <xf numFmtId="165" fontId="4" fillId="0" borderId="0" xfId="1" applyNumberFormat="1" applyFont="1" applyAlignment="1">
      <alignment horizontal="left"/>
    </xf>
    <xf numFmtId="9" fontId="59" fillId="0" borderId="8" xfId="2" quotePrefix="1" applyFont="1" applyFill="1" applyBorder="1" applyAlignment="1">
      <alignment horizontal="right"/>
    </xf>
    <xf numFmtId="9" fontId="59" fillId="0" borderId="0" xfId="2" quotePrefix="1" applyFont="1" applyFill="1" applyAlignment="1">
      <alignment horizontal="right"/>
    </xf>
    <xf numFmtId="166" fontId="59" fillId="0" borderId="0" xfId="2" quotePrefix="1" applyNumberFormat="1" applyFont="1" applyFill="1" applyAlignment="1">
      <alignment horizontal="right"/>
    </xf>
    <xf numFmtId="166" fontId="59" fillId="0" borderId="5" xfId="2" quotePrefix="1" applyNumberFormat="1" applyFont="1" applyFill="1" applyBorder="1" applyAlignment="1">
      <alignment horizontal="right"/>
    </xf>
    <xf numFmtId="0" fontId="59" fillId="0" borderId="0" xfId="0" applyFont="1" applyFill="1"/>
    <xf numFmtId="164" fontId="59" fillId="0" borderId="0" xfId="1" quotePrefix="1" applyNumberFormat="1" applyFont="1" applyFill="1" applyAlignment="1">
      <alignment horizontal="right"/>
    </xf>
    <xf numFmtId="164" fontId="59" fillId="0" borderId="5" xfId="1" quotePrefix="1" applyNumberFormat="1" applyFont="1" applyFill="1" applyBorder="1" applyAlignment="1">
      <alignment horizontal="right"/>
    </xf>
    <xf numFmtId="43" fontId="59" fillId="0" borderId="5" xfId="1" quotePrefix="1" applyFont="1" applyFill="1" applyBorder="1" applyAlignment="1">
      <alignment horizontal="right"/>
    </xf>
    <xf numFmtId="9" fontId="59" fillId="0" borderId="5" xfId="2" applyFont="1" applyFill="1" applyBorder="1" applyAlignment="1">
      <alignment horizontal="right"/>
    </xf>
    <xf numFmtId="166" fontId="59" fillId="0" borderId="7" xfId="2" applyNumberFormat="1" applyFont="1" applyFill="1" applyBorder="1" applyAlignment="1">
      <alignment horizontal="right"/>
    </xf>
    <xf numFmtId="166" fontId="59" fillId="0" borderId="8" xfId="2" quotePrefix="1" applyNumberFormat="1" applyFont="1" applyFill="1" applyBorder="1" applyAlignment="1">
      <alignment horizontal="right"/>
    </xf>
    <xf numFmtId="166" fontId="59" fillId="0" borderId="7" xfId="2" quotePrefix="1" applyNumberFormat="1" applyFont="1" applyFill="1" applyBorder="1" applyAlignment="1">
      <alignment horizontal="right"/>
    </xf>
    <xf numFmtId="0" fontId="54" fillId="0" borderId="4" xfId="0" applyFont="1" applyFill="1" applyBorder="1" applyAlignment="1">
      <alignment horizontal="left"/>
    </xf>
    <xf numFmtId="165" fontId="71" fillId="0" borderId="5" xfId="1" quotePrefix="1" applyNumberFormat="1" applyFont="1" applyFill="1" applyBorder="1" applyAlignment="1">
      <alignment horizontal="right"/>
    </xf>
    <xf numFmtId="164" fontId="59" fillId="0" borderId="32" xfId="1" applyNumberFormat="1" applyFont="1" applyFill="1" applyBorder="1" applyAlignment="1">
      <alignment horizontal="right"/>
    </xf>
    <xf numFmtId="165" fontId="4" fillId="0" borderId="5" xfId="1" quotePrefix="1" applyNumberFormat="1" applyFont="1" applyFill="1" applyBorder="1" applyAlignment="1">
      <alignment horizontal="right"/>
    </xf>
    <xf numFmtId="164" fontId="61" fillId="0" borderId="5" xfId="2" applyNumberFormat="1" applyFont="1" applyFill="1" applyBorder="1" applyAlignment="1">
      <alignment horizontal="right"/>
    </xf>
    <xf numFmtId="164" fontId="60" fillId="0" borderId="5" xfId="1" quotePrefix="1" applyNumberFormat="1" applyFont="1" applyFill="1" applyBorder="1" applyAlignment="1">
      <alignment horizontal="right"/>
    </xf>
    <xf numFmtId="166" fontId="60" fillId="0" borderId="5" xfId="2" quotePrefix="1" applyNumberFormat="1" applyFont="1" applyFill="1" applyBorder="1" applyAlignment="1">
      <alignment horizontal="right"/>
    </xf>
    <xf numFmtId="9" fontId="60" fillId="0" borderId="5" xfId="2" applyFont="1" applyFill="1" applyBorder="1" applyAlignment="1">
      <alignment horizontal="right"/>
    </xf>
    <xf numFmtId="0" fontId="4" fillId="0" borderId="4" xfId="0" applyFont="1" applyFill="1" applyBorder="1"/>
    <xf numFmtId="0" fontId="60" fillId="0" borderId="0" xfId="0" applyFont="1" applyFill="1"/>
    <xf numFmtId="0" fontId="60" fillId="0" borderId="3" xfId="0" applyFont="1" applyFill="1" applyBorder="1" applyAlignment="1">
      <alignment horizontal="left" indent="4"/>
    </xf>
    <xf numFmtId="0" fontId="60" fillId="0" borderId="4" xfId="0" applyFont="1" applyFill="1" applyBorder="1"/>
    <xf numFmtId="0" fontId="60" fillId="0" borderId="3" xfId="0" applyFont="1" applyFill="1" applyBorder="1" applyAlignment="1">
      <alignment horizontal="left" indent="5"/>
    </xf>
    <xf numFmtId="0" fontId="52" fillId="0" borderId="4" xfId="0" applyFont="1" applyFill="1" applyBorder="1"/>
    <xf numFmtId="0" fontId="73" fillId="0" borderId="0" xfId="0" applyFont="1" applyFill="1"/>
    <xf numFmtId="166" fontId="59" fillId="0" borderId="5" xfId="2" applyNumberFormat="1" applyFont="1" applyFill="1" applyBorder="1" applyAlignment="1">
      <alignment horizontal="right"/>
    </xf>
    <xf numFmtId="43" fontId="61" fillId="0" borderId="0" xfId="1" applyNumberFormat="1" applyFont="1" applyFill="1" applyAlignment="1">
      <alignment horizontal="right"/>
    </xf>
    <xf numFmtId="164" fontId="75" fillId="0" borderId="32" xfId="1" applyNumberFormat="1" applyFont="1" applyFill="1" applyBorder="1" applyAlignment="1">
      <alignment horizontal="right"/>
    </xf>
    <xf numFmtId="164" fontId="72" fillId="0" borderId="29" xfId="1" applyNumberFormat="1" applyFont="1" applyFill="1" applyBorder="1" applyAlignment="1">
      <alignment horizontal="right"/>
    </xf>
    <xf numFmtId="164" fontId="76" fillId="0" borderId="32" xfId="1" applyNumberFormat="1" applyFont="1" applyFill="1" applyBorder="1" applyAlignment="1">
      <alignment horizontal="right"/>
    </xf>
    <xf numFmtId="43" fontId="60" fillId="0" borderId="8" xfId="1" applyFont="1" applyFill="1" applyBorder="1" applyAlignment="1">
      <alignment horizontal="right"/>
    </xf>
    <xf numFmtId="164" fontId="59" fillId="0" borderId="0" xfId="1" applyNumberFormat="1" applyFont="1" applyBorder="1" applyAlignment="1">
      <alignment horizontal="right"/>
    </xf>
    <xf numFmtId="164" fontId="59" fillId="0" borderId="30" xfId="1" applyNumberFormat="1" applyFont="1" applyBorder="1" applyAlignment="1">
      <alignment horizontal="right"/>
    </xf>
    <xf numFmtId="164" fontId="59" fillId="0" borderId="29" xfId="1" applyNumberFormat="1" applyFont="1" applyBorder="1" applyAlignment="1">
      <alignment horizontal="right"/>
    </xf>
    <xf numFmtId="164" fontId="59" fillId="0" borderId="0" xfId="1" applyNumberFormat="1" applyFont="1" applyFill="1" applyBorder="1" applyAlignment="1">
      <alignment horizontal="right"/>
    </xf>
    <xf numFmtId="7" fontId="59" fillId="0" borderId="25" xfId="1" applyNumberFormat="1" applyFont="1" applyBorder="1" applyAlignment="1">
      <alignment horizontal="right"/>
    </xf>
    <xf numFmtId="7" fontId="59" fillId="0" borderId="31" xfId="1" applyNumberFormat="1" applyFont="1" applyFill="1" applyBorder="1" applyAlignment="1">
      <alignment horizontal="right"/>
    </xf>
    <xf numFmtId="165" fontId="59" fillId="0" borderId="3" xfId="1" applyNumberFormat="1" applyFont="1" applyBorder="1" applyAlignment="1">
      <alignment horizontal="right"/>
    </xf>
    <xf numFmtId="165" fontId="59" fillId="0" borderId="0" xfId="1" applyNumberFormat="1" applyFont="1" applyFill="1" applyBorder="1" applyAlignment="1">
      <alignment horizontal="right"/>
    </xf>
    <xf numFmtId="164" fontId="59" fillId="0" borderId="12" xfId="1" applyNumberFormat="1" applyFont="1" applyBorder="1" applyAlignment="1">
      <alignment horizontal="right"/>
    </xf>
    <xf numFmtId="167" fontId="71" fillId="0" borderId="5" xfId="1" quotePrefix="1" applyNumberFormat="1" applyFont="1" applyBorder="1" applyAlignment="1">
      <alignment horizontal="right"/>
    </xf>
    <xf numFmtId="167" fontId="71" fillId="0" borderId="5" xfId="1" quotePrefix="1" applyNumberFormat="1" applyFont="1" applyFill="1" applyBorder="1" applyAlignment="1">
      <alignment horizontal="right"/>
    </xf>
    <xf numFmtId="9" fontId="70" fillId="0" borderId="5" xfId="2" applyFont="1" applyFill="1" applyBorder="1" applyAlignment="1">
      <alignment horizontal="right"/>
    </xf>
    <xf numFmtId="229" fontId="60" fillId="0" borderId="5" xfId="2" applyNumberFormat="1" applyFont="1" applyFill="1" applyBorder="1" applyAlignment="1">
      <alignment horizontal="right"/>
    </xf>
    <xf numFmtId="165" fontId="59" fillId="10" borderId="5" xfId="1" quotePrefix="1" applyNumberFormat="1" applyFont="1" applyFill="1" applyBorder="1" applyAlignment="1">
      <alignment horizontal="right"/>
    </xf>
    <xf numFmtId="165" fontId="59" fillId="10" borderId="5" xfId="1" applyNumberFormat="1" applyFont="1" applyFill="1" applyBorder="1" applyAlignment="1">
      <alignment horizontal="right"/>
    </xf>
    <xf numFmtId="0" fontId="59" fillId="0" borderId="6" xfId="0" applyFont="1" applyFill="1" applyBorder="1" applyAlignment="1">
      <alignment horizontal="left" indent="2"/>
    </xf>
    <xf numFmtId="0" fontId="59" fillId="0" borderId="10" xfId="0" applyFont="1" applyFill="1" applyBorder="1" applyAlignment="1">
      <alignment horizontal="left" indent="1"/>
    </xf>
    <xf numFmtId="165" fontId="4" fillId="11" borderId="31" xfId="1" applyNumberFormat="1" applyFont="1" applyFill="1" applyBorder="1" applyAlignment="1">
      <alignment horizontal="left"/>
    </xf>
    <xf numFmtId="165" fontId="59" fillId="0" borderId="31" xfId="1" applyNumberFormat="1" applyFont="1" applyBorder="1" applyAlignment="1">
      <alignment horizontal="right"/>
    </xf>
    <xf numFmtId="166" fontId="4" fillId="0" borderId="0" xfId="1" applyNumberFormat="1" applyFont="1"/>
    <xf numFmtId="165" fontId="61" fillId="0" borderId="5" xfId="1" applyNumberFormat="1" applyFont="1" applyFill="1" applyBorder="1" applyAlignment="1">
      <alignment horizontal="right"/>
    </xf>
    <xf numFmtId="165" fontId="60" fillId="0" borderId="5" xfId="1" applyNumberFormat="1" applyFont="1" applyFill="1" applyBorder="1" applyAlignment="1">
      <alignment horizontal="right"/>
    </xf>
    <xf numFmtId="165" fontId="52" fillId="0" borderId="9" xfId="1" applyNumberFormat="1" applyFont="1" applyFill="1" applyBorder="1" applyAlignment="1">
      <alignment horizontal="right"/>
    </xf>
    <xf numFmtId="9" fontId="70" fillId="0" borderId="0" xfId="2" applyFont="1" applyFill="1" applyAlignment="1">
      <alignment horizontal="right"/>
    </xf>
    <xf numFmtId="9" fontId="60" fillId="0" borderId="0" xfId="2" applyFont="1" applyFill="1" applyAlignment="1">
      <alignment horizontal="right"/>
    </xf>
    <xf numFmtId="9" fontId="60" fillId="0" borderId="0" xfId="2" applyNumberFormat="1" applyFont="1" applyFill="1" applyAlignment="1">
      <alignment horizontal="right"/>
    </xf>
    <xf numFmtId="164" fontId="52" fillId="0" borderId="29" xfId="1" quotePrefix="1" applyNumberFormat="1" applyFont="1" applyFill="1" applyBorder="1" applyAlignment="1">
      <alignment horizontal="right"/>
    </xf>
    <xf numFmtId="165" fontId="52" fillId="0" borderId="5" xfId="1" quotePrefix="1" applyNumberFormat="1" applyFont="1" applyFill="1" applyBorder="1" applyAlignment="1">
      <alignment horizontal="right"/>
    </xf>
    <xf numFmtId="165" fontId="4" fillId="0" borderId="29" xfId="1" quotePrefix="1" applyNumberFormat="1" applyFont="1" applyFill="1" applyBorder="1" applyAlignment="1">
      <alignment horizontal="right"/>
    </xf>
    <xf numFmtId="164" fontId="60" fillId="0" borderId="0" xfId="2" applyNumberFormat="1" applyFont="1" applyFill="1" applyAlignment="1">
      <alignment horizontal="right"/>
    </xf>
    <xf numFmtId="166" fontId="60" fillId="0" borderId="0" xfId="2" applyNumberFormat="1" applyFont="1" applyFill="1" applyAlignment="1">
      <alignment horizontal="right"/>
    </xf>
    <xf numFmtId="228" fontId="4" fillId="0" borderId="5" xfId="1" quotePrefix="1" applyNumberFormat="1" applyFont="1" applyFill="1" applyBorder="1" applyAlignment="1">
      <alignment horizontal="right"/>
    </xf>
    <xf numFmtId="43" fontId="59" fillId="0" borderId="5" xfId="1" applyNumberFormat="1" applyFont="1" applyFill="1" applyBorder="1" applyAlignment="1">
      <alignment horizontal="right"/>
    </xf>
    <xf numFmtId="43" fontId="61" fillId="0" borderId="5" xfId="1" applyNumberFormat="1" applyFont="1" applyFill="1" applyBorder="1" applyAlignment="1">
      <alignment horizontal="right"/>
    </xf>
    <xf numFmtId="0" fontId="59" fillId="11" borderId="0" xfId="0" applyFont="1" applyFill="1" applyBorder="1" applyAlignment="1">
      <alignment horizontal="left"/>
    </xf>
    <xf numFmtId="165" fontId="4" fillId="0" borderId="0" xfId="0" applyNumberFormat="1" applyFont="1" applyAlignment="1">
      <alignment horizontal="left"/>
    </xf>
    <xf numFmtId="165" fontId="4" fillId="0" borderId="0" xfId="1" applyNumberFormat="1" applyFont="1" applyFill="1"/>
    <xf numFmtId="43" fontId="4" fillId="0" borderId="0" xfId="1" applyFont="1"/>
    <xf numFmtId="166" fontId="0" fillId="0" borderId="38" xfId="2" applyNumberFormat="1" applyFont="1" applyBorder="1"/>
    <xf numFmtId="0" fontId="2" fillId="0" borderId="0" xfId="0" applyFont="1" applyFill="1" applyAlignment="1">
      <alignment horizontal="right"/>
    </xf>
    <xf numFmtId="10" fontId="2" fillId="0" borderId="0" xfId="0" applyNumberFormat="1" applyFont="1" applyFill="1"/>
    <xf numFmtId="226" fontId="59" fillId="0" borderId="4" xfId="2" applyNumberFormat="1" applyFont="1" applyFill="1" applyBorder="1" applyAlignment="1">
      <alignment horizontal="right"/>
    </xf>
    <xf numFmtId="226" fontId="59" fillId="0" borderId="4" xfId="1" applyNumberFormat="1" applyFont="1" applyFill="1" applyBorder="1" applyAlignment="1">
      <alignment horizontal="right"/>
    </xf>
    <xf numFmtId="9" fontId="59" fillId="0" borderId="0" xfId="2" applyFont="1" applyFill="1" applyAlignment="1">
      <alignment horizontal="left"/>
    </xf>
    <xf numFmtId="164" fontId="4" fillId="0" borderId="0" xfId="1" applyNumberFormat="1" applyFont="1" applyFill="1" applyAlignment="1">
      <alignment horizontal="right"/>
    </xf>
    <xf numFmtId="9" fontId="59" fillId="0" borderId="0" xfId="2" applyNumberFormat="1" applyFont="1" applyAlignment="1">
      <alignment horizontal="right"/>
    </xf>
    <xf numFmtId="9" fontId="59" fillId="0" borderId="5" xfId="2" applyNumberFormat="1" applyFont="1" applyBorder="1" applyAlignment="1">
      <alignment horizontal="right"/>
    </xf>
    <xf numFmtId="0" fontId="60" fillId="0" borderId="23" xfId="0" applyFont="1" applyFill="1" applyBorder="1" applyAlignment="1">
      <alignment horizontal="left"/>
    </xf>
    <xf numFmtId="10" fontId="61" fillId="0" borderId="5" xfId="2" applyNumberFormat="1" applyFont="1" applyBorder="1" applyAlignment="1">
      <alignment horizontal="right"/>
    </xf>
    <xf numFmtId="10" fontId="59" fillId="0" borderId="5" xfId="2" applyNumberFormat="1" applyFont="1" applyBorder="1" applyAlignment="1">
      <alignment horizontal="right"/>
    </xf>
    <xf numFmtId="10" fontId="4" fillId="0" borderId="5" xfId="2" quotePrefix="1" applyNumberFormat="1" applyFont="1" applyBorder="1" applyAlignment="1">
      <alignment horizontal="right"/>
    </xf>
    <xf numFmtId="226" fontId="59" fillId="9" borderId="4" xfId="1" applyNumberFormat="1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7" fontId="4" fillId="0" borderId="0" xfId="0" applyNumberFormat="1" applyFont="1" applyAlignment="1">
      <alignment horizontal="right"/>
    </xf>
    <xf numFmtId="0" fontId="60" fillId="0" borderId="3" xfId="0" applyFont="1" applyBorder="1" applyAlignment="1">
      <alignment horizontal="left" indent="1"/>
    </xf>
    <xf numFmtId="0" fontId="60" fillId="0" borderId="4" xfId="0" applyFont="1" applyBorder="1" applyAlignment="1">
      <alignment horizontal="left" indent="1"/>
    </xf>
    <xf numFmtId="0" fontId="58" fillId="2" borderId="3" xfId="0" applyFont="1" applyFill="1" applyBorder="1" applyAlignment="1">
      <alignment horizontal="left"/>
    </xf>
    <xf numFmtId="0" fontId="58" fillId="2" borderId="4" xfId="0" applyFont="1" applyFill="1" applyBorder="1" applyAlignment="1">
      <alignment horizontal="left"/>
    </xf>
    <xf numFmtId="0" fontId="59" fillId="0" borderId="3" xfId="0" applyFont="1" applyBorder="1" applyAlignment="1">
      <alignment horizontal="left"/>
    </xf>
    <xf numFmtId="0" fontId="59" fillId="0" borderId="4" xfId="0" applyFont="1" applyBorder="1" applyAlignment="1">
      <alignment horizontal="left"/>
    </xf>
    <xf numFmtId="0" fontId="59" fillId="11" borderId="3" xfId="0" applyFont="1" applyFill="1" applyBorder="1" applyAlignment="1">
      <alignment horizontal="left"/>
    </xf>
    <xf numFmtId="0" fontId="59" fillId="11" borderId="4" xfId="0" applyFont="1" applyFill="1" applyBorder="1" applyAlignment="1">
      <alignment horizontal="left"/>
    </xf>
    <xf numFmtId="0" fontId="60" fillId="11" borderId="3" xfId="0" applyFont="1" applyFill="1" applyBorder="1" applyAlignment="1">
      <alignment horizontal="left" indent="1"/>
    </xf>
    <xf numFmtId="0" fontId="59" fillId="0" borderId="6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60" fillId="0" borderId="3" xfId="0" applyFont="1" applyBorder="1" applyAlignment="1">
      <alignment horizontal="left"/>
    </xf>
    <xf numFmtId="0" fontId="60" fillId="0" borderId="4" xfId="0" applyFont="1" applyBorder="1" applyAlignment="1">
      <alignment horizontal="left"/>
    </xf>
    <xf numFmtId="0" fontId="60" fillId="0" borderId="3" xfId="0" applyFont="1" applyBorder="1" applyAlignment="1">
      <alignment horizontal="left" indent="3"/>
    </xf>
    <xf numFmtId="0" fontId="59" fillId="0" borderId="3" xfId="0" applyFont="1" applyBorder="1" applyAlignment="1">
      <alignment horizontal="left" indent="4"/>
    </xf>
    <xf numFmtId="0" fontId="59" fillId="0" borderId="3" xfId="0" applyFont="1" applyFill="1" applyBorder="1" applyAlignment="1">
      <alignment horizontal="left"/>
    </xf>
    <xf numFmtId="0" fontId="59" fillId="0" borderId="3" xfId="0" applyFont="1" applyFill="1" applyBorder="1" applyAlignment="1">
      <alignment horizontal="left" indent="2"/>
    </xf>
    <xf numFmtId="0" fontId="62" fillId="0" borderId="25" xfId="0" applyFont="1" applyBorder="1" applyAlignment="1">
      <alignment horizontal="left"/>
    </xf>
    <xf numFmtId="0" fontId="59" fillId="0" borderId="3" xfId="0" applyFont="1" applyBorder="1" applyAlignment="1">
      <alignment horizontal="left" indent="1"/>
    </xf>
    <xf numFmtId="0" fontId="59" fillId="0" borderId="4" xfId="0" applyFont="1" applyBorder="1" applyAlignment="1">
      <alignment horizontal="left" indent="1"/>
    </xf>
    <xf numFmtId="0" fontId="60" fillId="0" borderId="3" xfId="0" applyFont="1" applyBorder="1" applyAlignment="1">
      <alignment horizontal="left" indent="2"/>
    </xf>
    <xf numFmtId="0" fontId="67" fillId="0" borderId="38" xfId="0" applyFont="1" applyBorder="1" applyAlignment="1">
      <alignment horizontal="right"/>
    </xf>
    <xf numFmtId="10" fontId="67" fillId="0" borderId="39" xfId="1" applyNumberFormat="1" applyFont="1" applyBorder="1"/>
    <xf numFmtId="5" fontId="60" fillId="0" borderId="10" xfId="1" applyNumberFormat="1" applyFont="1" applyBorder="1" applyAlignment="1">
      <alignment horizontal="right"/>
    </xf>
    <xf numFmtId="165" fontId="60" fillId="0" borderId="5" xfId="1" quotePrefix="1" applyNumberFormat="1" applyFont="1" applyFill="1" applyBorder="1" applyAlignment="1">
      <alignment horizontal="right"/>
    </xf>
    <xf numFmtId="166" fontId="78" fillId="0" borderId="0" xfId="2" applyNumberFormat="1" applyFont="1" applyFill="1" applyAlignment="1">
      <alignment horizontal="right"/>
    </xf>
    <xf numFmtId="166" fontId="59" fillId="0" borderId="29" xfId="2" quotePrefix="1" applyNumberFormat="1" applyFont="1" applyFill="1" applyBorder="1" applyAlignment="1">
      <alignment horizontal="right"/>
    </xf>
    <xf numFmtId="43" fontId="59" fillId="0" borderId="8" xfId="1" applyFont="1" applyFill="1" applyBorder="1" applyAlignment="1">
      <alignment horizontal="right"/>
    </xf>
    <xf numFmtId="164" fontId="55" fillId="2" borderId="11" xfId="1" quotePrefix="1" applyNumberFormat="1" applyFont="1" applyFill="1" applyBorder="1" applyAlignment="1">
      <alignment horizontal="right"/>
    </xf>
    <xf numFmtId="164" fontId="55" fillId="2" borderId="4" xfId="1" quotePrefix="1" applyNumberFormat="1" applyFont="1" applyFill="1" applyBorder="1" applyAlignment="1">
      <alignment horizontal="right"/>
    </xf>
    <xf numFmtId="164" fontId="56" fillId="2" borderId="4" xfId="1" quotePrefix="1" applyNumberFormat="1" applyFont="1" applyFill="1" applyBorder="1" applyAlignment="1">
      <alignment horizontal="right"/>
    </xf>
    <xf numFmtId="164" fontId="59" fillId="0" borderId="4" xfId="1" applyNumberFormat="1" applyFont="1" applyFill="1" applyBorder="1" applyAlignment="1">
      <alignment horizontal="right"/>
    </xf>
    <xf numFmtId="164" fontId="59" fillId="0" borderId="4" xfId="1" applyNumberFormat="1" applyFont="1" applyBorder="1" applyAlignment="1">
      <alignment horizontal="right"/>
    </xf>
    <xf numFmtId="164" fontId="61" fillId="0" borderId="4" xfId="1" applyNumberFormat="1" applyFont="1" applyBorder="1" applyAlignment="1">
      <alignment horizontal="right"/>
    </xf>
    <xf numFmtId="164" fontId="60" fillId="0" borderId="4" xfId="1" applyNumberFormat="1" applyFont="1" applyFill="1" applyBorder="1" applyAlignment="1">
      <alignment horizontal="right"/>
    </xf>
    <xf numFmtId="164" fontId="61" fillId="0" borderId="4" xfId="1" applyNumberFormat="1" applyFont="1" applyFill="1" applyBorder="1" applyAlignment="1">
      <alignment horizontal="right"/>
    </xf>
    <xf numFmtId="164" fontId="51" fillId="0" borderId="4" xfId="1" applyNumberFormat="1" applyFont="1" applyBorder="1" applyAlignment="1">
      <alignment horizontal="right"/>
    </xf>
    <xf numFmtId="164" fontId="60" fillId="0" borderId="4" xfId="1" applyNumberFormat="1" applyFont="1" applyBorder="1" applyAlignment="1">
      <alignment horizontal="right"/>
    </xf>
    <xf numFmtId="43" fontId="60" fillId="0" borderId="4" xfId="1" applyFont="1" applyBorder="1" applyAlignment="1">
      <alignment horizontal="right"/>
    </xf>
    <xf numFmtId="43" fontId="60" fillId="0" borderId="4" xfId="1" applyFont="1" applyFill="1" applyBorder="1" applyAlignment="1">
      <alignment horizontal="right"/>
    </xf>
    <xf numFmtId="43" fontId="59" fillId="0" borderId="10" xfId="1" applyFont="1" applyFill="1" applyBorder="1" applyAlignment="1">
      <alignment horizontal="right"/>
    </xf>
    <xf numFmtId="164" fontId="75" fillId="0" borderId="26" xfId="1" applyNumberFormat="1" applyFont="1" applyBorder="1" applyAlignment="1">
      <alignment horizontal="right"/>
    </xf>
    <xf numFmtId="164" fontId="72" fillId="0" borderId="13" xfId="1" applyNumberFormat="1" applyFont="1" applyBorder="1" applyAlignment="1">
      <alignment horizontal="right"/>
    </xf>
    <xf numFmtId="164" fontId="76" fillId="0" borderId="26" xfId="1" applyNumberFormat="1" applyFont="1" applyBorder="1" applyAlignment="1">
      <alignment horizontal="right"/>
    </xf>
    <xf numFmtId="43" fontId="72" fillId="0" borderId="45" xfId="1" applyFont="1" applyFill="1" applyBorder="1" applyAlignment="1">
      <alignment horizontal="right"/>
    </xf>
    <xf numFmtId="164" fontId="55" fillId="2" borderId="33" xfId="1" quotePrefix="1" applyNumberFormat="1" applyFont="1" applyFill="1" applyBorder="1" applyAlignment="1">
      <alignment horizontal="center" vertical="center"/>
    </xf>
    <xf numFmtId="164" fontId="55" fillId="2" borderId="5" xfId="1" quotePrefix="1" applyNumberFormat="1" applyFont="1" applyFill="1" applyBorder="1" applyAlignment="1">
      <alignment horizontal="center" vertical="center"/>
    </xf>
    <xf numFmtId="0" fontId="0" fillId="0" borderId="3" xfId="0" applyBorder="1"/>
    <xf numFmtId="0" fontId="2" fillId="0" borderId="28" xfId="0" applyFont="1" applyFill="1" applyBorder="1" applyAlignment="1">
      <alignment horizontal="right"/>
    </xf>
    <xf numFmtId="0" fontId="0" fillId="0" borderId="27" xfId="0" applyBorder="1"/>
    <xf numFmtId="0" fontId="2" fillId="0" borderId="1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6" xfId="0" applyBorder="1"/>
    <xf numFmtId="0" fontId="0" fillId="0" borderId="1" xfId="0" applyBorder="1"/>
    <xf numFmtId="164" fontId="55" fillId="2" borderId="14" xfId="1" quotePrefix="1" applyNumberFormat="1" applyFont="1" applyFill="1" applyBorder="1" applyAlignment="1">
      <alignment horizontal="right" vertical="center"/>
    </xf>
    <xf numFmtId="164" fontId="55" fillId="2" borderId="14" xfId="1" quotePrefix="1" applyNumberFormat="1" applyFont="1" applyFill="1" applyBorder="1" applyAlignment="1">
      <alignment horizontal="center" vertical="center"/>
    </xf>
    <xf numFmtId="164" fontId="59" fillId="0" borderId="33" xfId="1" applyNumberFormat="1" applyFont="1" applyFill="1" applyBorder="1" applyAlignment="1">
      <alignment horizontal="right"/>
    </xf>
    <xf numFmtId="0" fontId="0" fillId="0" borderId="0" xfId="0"/>
    <xf numFmtId="165" fontId="59" fillId="0" borderId="5" xfId="1" applyNumberFormat="1" applyFont="1" applyFill="1" applyBorder="1" applyAlignment="1">
      <alignment horizontal="right"/>
    </xf>
    <xf numFmtId="164" fontId="59" fillId="0" borderId="5" xfId="1" applyNumberFormat="1" applyFont="1" applyFill="1" applyBorder="1" applyAlignment="1">
      <alignment horizontal="right"/>
    </xf>
    <xf numFmtId="164" fontId="60" fillId="0" borderId="5" xfId="1" applyNumberFormat="1" applyFont="1" applyFill="1" applyBorder="1" applyAlignment="1">
      <alignment horizontal="right"/>
    </xf>
    <xf numFmtId="43" fontId="72" fillId="0" borderId="42" xfId="1" applyFont="1" applyFill="1" applyBorder="1" applyAlignment="1">
      <alignment horizontal="right"/>
    </xf>
    <xf numFmtId="164" fontId="61" fillId="0" borderId="5" xfId="1" applyNumberFormat="1" applyFont="1" applyFill="1" applyBorder="1" applyAlignment="1">
      <alignment horizontal="right"/>
    </xf>
    <xf numFmtId="43" fontId="60" fillId="0" borderId="5" xfId="1" applyFont="1" applyFill="1" applyBorder="1" applyAlignment="1">
      <alignment horizontal="right"/>
    </xf>
    <xf numFmtId="164" fontId="51" fillId="0" borderId="5" xfId="1" applyNumberFormat="1" applyFont="1" applyFill="1" applyBorder="1" applyAlignment="1">
      <alignment horizontal="right"/>
    </xf>
    <xf numFmtId="164" fontId="75" fillId="0" borderId="32" xfId="1" applyNumberFormat="1" applyFont="1" applyFill="1" applyBorder="1" applyAlignment="1">
      <alignment horizontal="right"/>
    </xf>
    <xf numFmtId="164" fontId="72" fillId="0" borderId="29" xfId="1" applyNumberFormat="1" applyFont="1" applyFill="1" applyBorder="1" applyAlignment="1">
      <alignment horizontal="right"/>
    </xf>
    <xf numFmtId="164" fontId="76" fillId="0" borderId="32" xfId="1" applyNumberFormat="1" applyFont="1" applyFill="1" applyBorder="1" applyAlignment="1">
      <alignment horizontal="right"/>
    </xf>
    <xf numFmtId="166" fontId="59" fillId="10" borderId="5" xfId="2" applyNumberFormat="1" applyFont="1" applyFill="1" applyBorder="1" applyAlignment="1">
      <alignment horizontal="right"/>
    </xf>
    <xf numFmtId="0" fontId="59" fillId="0" borderId="4" xfId="0" applyFont="1" applyFill="1" applyBorder="1" applyAlignment="1">
      <alignment horizontal="left"/>
    </xf>
    <xf numFmtId="164" fontId="59" fillId="10" borderId="5" xfId="1" quotePrefix="1" applyNumberFormat="1" applyFont="1" applyFill="1" applyBorder="1" applyAlignment="1">
      <alignment horizontal="right"/>
    </xf>
    <xf numFmtId="9" fontId="59" fillId="0" borderId="0" xfId="2" applyFont="1" applyBorder="1" applyAlignment="1">
      <alignment horizontal="right"/>
    </xf>
    <xf numFmtId="165" fontId="0" fillId="0" borderId="0" xfId="0" applyNumberFormat="1"/>
    <xf numFmtId="165" fontId="60" fillId="0" borderId="14" xfId="1" applyNumberFormat="1" applyFont="1" applyFill="1" applyBorder="1" applyAlignment="1">
      <alignment horizontal="right"/>
    </xf>
    <xf numFmtId="43" fontId="0" fillId="0" borderId="0" xfId="1" applyFont="1"/>
    <xf numFmtId="0" fontId="59" fillId="0" borderId="3" xfId="0" applyFont="1" applyFill="1" applyBorder="1" applyAlignment="1">
      <alignment horizontal="left" indent="1"/>
    </xf>
    <xf numFmtId="0" fontId="78" fillId="0" borderId="3" xfId="0" applyFont="1" applyBorder="1" applyAlignment="1">
      <alignment horizontal="left" indent="2"/>
    </xf>
    <xf numFmtId="0" fontId="78" fillId="0" borderId="4" xfId="0" applyFont="1" applyBorder="1" applyAlignment="1">
      <alignment horizontal="left" indent="2"/>
    </xf>
    <xf numFmtId="0" fontId="79" fillId="0" borderId="0" xfId="0" applyFont="1" applyAlignment="1">
      <alignment horizontal="left" indent="1"/>
    </xf>
    <xf numFmtId="0" fontId="79" fillId="0" borderId="0" xfId="0" applyFont="1" applyFill="1" applyAlignment="1">
      <alignment horizontal="left"/>
    </xf>
    <xf numFmtId="0" fontId="79" fillId="0" borderId="0" xfId="0" applyFont="1" applyFill="1"/>
    <xf numFmtId="0" fontId="78" fillId="0" borderId="4" xfId="0" applyFont="1" applyBorder="1" applyAlignment="1">
      <alignment horizontal="left" indent="1"/>
    </xf>
    <xf numFmtId="0" fontId="79" fillId="0" borderId="0" xfId="0" applyFont="1"/>
    <xf numFmtId="166" fontId="78" fillId="0" borderId="5" xfId="2" applyNumberFormat="1" applyFont="1" applyFill="1" applyBorder="1" applyAlignment="1">
      <alignment horizontal="right"/>
    </xf>
    <xf numFmtId="166" fontId="78" fillId="0" borderId="0" xfId="2" applyNumberFormat="1" applyFont="1" applyAlignment="1">
      <alignment horizontal="right"/>
    </xf>
    <xf numFmtId="166" fontId="78" fillId="0" borderId="5" xfId="2" applyNumberFormat="1" applyFont="1" applyBorder="1" applyAlignment="1">
      <alignment horizontal="right"/>
    </xf>
    <xf numFmtId="166" fontId="78" fillId="9" borderId="0" xfId="2" applyNumberFormat="1" applyFont="1" applyFill="1" applyAlignment="1">
      <alignment horizontal="right"/>
    </xf>
    <xf numFmtId="0" fontId="79" fillId="0" borderId="4" xfId="0" applyFont="1" applyBorder="1"/>
    <xf numFmtId="165" fontId="60" fillId="0" borderId="5" xfId="1" quotePrefix="1" applyNumberFormat="1" applyFont="1" applyBorder="1" applyAlignment="1">
      <alignment horizontal="right"/>
    </xf>
    <xf numFmtId="165" fontId="60" fillId="0" borderId="32" xfId="1" quotePrefix="1" applyNumberFormat="1" applyFont="1" applyBorder="1" applyAlignment="1">
      <alignment horizontal="right"/>
    </xf>
    <xf numFmtId="164" fontId="61" fillId="0" borderId="5" xfId="1" quotePrefix="1" applyNumberFormat="1" applyFont="1" applyBorder="1" applyAlignment="1">
      <alignment horizontal="right"/>
    </xf>
    <xf numFmtId="164" fontId="60" fillId="0" borderId="5" xfId="2" applyNumberFormat="1" applyFont="1" applyBorder="1" applyAlignment="1">
      <alignment horizontal="right"/>
    </xf>
    <xf numFmtId="43" fontId="4" fillId="0" borderId="0" xfId="1" applyFont="1" applyFill="1"/>
    <xf numFmtId="166" fontId="79" fillId="0" borderId="0" xfId="2" applyNumberFormat="1" applyFont="1" applyAlignment="1">
      <alignment horizontal="right"/>
    </xf>
    <xf numFmtId="165" fontId="79" fillId="0" borderId="0" xfId="1" applyNumberFormat="1" applyFont="1" applyAlignment="1">
      <alignment horizontal="left"/>
    </xf>
    <xf numFmtId="165" fontId="79" fillId="0" borderId="0" xfId="1" applyNumberFormat="1" applyFont="1" applyAlignment="1">
      <alignment horizontal="right"/>
    </xf>
    <xf numFmtId="167" fontId="79" fillId="0" borderId="0" xfId="1" applyNumberFormat="1" applyFont="1" applyAlignment="1">
      <alignment horizontal="left"/>
    </xf>
    <xf numFmtId="165" fontId="61" fillId="10" borderId="0" xfId="1" applyNumberFormat="1" applyFont="1" applyFill="1" applyAlignment="1">
      <alignment horizontal="right"/>
    </xf>
    <xf numFmtId="164" fontId="61" fillId="10" borderId="0" xfId="1" applyNumberFormat="1" applyFont="1" applyFill="1" applyAlignment="1">
      <alignment horizontal="right"/>
    </xf>
    <xf numFmtId="164" fontId="60" fillId="10" borderId="5" xfId="1" applyNumberFormat="1" applyFont="1" applyFill="1" applyBorder="1" applyAlignment="1">
      <alignment horizontal="right"/>
    </xf>
    <xf numFmtId="43" fontId="60" fillId="10" borderId="5" xfId="1" applyFont="1" applyFill="1" applyBorder="1" applyAlignment="1">
      <alignment horizontal="right"/>
    </xf>
    <xf numFmtId="43" fontId="72" fillId="10" borderId="42" xfId="1" applyFont="1" applyFill="1" applyBorder="1" applyAlignment="1">
      <alignment horizontal="right"/>
    </xf>
    <xf numFmtId="165" fontId="79" fillId="0" borderId="0" xfId="1" applyNumberFormat="1" applyFont="1" applyAlignment="1"/>
    <xf numFmtId="166" fontId="80" fillId="0" borderId="5" xfId="2" quotePrefix="1" applyNumberFormat="1" applyFont="1" applyBorder="1" applyAlignment="1">
      <alignment horizontal="right"/>
    </xf>
    <xf numFmtId="166" fontId="71" fillId="10" borderId="5" xfId="2" quotePrefix="1" applyNumberFormat="1" applyFont="1" applyFill="1" applyBorder="1" applyAlignment="1">
      <alignment horizontal="right"/>
    </xf>
    <xf numFmtId="0" fontId="71" fillId="0" borderId="0" xfId="0" applyFont="1" applyAlignment="1">
      <alignment horizontal="left"/>
    </xf>
    <xf numFmtId="10" fontId="71" fillId="0" borderId="0" xfId="2" applyNumberFormat="1" applyFont="1" applyAlignment="1">
      <alignment horizontal="right"/>
    </xf>
    <xf numFmtId="166" fontId="71" fillId="0" borderId="0" xfId="2" applyNumberFormat="1" applyFont="1" applyAlignment="1">
      <alignment horizontal="right"/>
    </xf>
    <xf numFmtId="164" fontId="71" fillId="0" borderId="0" xfId="1" applyNumberFormat="1" applyFont="1" applyAlignment="1">
      <alignment horizontal="left"/>
    </xf>
    <xf numFmtId="9" fontId="71" fillId="10" borderId="0" xfId="2" applyNumberFormat="1" applyFont="1" applyFill="1" applyAlignment="1">
      <alignment horizontal="right"/>
    </xf>
    <xf numFmtId="9" fontId="71" fillId="0" borderId="0" xfId="2" applyNumberFormat="1" applyFont="1" applyFill="1" applyAlignment="1">
      <alignment horizontal="right"/>
    </xf>
    <xf numFmtId="166" fontId="59" fillId="10" borderId="29" xfId="2" quotePrefix="1" applyNumberFormat="1" applyFont="1" applyFill="1" applyBorder="1" applyAlignment="1">
      <alignment horizontal="right"/>
    </xf>
    <xf numFmtId="166" fontId="59" fillId="9" borderId="30" xfId="2" applyNumberFormat="1" applyFont="1" applyFill="1" applyBorder="1" applyAlignment="1">
      <alignment horizontal="right"/>
    </xf>
    <xf numFmtId="165" fontId="81" fillId="0" borderId="0" xfId="2" applyNumberFormat="1" applyFont="1" applyAlignment="1">
      <alignment horizontal="right"/>
    </xf>
    <xf numFmtId="0" fontId="71" fillId="0" borderId="0" xfId="0" quotePrefix="1" applyFont="1"/>
    <xf numFmtId="166" fontId="81" fillId="0" borderId="0" xfId="2" applyNumberFormat="1" applyFont="1" applyFill="1" applyAlignment="1">
      <alignment horizontal="right"/>
    </xf>
    <xf numFmtId="9" fontId="81" fillId="0" borderId="0" xfId="2" applyFont="1" applyFill="1" applyAlignment="1">
      <alignment horizontal="right"/>
    </xf>
    <xf numFmtId="43" fontId="81" fillId="0" borderId="0" xfId="1" applyFont="1" applyFill="1" applyAlignment="1">
      <alignment horizontal="right"/>
    </xf>
    <xf numFmtId="9" fontId="71" fillId="0" borderId="0" xfId="2" applyFont="1" applyFill="1" applyAlignment="1">
      <alignment horizontal="right"/>
    </xf>
    <xf numFmtId="165" fontId="81" fillId="0" borderId="0" xfId="2" applyNumberFormat="1" applyFont="1" applyFill="1" applyAlignment="1">
      <alignment horizontal="right"/>
    </xf>
    <xf numFmtId="10" fontId="81" fillId="0" borderId="0" xfId="2" applyNumberFormat="1" applyFont="1" applyAlignment="1">
      <alignment horizontal="right"/>
    </xf>
    <xf numFmtId="9" fontId="81" fillId="0" borderId="0" xfId="2" applyFont="1" applyAlignment="1">
      <alignment horizontal="right"/>
    </xf>
    <xf numFmtId="43" fontId="81" fillId="0" borderId="0" xfId="2" applyNumberFormat="1" applyFont="1" applyAlignment="1">
      <alignment horizontal="right"/>
    </xf>
    <xf numFmtId="9" fontId="71" fillId="10" borderId="0" xfId="2" applyFont="1" applyFill="1" applyAlignment="1">
      <alignment horizontal="right"/>
    </xf>
    <xf numFmtId="9" fontId="72" fillId="0" borderId="2" xfId="2" quotePrefix="1" applyFont="1" applyBorder="1" applyAlignment="1">
      <alignment horizontal="right"/>
    </xf>
    <xf numFmtId="164" fontId="72" fillId="0" borderId="2" xfId="1" quotePrefix="1" applyNumberFormat="1" applyFont="1" applyBorder="1" applyAlignment="1">
      <alignment horizontal="right"/>
    </xf>
    <xf numFmtId="165" fontId="72" fillId="0" borderId="2" xfId="1" quotePrefix="1" applyNumberFormat="1" applyFont="1" applyBorder="1" applyAlignment="1">
      <alignment horizontal="right"/>
    </xf>
    <xf numFmtId="226" fontId="72" fillId="0" borderId="2" xfId="1" quotePrefix="1" applyNumberFormat="1" applyFont="1" applyBorder="1" applyAlignment="1">
      <alignment horizontal="right"/>
    </xf>
    <xf numFmtId="166" fontId="59" fillId="0" borderId="29" xfId="2" applyNumberFormat="1" applyFont="1" applyBorder="1" applyAlignment="1">
      <alignment horizontal="right"/>
    </xf>
    <xf numFmtId="43" fontId="79" fillId="0" borderId="0" xfId="1" applyFont="1" applyAlignment="1">
      <alignment horizontal="right"/>
    </xf>
    <xf numFmtId="165" fontId="79" fillId="0" borderId="0" xfId="1" applyNumberFormat="1" applyFont="1" applyFill="1" applyAlignment="1">
      <alignment horizontal="left"/>
    </xf>
    <xf numFmtId="14" fontId="0" fillId="0" borderId="0" xfId="0" applyNumberFormat="1"/>
    <xf numFmtId="4" fontId="0" fillId="0" borderId="0" xfId="0" applyNumberFormat="1"/>
    <xf numFmtId="226" fontId="72" fillId="0" borderId="2" xfId="1" quotePrefix="1" applyNumberFormat="1" applyFont="1" applyFill="1" applyBorder="1" applyAlignment="1">
      <alignment horizontal="right"/>
    </xf>
    <xf numFmtId="43" fontId="71" fillId="0" borderId="0" xfId="1" quotePrefix="1" applyFont="1" applyAlignment="1">
      <alignment horizontal="right"/>
    </xf>
    <xf numFmtId="164" fontId="71" fillId="0" borderId="0" xfId="1" quotePrefix="1" applyNumberFormat="1" applyFont="1" applyAlignment="1">
      <alignment horizontal="right"/>
    </xf>
    <xf numFmtId="165" fontId="71" fillId="0" borderId="0" xfId="0" applyNumberFormat="1" applyFont="1" applyAlignment="1">
      <alignment horizontal="right"/>
    </xf>
    <xf numFmtId="165" fontId="71" fillId="0" borderId="0" xfId="2" applyNumberFormat="1" applyFont="1" applyAlignment="1">
      <alignment horizontal="right"/>
    </xf>
    <xf numFmtId="9" fontId="60" fillId="14" borderId="0" xfId="2" applyNumberFormat="1" applyFont="1" applyFill="1" applyAlignment="1">
      <alignment horizontal="right"/>
    </xf>
    <xf numFmtId="166" fontId="60" fillId="14" borderId="0" xfId="2" applyNumberFormat="1" applyFont="1" applyFill="1" applyAlignment="1">
      <alignment horizontal="right"/>
    </xf>
    <xf numFmtId="9" fontId="60" fillId="14" borderId="0" xfId="2" applyFont="1" applyFill="1" applyAlignment="1">
      <alignment horizontal="right"/>
    </xf>
    <xf numFmtId="0" fontId="58" fillId="0" borderId="4" xfId="0" applyFont="1" applyBorder="1" applyAlignment="1">
      <alignment horizontal="center" wrapText="1"/>
    </xf>
    <xf numFmtId="0" fontId="57" fillId="2" borderId="1" xfId="0" applyFont="1" applyFill="1" applyBorder="1" applyAlignment="1">
      <alignment horizontal="left"/>
    </xf>
    <xf numFmtId="0" fontId="57" fillId="2" borderId="11" xfId="0" applyFont="1" applyFill="1" applyBorder="1" applyAlignment="1">
      <alignment horizontal="left"/>
    </xf>
    <xf numFmtId="0" fontId="58" fillId="2" borderId="3" xfId="0" applyFont="1" applyFill="1" applyBorder="1" applyAlignment="1">
      <alignment horizontal="left"/>
    </xf>
    <xf numFmtId="0" fontId="58" fillId="2" borderId="4" xfId="0" applyFont="1" applyFill="1" applyBorder="1" applyAlignment="1">
      <alignment horizontal="left"/>
    </xf>
    <xf numFmtId="0" fontId="59" fillId="0" borderId="3" xfId="0" applyFont="1" applyFill="1" applyBorder="1" applyAlignment="1">
      <alignment horizontal="left"/>
    </xf>
    <xf numFmtId="0" fontId="59" fillId="0" borderId="4" xfId="0" applyFont="1" applyFill="1" applyBorder="1" applyAlignment="1">
      <alignment horizontal="left"/>
    </xf>
    <xf numFmtId="0" fontId="60" fillId="0" borderId="3" xfId="0" applyFont="1" applyFill="1" applyBorder="1" applyAlignment="1">
      <alignment horizontal="left" indent="1"/>
    </xf>
    <xf numFmtId="0" fontId="60" fillId="0" borderId="4" xfId="0" applyFont="1" applyFill="1" applyBorder="1" applyAlignment="1">
      <alignment horizontal="left" indent="1"/>
    </xf>
    <xf numFmtId="0" fontId="59" fillId="0" borderId="3" xfId="0" applyFont="1" applyFill="1" applyBorder="1" applyAlignment="1">
      <alignment horizontal="left" indent="2"/>
    </xf>
    <xf numFmtId="0" fontId="59" fillId="0" borderId="4" xfId="0" applyFont="1" applyFill="1" applyBorder="1" applyAlignment="1">
      <alignment horizontal="left" indent="2"/>
    </xf>
    <xf numFmtId="0" fontId="59" fillId="0" borderId="3" xfId="0" applyFont="1" applyFill="1" applyBorder="1" applyAlignment="1">
      <alignment horizontal="left" indent="5"/>
    </xf>
    <xf numFmtId="0" fontId="59" fillId="0" borderId="4" xfId="0" applyFont="1" applyFill="1" applyBorder="1" applyAlignment="1">
      <alignment horizontal="left" indent="5"/>
    </xf>
    <xf numFmtId="0" fontId="59" fillId="0" borderId="27" xfId="0" applyFont="1" applyBorder="1" applyAlignment="1">
      <alignment horizontal="left" vertical="top" wrapText="1"/>
    </xf>
    <xf numFmtId="0" fontId="59" fillId="0" borderId="28" xfId="0" applyFont="1" applyBorder="1" applyAlignment="1">
      <alignment horizontal="left" vertical="top" wrapText="1"/>
    </xf>
    <xf numFmtId="0" fontId="59" fillId="9" borderId="1" xfId="0" applyFont="1" applyFill="1" applyBorder="1" applyAlignment="1">
      <alignment horizontal="left"/>
    </xf>
    <xf numFmtId="0" fontId="59" fillId="9" borderId="11" xfId="0" applyFont="1" applyFill="1" applyBorder="1" applyAlignment="1">
      <alignment horizontal="left"/>
    </xf>
    <xf numFmtId="0" fontId="59" fillId="10" borderId="3" xfId="0" applyFont="1" applyFill="1" applyBorder="1" applyAlignment="1">
      <alignment horizontal="left"/>
    </xf>
    <xf numFmtId="0" fontId="59" fillId="10" borderId="4" xfId="0" applyFont="1" applyFill="1" applyBorder="1" applyAlignment="1">
      <alignment horizontal="left"/>
    </xf>
    <xf numFmtId="0" fontId="59" fillId="13" borderId="6" xfId="0" applyFont="1" applyFill="1" applyBorder="1" applyAlignment="1">
      <alignment horizontal="left"/>
    </xf>
    <xf numFmtId="0" fontId="59" fillId="13" borderId="10" xfId="0" applyFont="1" applyFill="1" applyBorder="1" applyAlignment="1">
      <alignment horizontal="left"/>
    </xf>
    <xf numFmtId="0" fontId="60" fillId="0" borderId="3" xfId="0" applyFont="1" applyBorder="1" applyAlignment="1">
      <alignment horizontal="left" indent="1"/>
    </xf>
    <xf numFmtId="0" fontId="60" fillId="0" borderId="4" xfId="0" applyFont="1" applyBorder="1" applyAlignment="1">
      <alignment horizontal="left" indent="1"/>
    </xf>
    <xf numFmtId="0" fontId="57" fillId="2" borderId="3" xfId="0" applyFont="1" applyFill="1" applyBorder="1" applyAlignment="1">
      <alignment horizontal="left"/>
    </xf>
    <xf numFmtId="0" fontId="57" fillId="2" borderId="4" xfId="0" applyFont="1" applyFill="1" applyBorder="1" applyAlignment="1">
      <alignment horizontal="left"/>
    </xf>
    <xf numFmtId="0" fontId="62" fillId="0" borderId="3" xfId="0" applyFont="1" applyBorder="1" applyAlignment="1">
      <alignment horizontal="left"/>
    </xf>
    <xf numFmtId="0" fontId="62" fillId="0" borderId="4" xfId="0" applyFont="1" applyBorder="1" applyAlignment="1">
      <alignment horizontal="left"/>
    </xf>
    <xf numFmtId="0" fontId="60" fillId="0" borderId="3" xfId="0" applyFont="1" applyBorder="1" applyAlignment="1">
      <alignment horizontal="left" indent="3"/>
    </xf>
    <xf numFmtId="0" fontId="60" fillId="0" borderId="4" xfId="0" applyFont="1" applyBorder="1" applyAlignment="1">
      <alignment horizontal="left" indent="3"/>
    </xf>
    <xf numFmtId="0" fontId="59" fillId="0" borderId="3" xfId="0" applyFont="1" applyBorder="1" applyAlignment="1">
      <alignment horizontal="left" indent="4"/>
    </xf>
    <xf numFmtId="0" fontId="59" fillId="0" borderId="4" xfId="0" applyFont="1" applyBorder="1" applyAlignment="1">
      <alignment horizontal="left" indent="4"/>
    </xf>
    <xf numFmtId="0" fontId="59" fillId="0" borderId="3" xfId="0" applyFont="1" applyBorder="1" applyAlignment="1">
      <alignment horizontal="left"/>
    </xf>
    <xf numFmtId="0" fontId="59" fillId="0" borderId="4" xfId="0" applyFont="1" applyBorder="1" applyAlignment="1">
      <alignment horizontal="left"/>
    </xf>
    <xf numFmtId="0" fontId="62" fillId="0" borderId="25" xfId="0" applyFont="1" applyFill="1" applyBorder="1" applyAlignment="1">
      <alignment horizontal="left"/>
    </xf>
    <xf numFmtId="0" fontId="62" fillId="0" borderId="26" xfId="0" applyFont="1" applyFill="1" applyBorder="1" applyAlignment="1">
      <alignment horizontal="left"/>
    </xf>
    <xf numFmtId="0" fontId="60" fillId="0" borderId="12" xfId="0" applyFont="1" applyBorder="1" applyAlignment="1">
      <alignment horizontal="left" indent="2"/>
    </xf>
    <xf numFmtId="0" fontId="60" fillId="0" borderId="13" xfId="0" applyFont="1" applyBorder="1" applyAlignment="1">
      <alignment horizontal="left" indent="2"/>
    </xf>
    <xf numFmtId="0" fontId="60" fillId="0" borderId="12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0" fontId="62" fillId="0" borderId="25" xfId="0" applyFont="1" applyBorder="1" applyAlignment="1">
      <alignment horizontal="left"/>
    </xf>
    <xf numFmtId="0" fontId="62" fillId="0" borderId="26" xfId="0" applyFont="1" applyBorder="1" applyAlignment="1">
      <alignment horizontal="left"/>
    </xf>
    <xf numFmtId="0" fontId="59" fillId="0" borderId="3" xfId="0" applyFont="1" applyBorder="1" applyAlignment="1">
      <alignment horizontal="left" indent="1"/>
    </xf>
    <xf numFmtId="0" fontId="59" fillId="0" borderId="4" xfId="0" applyFont="1" applyBorder="1" applyAlignment="1">
      <alignment horizontal="left" indent="1"/>
    </xf>
    <xf numFmtId="0" fontId="0" fillId="0" borderId="25" xfId="0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60" fillId="0" borderId="3" xfId="0" applyFont="1" applyBorder="1" applyAlignment="1">
      <alignment horizontal="left" indent="2"/>
    </xf>
    <xf numFmtId="0" fontId="60" fillId="0" borderId="4" xfId="0" applyFont="1" applyBorder="1" applyAlignment="1">
      <alignment horizontal="left" indent="2"/>
    </xf>
    <xf numFmtId="0" fontId="59" fillId="0" borderId="3" xfId="3" applyFont="1" applyFill="1" applyBorder="1" applyAlignment="1">
      <alignment horizontal="left" vertical="top"/>
    </xf>
    <xf numFmtId="0" fontId="59" fillId="0" borderId="4" xfId="3" applyFont="1" applyFill="1" applyBorder="1" applyAlignment="1">
      <alignment horizontal="left" vertical="top"/>
    </xf>
    <xf numFmtId="0" fontId="60" fillId="0" borderId="6" xfId="0" applyFont="1" applyBorder="1" applyAlignment="1">
      <alignment horizontal="left" indent="2"/>
    </xf>
    <xf numFmtId="0" fontId="60" fillId="0" borderId="10" xfId="0" applyFont="1" applyBorder="1" applyAlignment="1">
      <alignment horizontal="left" indent="2"/>
    </xf>
    <xf numFmtId="0" fontId="59" fillId="11" borderId="3" xfId="0" applyFont="1" applyFill="1" applyBorder="1" applyAlignment="1">
      <alignment horizontal="left"/>
    </xf>
    <xf numFmtId="0" fontId="59" fillId="11" borderId="4" xfId="0" applyFont="1" applyFill="1" applyBorder="1" applyAlignment="1">
      <alignment horizontal="left"/>
    </xf>
    <xf numFmtId="0" fontId="60" fillId="11" borderId="3" xfId="0" applyFont="1" applyFill="1" applyBorder="1" applyAlignment="1">
      <alignment horizontal="left" indent="2"/>
    </xf>
    <xf numFmtId="0" fontId="60" fillId="11" borderId="4" xfId="0" applyFont="1" applyFill="1" applyBorder="1" applyAlignment="1">
      <alignment horizontal="left" indent="2"/>
    </xf>
    <xf numFmtId="0" fontId="62" fillId="11" borderId="25" xfId="0" applyFont="1" applyFill="1" applyBorder="1" applyAlignment="1">
      <alignment horizontal="left"/>
    </xf>
    <xf numFmtId="0" fontId="62" fillId="11" borderId="26" xfId="0" applyFont="1" applyFill="1" applyBorder="1" applyAlignment="1">
      <alignment horizontal="left"/>
    </xf>
    <xf numFmtId="0" fontId="60" fillId="11" borderId="3" xfId="0" applyFont="1" applyFill="1" applyBorder="1" applyAlignment="1">
      <alignment horizontal="left" indent="1"/>
    </xf>
    <xf numFmtId="0" fontId="60" fillId="11" borderId="4" xfId="0" applyFont="1" applyFill="1" applyBorder="1" applyAlignment="1">
      <alignment horizontal="left" indent="1"/>
    </xf>
    <xf numFmtId="0" fontId="57" fillId="2" borderId="2" xfId="0" applyFont="1" applyFill="1" applyBorder="1" applyAlignment="1">
      <alignment horizontal="left"/>
    </xf>
    <xf numFmtId="0" fontId="60" fillId="0" borderId="3" xfId="0" applyFont="1" applyBorder="1" applyAlignment="1">
      <alignment horizontal="left"/>
    </xf>
    <xf numFmtId="0" fontId="60" fillId="0" borderId="4" xfId="0" applyFont="1" applyBorder="1" applyAlignment="1">
      <alignment horizontal="left"/>
    </xf>
    <xf numFmtId="0" fontId="59" fillId="11" borderId="25" xfId="0" applyFont="1" applyFill="1" applyBorder="1" applyAlignment="1">
      <alignment horizontal="left"/>
    </xf>
    <xf numFmtId="0" fontId="59" fillId="11" borderId="26" xfId="0" applyFont="1" applyFill="1" applyBorder="1" applyAlignment="1">
      <alignment horizontal="left"/>
    </xf>
    <xf numFmtId="0" fontId="59" fillId="11" borderId="12" xfId="0" applyFont="1" applyFill="1" applyBorder="1" applyAlignment="1">
      <alignment horizontal="left"/>
    </xf>
    <xf numFmtId="0" fontId="59" fillId="11" borderId="13" xfId="0" applyFont="1" applyFill="1" applyBorder="1" applyAlignment="1">
      <alignment horizontal="left"/>
    </xf>
    <xf numFmtId="0" fontId="59" fillId="0" borderId="6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</cellXfs>
  <cellStyles count="336">
    <cellStyle name="_%(SignOnly)" xfId="6" xr:uid="{00000000-0005-0000-0000-000000000000}"/>
    <cellStyle name="_%(SignSpaceOnly)" xfId="7" xr:uid="{00000000-0005-0000-0000-000001000000}"/>
    <cellStyle name="_Comma" xfId="8" xr:uid="{00000000-0005-0000-0000-000002000000}"/>
    <cellStyle name="_Currency" xfId="9" xr:uid="{00000000-0005-0000-0000-000003000000}"/>
    <cellStyle name="_CurrencySpace" xfId="10" xr:uid="{00000000-0005-0000-0000-000004000000}"/>
    <cellStyle name="_Euro" xfId="11" xr:uid="{00000000-0005-0000-0000-000005000000}"/>
    <cellStyle name="_Heading" xfId="12" xr:uid="{00000000-0005-0000-0000-000006000000}"/>
    <cellStyle name="_Heading_prestemp" xfId="13" xr:uid="{00000000-0005-0000-0000-000007000000}"/>
    <cellStyle name="_Heading_prestemp_1st Qtr PL FY07" xfId="14" xr:uid="{00000000-0005-0000-0000-000008000000}"/>
    <cellStyle name="_Heading_prestemp_Financial Statements" xfId="15" xr:uid="{00000000-0005-0000-0000-000009000000}"/>
    <cellStyle name="_Heading_prestemp_Financial Statementsvs1" xfId="16" xr:uid="{00000000-0005-0000-0000-00000A000000}"/>
    <cellStyle name="_Highlight" xfId="17" xr:uid="{00000000-0005-0000-0000-00000B000000}"/>
    <cellStyle name="_Multiple" xfId="18" xr:uid="{00000000-0005-0000-0000-00000C000000}"/>
    <cellStyle name="_MultipleSpace" xfId="19" xr:uid="{00000000-0005-0000-0000-00000D000000}"/>
    <cellStyle name="_SubHeading" xfId="20" xr:uid="{00000000-0005-0000-0000-00000E000000}"/>
    <cellStyle name="_SubHeading_prestemp" xfId="21" xr:uid="{00000000-0005-0000-0000-00000F000000}"/>
    <cellStyle name="_SubHeading_prestemp_1st Qtr PL FY07" xfId="22" xr:uid="{00000000-0005-0000-0000-000010000000}"/>
    <cellStyle name="_SubHeading_prestemp_Financial Statements" xfId="23" xr:uid="{00000000-0005-0000-0000-000011000000}"/>
    <cellStyle name="_SubHeading_prestemp_Financial Statementsvs1" xfId="24" xr:uid="{00000000-0005-0000-0000-000012000000}"/>
    <cellStyle name="_Table" xfId="25" xr:uid="{00000000-0005-0000-0000-000013000000}"/>
    <cellStyle name="_TableHead" xfId="26" xr:uid="{00000000-0005-0000-0000-000014000000}"/>
    <cellStyle name="_TableRowHead" xfId="27" xr:uid="{00000000-0005-0000-0000-000015000000}"/>
    <cellStyle name="_TableSuperHead" xfId="28" xr:uid="{00000000-0005-0000-0000-000016000000}"/>
    <cellStyle name="=C:\WINNT\SYSTEM32\COMMAND.COM" xfId="29" xr:uid="{00000000-0005-0000-0000-000017000000}"/>
    <cellStyle name="=C:\WINNT\SYSTEM32\COMMAND.COM 2" xfId="30" xr:uid="{00000000-0005-0000-0000-000018000000}"/>
    <cellStyle name="6-0" xfId="31" xr:uid="{00000000-0005-0000-0000-000019000000}"/>
    <cellStyle name="Bold12" xfId="32" xr:uid="{00000000-0005-0000-0000-00001A000000}"/>
    <cellStyle name="BoldItal12" xfId="33" xr:uid="{00000000-0005-0000-0000-00001B000000}"/>
    <cellStyle name="Border" xfId="34" xr:uid="{00000000-0005-0000-0000-00001C000000}"/>
    <cellStyle name="Border 10" xfId="35" xr:uid="{00000000-0005-0000-0000-00001D000000}"/>
    <cellStyle name="Border 11" xfId="36" xr:uid="{00000000-0005-0000-0000-00001E000000}"/>
    <cellStyle name="Border 12" xfId="37" xr:uid="{00000000-0005-0000-0000-00001F000000}"/>
    <cellStyle name="Border 13" xfId="38" xr:uid="{00000000-0005-0000-0000-000020000000}"/>
    <cellStyle name="Border 14" xfId="39" xr:uid="{00000000-0005-0000-0000-000021000000}"/>
    <cellStyle name="Border 15" xfId="40" xr:uid="{00000000-0005-0000-0000-000022000000}"/>
    <cellStyle name="Border 16" xfId="41" xr:uid="{00000000-0005-0000-0000-000023000000}"/>
    <cellStyle name="Border 17" xfId="42" xr:uid="{00000000-0005-0000-0000-000024000000}"/>
    <cellStyle name="Border 18" xfId="43" xr:uid="{00000000-0005-0000-0000-000025000000}"/>
    <cellStyle name="Border 19" xfId="44" xr:uid="{00000000-0005-0000-0000-000026000000}"/>
    <cellStyle name="Border 2" xfId="45" xr:uid="{00000000-0005-0000-0000-000027000000}"/>
    <cellStyle name="Border 20" xfId="46" xr:uid="{00000000-0005-0000-0000-000028000000}"/>
    <cellStyle name="Border 21" xfId="47" xr:uid="{00000000-0005-0000-0000-000029000000}"/>
    <cellStyle name="Border 22" xfId="48" xr:uid="{00000000-0005-0000-0000-00002A000000}"/>
    <cellStyle name="Border 23" xfId="49" xr:uid="{00000000-0005-0000-0000-00002B000000}"/>
    <cellStyle name="Border 24" xfId="50" xr:uid="{00000000-0005-0000-0000-00002C000000}"/>
    <cellStyle name="Border 25" xfId="51" xr:uid="{00000000-0005-0000-0000-00002D000000}"/>
    <cellStyle name="Border 26" xfId="52" xr:uid="{00000000-0005-0000-0000-00002E000000}"/>
    <cellStyle name="Border 27" xfId="53" xr:uid="{00000000-0005-0000-0000-00002F000000}"/>
    <cellStyle name="Border 28" xfId="54" xr:uid="{00000000-0005-0000-0000-000030000000}"/>
    <cellStyle name="Border 29" xfId="55" xr:uid="{00000000-0005-0000-0000-000031000000}"/>
    <cellStyle name="Border 3" xfId="56" xr:uid="{00000000-0005-0000-0000-000032000000}"/>
    <cellStyle name="Border 30" xfId="57" xr:uid="{00000000-0005-0000-0000-000033000000}"/>
    <cellStyle name="Border 31" xfId="58" xr:uid="{00000000-0005-0000-0000-000034000000}"/>
    <cellStyle name="Border 32" xfId="59" xr:uid="{00000000-0005-0000-0000-000035000000}"/>
    <cellStyle name="Border 33" xfId="60" xr:uid="{00000000-0005-0000-0000-000036000000}"/>
    <cellStyle name="Border 34" xfId="61" xr:uid="{00000000-0005-0000-0000-000037000000}"/>
    <cellStyle name="Border 35" xfId="62" xr:uid="{00000000-0005-0000-0000-000038000000}"/>
    <cellStyle name="Border 36" xfId="63" xr:uid="{00000000-0005-0000-0000-000039000000}"/>
    <cellStyle name="Border 37" xfId="64" xr:uid="{00000000-0005-0000-0000-00003A000000}"/>
    <cellStyle name="Border 38" xfId="65" xr:uid="{00000000-0005-0000-0000-00003B000000}"/>
    <cellStyle name="Border 39" xfId="66" xr:uid="{00000000-0005-0000-0000-00003C000000}"/>
    <cellStyle name="Border 4" xfId="67" xr:uid="{00000000-0005-0000-0000-00003D000000}"/>
    <cellStyle name="Border 40" xfId="68" xr:uid="{00000000-0005-0000-0000-00003E000000}"/>
    <cellStyle name="Border 41" xfId="69" xr:uid="{00000000-0005-0000-0000-00003F000000}"/>
    <cellStyle name="Border 42" xfId="70" xr:uid="{00000000-0005-0000-0000-000040000000}"/>
    <cellStyle name="Border 5" xfId="71" xr:uid="{00000000-0005-0000-0000-000041000000}"/>
    <cellStyle name="Border 6" xfId="72" xr:uid="{00000000-0005-0000-0000-000042000000}"/>
    <cellStyle name="Border 7" xfId="73" xr:uid="{00000000-0005-0000-0000-000043000000}"/>
    <cellStyle name="Border 8" xfId="74" xr:uid="{00000000-0005-0000-0000-000044000000}"/>
    <cellStyle name="Border 9" xfId="75" xr:uid="{00000000-0005-0000-0000-000045000000}"/>
    <cellStyle name="Calc Currency (0)" xfId="76" xr:uid="{00000000-0005-0000-0000-000046000000}"/>
    <cellStyle name="Calc Currency (0) 2" xfId="77" xr:uid="{00000000-0005-0000-0000-000047000000}"/>
    <cellStyle name="Calc Currency (2)" xfId="78" xr:uid="{00000000-0005-0000-0000-000048000000}"/>
    <cellStyle name="Calc Currency (2) 2" xfId="79" xr:uid="{00000000-0005-0000-0000-000049000000}"/>
    <cellStyle name="Calc Percent (0)" xfId="80" xr:uid="{00000000-0005-0000-0000-00004A000000}"/>
    <cellStyle name="Calc Percent (0) 2" xfId="81" xr:uid="{00000000-0005-0000-0000-00004B000000}"/>
    <cellStyle name="Calc Percent (1)" xfId="82" xr:uid="{00000000-0005-0000-0000-00004C000000}"/>
    <cellStyle name="Calc Percent (1) 2" xfId="83" xr:uid="{00000000-0005-0000-0000-00004D000000}"/>
    <cellStyle name="Calc Percent (2)" xfId="84" xr:uid="{00000000-0005-0000-0000-00004E000000}"/>
    <cellStyle name="Calc Percent (2) 2" xfId="85" xr:uid="{00000000-0005-0000-0000-00004F000000}"/>
    <cellStyle name="Calc Units (0)" xfId="86" xr:uid="{00000000-0005-0000-0000-000050000000}"/>
    <cellStyle name="Calc Units (0) 2" xfId="87" xr:uid="{00000000-0005-0000-0000-000051000000}"/>
    <cellStyle name="Calc Units (1)" xfId="88" xr:uid="{00000000-0005-0000-0000-000052000000}"/>
    <cellStyle name="Calc Units (1) 2" xfId="89" xr:uid="{00000000-0005-0000-0000-000053000000}"/>
    <cellStyle name="Calc Units (2)" xfId="90" xr:uid="{00000000-0005-0000-0000-000054000000}"/>
    <cellStyle name="Calc Units (2) 2" xfId="91" xr:uid="{00000000-0005-0000-0000-000055000000}"/>
    <cellStyle name="Centered Heading" xfId="92" xr:uid="{00000000-0005-0000-0000-000056000000}"/>
    <cellStyle name="columns" xfId="93" xr:uid="{00000000-0005-0000-0000-000057000000}"/>
    <cellStyle name="Comma" xfId="1" builtinId="3"/>
    <cellStyle name="Comma  - Style1" xfId="94" xr:uid="{00000000-0005-0000-0000-000059000000}"/>
    <cellStyle name="Comma  - Style2" xfId="95" xr:uid="{00000000-0005-0000-0000-00005A000000}"/>
    <cellStyle name="Comma  - Style3" xfId="96" xr:uid="{00000000-0005-0000-0000-00005B000000}"/>
    <cellStyle name="Comma  - Style4" xfId="97" xr:uid="{00000000-0005-0000-0000-00005C000000}"/>
    <cellStyle name="Comma  - Style5" xfId="98" xr:uid="{00000000-0005-0000-0000-00005D000000}"/>
    <cellStyle name="Comma  - Style6" xfId="99" xr:uid="{00000000-0005-0000-0000-00005E000000}"/>
    <cellStyle name="Comma  - Style7" xfId="100" xr:uid="{00000000-0005-0000-0000-00005F000000}"/>
    <cellStyle name="Comma  - Style8" xfId="101" xr:uid="{00000000-0005-0000-0000-000060000000}"/>
    <cellStyle name="comma (0)" xfId="102" xr:uid="{00000000-0005-0000-0000-000061000000}"/>
    <cellStyle name="comma (0) 2" xfId="103" xr:uid="{00000000-0005-0000-0000-000062000000}"/>
    <cellStyle name="comma (0) 2 2" xfId="104" xr:uid="{00000000-0005-0000-0000-000063000000}"/>
    <cellStyle name="comma (0) 3" xfId="105" xr:uid="{00000000-0005-0000-0000-000064000000}"/>
    <cellStyle name="Comma [00]" xfId="106" xr:uid="{00000000-0005-0000-0000-000065000000}"/>
    <cellStyle name="Comma [00] 2" xfId="107" xr:uid="{00000000-0005-0000-0000-000066000000}"/>
    <cellStyle name="Comma 2" xfId="5" xr:uid="{00000000-0005-0000-0000-000067000000}"/>
    <cellStyle name="Comma 2 2" xfId="108" xr:uid="{00000000-0005-0000-0000-000068000000}"/>
    <cellStyle name="Comma 2 2 2" xfId="109" xr:uid="{00000000-0005-0000-0000-000069000000}"/>
    <cellStyle name="Comma 2 3" xfId="110" xr:uid="{00000000-0005-0000-0000-00006A000000}"/>
    <cellStyle name="Comma 2 4" xfId="111" xr:uid="{00000000-0005-0000-0000-00006B000000}"/>
    <cellStyle name="Comma 2 5" xfId="112" xr:uid="{00000000-0005-0000-0000-00006C000000}"/>
    <cellStyle name="Comma 2 6" xfId="113" xr:uid="{00000000-0005-0000-0000-00006D000000}"/>
    <cellStyle name="Comma 3" xfId="114" xr:uid="{00000000-0005-0000-0000-00006E000000}"/>
    <cellStyle name="Comma 3 2" xfId="115" xr:uid="{00000000-0005-0000-0000-00006F000000}"/>
    <cellStyle name="Comma 4" xfId="116" xr:uid="{00000000-0005-0000-0000-000070000000}"/>
    <cellStyle name="Comma 4 2" xfId="117" xr:uid="{00000000-0005-0000-0000-000071000000}"/>
    <cellStyle name="Comma 5" xfId="118" xr:uid="{00000000-0005-0000-0000-000072000000}"/>
    <cellStyle name="Comma 5 2" xfId="119" xr:uid="{00000000-0005-0000-0000-000073000000}"/>
    <cellStyle name="Comma Acctg" xfId="120" xr:uid="{00000000-0005-0000-0000-000074000000}"/>
    <cellStyle name="Comma Acctg 2" xfId="121" xr:uid="{00000000-0005-0000-0000-000075000000}"/>
    <cellStyle name="Comma0" xfId="122" xr:uid="{00000000-0005-0000-0000-000076000000}"/>
    <cellStyle name="Company Name" xfId="123" xr:uid="{00000000-0005-0000-0000-000077000000}"/>
    <cellStyle name="Contracts" xfId="124" xr:uid="{00000000-0005-0000-0000-000078000000}"/>
    <cellStyle name="CR Comma" xfId="125" xr:uid="{00000000-0005-0000-0000-000079000000}"/>
    <cellStyle name="CR Currency" xfId="126" xr:uid="{00000000-0005-0000-0000-00007A000000}"/>
    <cellStyle name="curr" xfId="127" xr:uid="{00000000-0005-0000-0000-00007B000000}"/>
    <cellStyle name="curr 2" xfId="333" xr:uid="{E830FEE5-BF3D-4B9F-89C3-BE51D3EB55EA}"/>
    <cellStyle name="Currency [00]" xfId="128" xr:uid="{00000000-0005-0000-0000-00007C000000}"/>
    <cellStyle name="Currency [00] 2" xfId="129" xr:uid="{00000000-0005-0000-0000-00007D000000}"/>
    <cellStyle name="Currency 2" xfId="130" xr:uid="{00000000-0005-0000-0000-00007E000000}"/>
    <cellStyle name="Currency Acctg" xfId="131" xr:uid="{00000000-0005-0000-0000-00007F000000}"/>
    <cellStyle name="Currency0" xfId="132" xr:uid="{00000000-0005-0000-0000-000080000000}"/>
    <cellStyle name="Data" xfId="133" xr:uid="{00000000-0005-0000-0000-000081000000}"/>
    <cellStyle name="Date" xfId="134" xr:uid="{00000000-0005-0000-0000-000082000000}"/>
    <cellStyle name="Date Short" xfId="135" xr:uid="{00000000-0005-0000-0000-000083000000}"/>
    <cellStyle name="DateJoel" xfId="136" xr:uid="{00000000-0005-0000-0000-000084000000}"/>
    <cellStyle name="debbie" xfId="137" xr:uid="{00000000-0005-0000-0000-000085000000}"/>
    <cellStyle name="Dezimal [0]_laroux" xfId="138" xr:uid="{00000000-0005-0000-0000-000086000000}"/>
    <cellStyle name="Dezimal_laroux" xfId="139" xr:uid="{00000000-0005-0000-0000-000087000000}"/>
    <cellStyle name="Enter Currency (0)" xfId="140" xr:uid="{00000000-0005-0000-0000-000088000000}"/>
    <cellStyle name="Enter Currency (0) 2" xfId="141" xr:uid="{00000000-0005-0000-0000-000089000000}"/>
    <cellStyle name="Enter Currency (2)" xfId="142" xr:uid="{00000000-0005-0000-0000-00008A000000}"/>
    <cellStyle name="Enter Currency (2) 2" xfId="143" xr:uid="{00000000-0005-0000-0000-00008B000000}"/>
    <cellStyle name="Enter Units (0)" xfId="144" xr:uid="{00000000-0005-0000-0000-00008C000000}"/>
    <cellStyle name="Enter Units (0) 2" xfId="145" xr:uid="{00000000-0005-0000-0000-00008D000000}"/>
    <cellStyle name="Enter Units (1)" xfId="146" xr:uid="{00000000-0005-0000-0000-00008E000000}"/>
    <cellStyle name="Enter Units (1) 2" xfId="147" xr:uid="{00000000-0005-0000-0000-00008F000000}"/>
    <cellStyle name="Enter Units (2)" xfId="148" xr:uid="{00000000-0005-0000-0000-000090000000}"/>
    <cellStyle name="Enter Units (2) 2" xfId="149" xr:uid="{00000000-0005-0000-0000-000091000000}"/>
    <cellStyle name="eps" xfId="150" xr:uid="{00000000-0005-0000-0000-000092000000}"/>
    <cellStyle name="eps 2" xfId="332" xr:uid="{E6BF08FD-99B4-4E49-8935-B8E309BE0144}"/>
    <cellStyle name="Euro" xfId="151" xr:uid="{00000000-0005-0000-0000-000093000000}"/>
    <cellStyle name="Grey" xfId="152" xr:uid="{00000000-0005-0000-0000-000094000000}"/>
    <cellStyle name="Header1" xfId="153" xr:uid="{00000000-0005-0000-0000-000095000000}"/>
    <cellStyle name="Header2" xfId="154" xr:uid="{00000000-0005-0000-0000-000096000000}"/>
    <cellStyle name="Header2 10" xfId="155" xr:uid="{00000000-0005-0000-0000-000097000000}"/>
    <cellStyle name="Header2 11" xfId="156" xr:uid="{00000000-0005-0000-0000-000098000000}"/>
    <cellStyle name="Header2 12" xfId="157" xr:uid="{00000000-0005-0000-0000-000099000000}"/>
    <cellStyle name="Header2 13" xfId="158" xr:uid="{00000000-0005-0000-0000-00009A000000}"/>
    <cellStyle name="Header2 14" xfId="159" xr:uid="{00000000-0005-0000-0000-00009B000000}"/>
    <cellStyle name="Header2 15" xfId="160" xr:uid="{00000000-0005-0000-0000-00009C000000}"/>
    <cellStyle name="Header2 16" xfId="161" xr:uid="{00000000-0005-0000-0000-00009D000000}"/>
    <cellStyle name="Header2 17" xfId="162" xr:uid="{00000000-0005-0000-0000-00009E000000}"/>
    <cellStyle name="Header2 18" xfId="163" xr:uid="{00000000-0005-0000-0000-00009F000000}"/>
    <cellStyle name="Header2 19" xfId="164" xr:uid="{00000000-0005-0000-0000-0000A0000000}"/>
    <cellStyle name="Header2 2" xfId="165" xr:uid="{00000000-0005-0000-0000-0000A1000000}"/>
    <cellStyle name="Header2 20" xfId="166" xr:uid="{00000000-0005-0000-0000-0000A2000000}"/>
    <cellStyle name="Header2 21" xfId="167" xr:uid="{00000000-0005-0000-0000-0000A3000000}"/>
    <cellStyle name="Header2 22" xfId="168" xr:uid="{00000000-0005-0000-0000-0000A4000000}"/>
    <cellStyle name="Header2 23" xfId="169" xr:uid="{00000000-0005-0000-0000-0000A5000000}"/>
    <cellStyle name="Header2 24" xfId="170" xr:uid="{00000000-0005-0000-0000-0000A6000000}"/>
    <cellStyle name="Header2 25" xfId="171" xr:uid="{00000000-0005-0000-0000-0000A7000000}"/>
    <cellStyle name="Header2 26" xfId="172" xr:uid="{00000000-0005-0000-0000-0000A8000000}"/>
    <cellStyle name="Header2 27" xfId="173" xr:uid="{00000000-0005-0000-0000-0000A9000000}"/>
    <cellStyle name="Header2 28" xfId="174" xr:uid="{00000000-0005-0000-0000-0000AA000000}"/>
    <cellStyle name="Header2 29" xfId="175" xr:uid="{00000000-0005-0000-0000-0000AB000000}"/>
    <cellStyle name="Header2 3" xfId="176" xr:uid="{00000000-0005-0000-0000-0000AC000000}"/>
    <cellStyle name="Header2 30" xfId="177" xr:uid="{00000000-0005-0000-0000-0000AD000000}"/>
    <cellStyle name="Header2 31" xfId="178" xr:uid="{00000000-0005-0000-0000-0000AE000000}"/>
    <cellStyle name="Header2 32" xfId="179" xr:uid="{00000000-0005-0000-0000-0000AF000000}"/>
    <cellStyle name="Header2 33" xfId="180" xr:uid="{00000000-0005-0000-0000-0000B0000000}"/>
    <cellStyle name="Header2 34" xfId="181" xr:uid="{00000000-0005-0000-0000-0000B1000000}"/>
    <cellStyle name="Header2 35" xfId="182" xr:uid="{00000000-0005-0000-0000-0000B2000000}"/>
    <cellStyle name="Header2 36" xfId="183" xr:uid="{00000000-0005-0000-0000-0000B3000000}"/>
    <cellStyle name="Header2 37" xfId="184" xr:uid="{00000000-0005-0000-0000-0000B4000000}"/>
    <cellStyle name="Header2 38" xfId="185" xr:uid="{00000000-0005-0000-0000-0000B5000000}"/>
    <cellStyle name="Header2 39" xfId="186" xr:uid="{00000000-0005-0000-0000-0000B6000000}"/>
    <cellStyle name="Header2 4" xfId="187" xr:uid="{00000000-0005-0000-0000-0000B7000000}"/>
    <cellStyle name="Header2 40" xfId="188" xr:uid="{00000000-0005-0000-0000-0000B8000000}"/>
    <cellStyle name="Header2 41" xfId="189" xr:uid="{00000000-0005-0000-0000-0000B9000000}"/>
    <cellStyle name="Header2 42" xfId="190" xr:uid="{00000000-0005-0000-0000-0000BA000000}"/>
    <cellStyle name="Header2 5" xfId="191" xr:uid="{00000000-0005-0000-0000-0000BB000000}"/>
    <cellStyle name="Header2 6" xfId="192" xr:uid="{00000000-0005-0000-0000-0000BC000000}"/>
    <cellStyle name="Header2 7" xfId="193" xr:uid="{00000000-0005-0000-0000-0000BD000000}"/>
    <cellStyle name="Header2 8" xfId="194" xr:uid="{00000000-0005-0000-0000-0000BE000000}"/>
    <cellStyle name="Header2 9" xfId="195" xr:uid="{00000000-0005-0000-0000-0000BF000000}"/>
    <cellStyle name="Heading" xfId="196" xr:uid="{00000000-0005-0000-0000-0000C0000000}"/>
    <cellStyle name="Heading 1 2" xfId="197" xr:uid="{00000000-0005-0000-0000-0000C1000000}"/>
    <cellStyle name="Heading 1 3" xfId="198" xr:uid="{00000000-0005-0000-0000-0000C2000000}"/>
    <cellStyle name="Heading 1 4" xfId="199" xr:uid="{00000000-0005-0000-0000-0000C3000000}"/>
    <cellStyle name="Heading 2 2" xfId="200" xr:uid="{00000000-0005-0000-0000-0000C4000000}"/>
    <cellStyle name="Heading 2 3" xfId="201" xr:uid="{00000000-0005-0000-0000-0000C5000000}"/>
    <cellStyle name="Heading 2 4" xfId="202" xr:uid="{00000000-0005-0000-0000-0000C6000000}"/>
    <cellStyle name="Heading 5" xfId="331" xr:uid="{C5860A2B-F2DD-4D6C-8B91-584D6ED375E4}"/>
    <cellStyle name="Heading No Underline" xfId="203" xr:uid="{00000000-0005-0000-0000-0000C7000000}"/>
    <cellStyle name="Heading With Underline" xfId="204" xr:uid="{00000000-0005-0000-0000-0000C8000000}"/>
    <cellStyle name="Hyperlink 2" xfId="205" xr:uid="{00000000-0005-0000-0000-0000CA000000}"/>
    <cellStyle name="Hyperlink 2 2" xfId="206" xr:uid="{00000000-0005-0000-0000-0000CB000000}"/>
    <cellStyle name="Hyperlink 2 2 2" xfId="207" xr:uid="{00000000-0005-0000-0000-0000CC000000}"/>
    <cellStyle name="Hyperlink 3" xfId="208" xr:uid="{00000000-0005-0000-0000-0000CD000000}"/>
    <cellStyle name="Hyperlink 4" xfId="209" xr:uid="{00000000-0005-0000-0000-0000CE000000}"/>
    <cellStyle name="Input [yellow]" xfId="210" xr:uid="{00000000-0005-0000-0000-0000CF000000}"/>
    <cellStyle name="Link Currency (0)" xfId="211" xr:uid="{00000000-0005-0000-0000-0000D0000000}"/>
    <cellStyle name="Link Currency (0) 2" xfId="212" xr:uid="{00000000-0005-0000-0000-0000D1000000}"/>
    <cellStyle name="Link Currency (2)" xfId="213" xr:uid="{00000000-0005-0000-0000-0000D2000000}"/>
    <cellStyle name="Link Currency (2) 2" xfId="214" xr:uid="{00000000-0005-0000-0000-0000D3000000}"/>
    <cellStyle name="Link Units (0)" xfId="215" xr:uid="{00000000-0005-0000-0000-0000D4000000}"/>
    <cellStyle name="Link Units (0) 2" xfId="216" xr:uid="{00000000-0005-0000-0000-0000D5000000}"/>
    <cellStyle name="Link Units (1)" xfId="217" xr:uid="{00000000-0005-0000-0000-0000D6000000}"/>
    <cellStyle name="Link Units (1) 2" xfId="218" xr:uid="{00000000-0005-0000-0000-0000D7000000}"/>
    <cellStyle name="Link Units (2)" xfId="219" xr:uid="{00000000-0005-0000-0000-0000D8000000}"/>
    <cellStyle name="Link Units (2) 2" xfId="220" xr:uid="{00000000-0005-0000-0000-0000D9000000}"/>
    <cellStyle name="Millares [0]_pldt" xfId="221" xr:uid="{00000000-0005-0000-0000-0000DA000000}"/>
    <cellStyle name="Millares_pldt" xfId="222" xr:uid="{00000000-0005-0000-0000-0000DB000000}"/>
    <cellStyle name="Milliers [0]_AR1194" xfId="223" xr:uid="{00000000-0005-0000-0000-0000DC000000}"/>
    <cellStyle name="Milliers_AR1194" xfId="224" xr:uid="{00000000-0005-0000-0000-0000DD000000}"/>
    <cellStyle name="Moneda [0]_pldt" xfId="225" xr:uid="{00000000-0005-0000-0000-0000DE000000}"/>
    <cellStyle name="Moneda_pldt" xfId="226" xr:uid="{00000000-0005-0000-0000-0000DF000000}"/>
    <cellStyle name="Monétaire [0]_AR1194" xfId="227" xr:uid="{00000000-0005-0000-0000-0000E0000000}"/>
    <cellStyle name="Monétaire_AR1194" xfId="228" xr:uid="{00000000-0005-0000-0000-0000E1000000}"/>
    <cellStyle name="negativ" xfId="229" xr:uid="{00000000-0005-0000-0000-0000E2000000}"/>
    <cellStyle name="no dec" xfId="230" xr:uid="{00000000-0005-0000-0000-0000E3000000}"/>
    <cellStyle name="nodollars" xfId="231" xr:uid="{00000000-0005-0000-0000-0000E4000000}"/>
    <cellStyle name="nodollars 2" xfId="232" xr:uid="{00000000-0005-0000-0000-0000E5000000}"/>
    <cellStyle name="Normal" xfId="0" builtinId="0"/>
    <cellStyle name="Normal - Style1" xfId="233" xr:uid="{00000000-0005-0000-0000-0000E7000000}"/>
    <cellStyle name="Normal - Style1 2" xfId="234" xr:uid="{00000000-0005-0000-0000-0000E8000000}"/>
    <cellStyle name="Normal - Style2" xfId="235" xr:uid="{00000000-0005-0000-0000-0000E9000000}"/>
    <cellStyle name="Normal - Style3" xfId="236" xr:uid="{00000000-0005-0000-0000-0000EA000000}"/>
    <cellStyle name="Normal - Style4" xfId="237" xr:uid="{00000000-0005-0000-0000-0000EB000000}"/>
    <cellStyle name="Normal - Style5" xfId="238" xr:uid="{00000000-0005-0000-0000-0000EC000000}"/>
    <cellStyle name="Normal 10" xfId="239" xr:uid="{00000000-0005-0000-0000-0000ED000000}"/>
    <cellStyle name="Normal 11" xfId="330" xr:uid="{401671C4-C6A2-4732-BC1D-7DED4CDB8213}"/>
    <cellStyle name="Normal 141" xfId="329" xr:uid="{4CEE5AEF-DC02-4BEC-A9D6-79FD34328DBC}"/>
    <cellStyle name="Normal 2" xfId="3" xr:uid="{00000000-0005-0000-0000-0000EE000000}"/>
    <cellStyle name="Normal 2 2" xfId="240" xr:uid="{00000000-0005-0000-0000-0000EF000000}"/>
    <cellStyle name="Normal 2 2 2" xfId="241" xr:uid="{00000000-0005-0000-0000-0000F0000000}"/>
    <cellStyle name="Normal 2 3" xfId="242" xr:uid="{00000000-0005-0000-0000-0000F1000000}"/>
    <cellStyle name="Normal 2 3 2" xfId="243" xr:uid="{00000000-0005-0000-0000-0000F2000000}"/>
    <cellStyle name="Normal 2 4" xfId="244" xr:uid="{00000000-0005-0000-0000-0000F3000000}"/>
    <cellStyle name="Normal 2 5" xfId="245" xr:uid="{00000000-0005-0000-0000-0000F4000000}"/>
    <cellStyle name="Normal 2 6" xfId="246" xr:uid="{00000000-0005-0000-0000-0000F5000000}"/>
    <cellStyle name="Normal 2 7" xfId="247" xr:uid="{00000000-0005-0000-0000-0000F6000000}"/>
    <cellStyle name="Normal 2 8" xfId="248" xr:uid="{00000000-0005-0000-0000-0000F7000000}"/>
    <cellStyle name="Normal 3" xfId="4" xr:uid="{00000000-0005-0000-0000-0000F8000000}"/>
    <cellStyle name="Normal 3 2" xfId="249" xr:uid="{00000000-0005-0000-0000-0000F9000000}"/>
    <cellStyle name="Normal 3 3" xfId="250" xr:uid="{00000000-0005-0000-0000-0000FA000000}"/>
    <cellStyle name="Normal 3 4" xfId="251" xr:uid="{00000000-0005-0000-0000-0000FB000000}"/>
    <cellStyle name="Normal 4" xfId="252" xr:uid="{00000000-0005-0000-0000-0000FC000000}"/>
    <cellStyle name="Normal 5" xfId="253" xr:uid="{00000000-0005-0000-0000-0000FD000000}"/>
    <cellStyle name="Normal 5 2" xfId="254" xr:uid="{00000000-0005-0000-0000-0000FE000000}"/>
    <cellStyle name="Normal 6" xfId="255" xr:uid="{00000000-0005-0000-0000-0000FF000000}"/>
    <cellStyle name="Normal 6 2" xfId="256" xr:uid="{00000000-0005-0000-0000-000000010000}"/>
    <cellStyle name="Normal 6 3" xfId="257" xr:uid="{00000000-0005-0000-0000-000001010000}"/>
    <cellStyle name="Normal 7" xfId="258" xr:uid="{00000000-0005-0000-0000-000002010000}"/>
    <cellStyle name="Normal 7 2" xfId="259" xr:uid="{00000000-0005-0000-0000-000003010000}"/>
    <cellStyle name="Normal 8" xfId="260" xr:uid="{00000000-0005-0000-0000-000004010000}"/>
    <cellStyle name="Normal 8 2" xfId="261" xr:uid="{00000000-0005-0000-0000-000005010000}"/>
    <cellStyle name="Normal 8 3" xfId="262" xr:uid="{00000000-0005-0000-0000-000006010000}"/>
    <cellStyle name="Normal 9" xfId="263" xr:uid="{00000000-0005-0000-0000-000007010000}"/>
    <cellStyle name="Number0DecimalStyle" xfId="264" xr:uid="{00000000-0005-0000-0000-000008010000}"/>
    <cellStyle name="Number0DecimalStyle 2" xfId="265" xr:uid="{00000000-0005-0000-0000-000009010000}"/>
    <cellStyle name="Number10DecimalStyle" xfId="266" xr:uid="{00000000-0005-0000-0000-00000A010000}"/>
    <cellStyle name="Number1DecimalStyle" xfId="267" xr:uid="{00000000-0005-0000-0000-00000B010000}"/>
    <cellStyle name="Number2DecimalStyle" xfId="268" xr:uid="{00000000-0005-0000-0000-00000C010000}"/>
    <cellStyle name="Number2DecimalStyle 2" xfId="269" xr:uid="{00000000-0005-0000-0000-00000D010000}"/>
    <cellStyle name="Number3DecimalStyle" xfId="270" xr:uid="{00000000-0005-0000-0000-00000E010000}"/>
    <cellStyle name="Number4DecimalStyle" xfId="271" xr:uid="{00000000-0005-0000-0000-00000F010000}"/>
    <cellStyle name="Number5DecimalStyle" xfId="272" xr:uid="{00000000-0005-0000-0000-000010010000}"/>
    <cellStyle name="Number6DecimalStyle" xfId="273" xr:uid="{00000000-0005-0000-0000-000011010000}"/>
    <cellStyle name="Number7DecimalStyle" xfId="274" xr:uid="{00000000-0005-0000-0000-000012010000}"/>
    <cellStyle name="Number8DecimalStyle" xfId="275" xr:uid="{00000000-0005-0000-0000-000013010000}"/>
    <cellStyle name="Number9DecimalStyle" xfId="276" xr:uid="{00000000-0005-0000-0000-000014010000}"/>
    <cellStyle name="over" xfId="277" xr:uid="{00000000-0005-0000-0000-000015010000}"/>
    <cellStyle name="Percent" xfId="2" builtinId="5"/>
    <cellStyle name="percent (0)" xfId="278" xr:uid="{00000000-0005-0000-0000-000017010000}"/>
    <cellStyle name="Percent [0]" xfId="279" xr:uid="{00000000-0005-0000-0000-000018010000}"/>
    <cellStyle name="Percent [0] 2" xfId="280" xr:uid="{00000000-0005-0000-0000-000019010000}"/>
    <cellStyle name="Percent [00]" xfId="281" xr:uid="{00000000-0005-0000-0000-00001A010000}"/>
    <cellStyle name="Percent [00] 2" xfId="282" xr:uid="{00000000-0005-0000-0000-00001B010000}"/>
    <cellStyle name="Percent [2]" xfId="283" xr:uid="{00000000-0005-0000-0000-00001C010000}"/>
    <cellStyle name="Percent 10" xfId="284" xr:uid="{00000000-0005-0000-0000-00001D010000}"/>
    <cellStyle name="Percent 2" xfId="285" xr:uid="{00000000-0005-0000-0000-00001E010000}"/>
    <cellStyle name="Percent 2 2" xfId="286" xr:uid="{00000000-0005-0000-0000-00001F010000}"/>
    <cellStyle name="Percent 2 3" xfId="287" xr:uid="{00000000-0005-0000-0000-000020010000}"/>
    <cellStyle name="Percent 2 4" xfId="288" xr:uid="{00000000-0005-0000-0000-000021010000}"/>
    <cellStyle name="Percent 3" xfId="289" xr:uid="{00000000-0005-0000-0000-000022010000}"/>
    <cellStyle name="Percent 3 2" xfId="290" xr:uid="{00000000-0005-0000-0000-000023010000}"/>
    <cellStyle name="Percent 4" xfId="291" xr:uid="{00000000-0005-0000-0000-000024010000}"/>
    <cellStyle name="Percent 6" xfId="292" xr:uid="{00000000-0005-0000-0000-000025010000}"/>
    <cellStyle name="PERCENTAGE" xfId="293" xr:uid="{00000000-0005-0000-0000-000026010000}"/>
    <cellStyle name="posit" xfId="294" xr:uid="{00000000-0005-0000-0000-000027010000}"/>
    <cellStyle name="Powerpoint Style" xfId="295" xr:uid="{00000000-0005-0000-0000-000028010000}"/>
    <cellStyle name="PrePop Currency (0)" xfId="296" xr:uid="{00000000-0005-0000-0000-000029010000}"/>
    <cellStyle name="PrePop Currency (0) 2" xfId="297" xr:uid="{00000000-0005-0000-0000-00002A010000}"/>
    <cellStyle name="PrePop Currency (2)" xfId="298" xr:uid="{00000000-0005-0000-0000-00002B010000}"/>
    <cellStyle name="PrePop Currency (2) 2" xfId="299" xr:uid="{00000000-0005-0000-0000-00002C010000}"/>
    <cellStyle name="PrePop Units (0)" xfId="300" xr:uid="{00000000-0005-0000-0000-00002D010000}"/>
    <cellStyle name="PrePop Units (0) 2" xfId="301" xr:uid="{00000000-0005-0000-0000-00002E010000}"/>
    <cellStyle name="PrePop Units (1)" xfId="302" xr:uid="{00000000-0005-0000-0000-00002F010000}"/>
    <cellStyle name="PrePop Units (1) 2" xfId="303" xr:uid="{00000000-0005-0000-0000-000030010000}"/>
    <cellStyle name="PrePop Units (2)" xfId="304" xr:uid="{00000000-0005-0000-0000-000031010000}"/>
    <cellStyle name="PrePop Units (2) 2" xfId="305" xr:uid="{00000000-0005-0000-0000-000032010000}"/>
    <cellStyle name="SingleTopDoubleBott" xfId="306" xr:uid="{00000000-0005-0000-0000-000033010000}"/>
    <cellStyle name="Standard_A" xfId="307" xr:uid="{00000000-0005-0000-0000-000034010000}"/>
    <cellStyle name="Style 1" xfId="308" xr:uid="{00000000-0005-0000-0000-000035010000}"/>
    <cellStyle name="Style 2" xfId="309" xr:uid="{00000000-0005-0000-0000-000036010000}"/>
    <cellStyle name="Style 3" xfId="310" xr:uid="{00000000-0005-0000-0000-000037010000}"/>
    <cellStyle name="Style 3 2" xfId="334" xr:uid="{F1440C57-A6D8-4BD0-B522-EFC58E8B070F}"/>
    <cellStyle name="Style 4" xfId="311" xr:uid="{00000000-0005-0000-0000-000038010000}"/>
    <cellStyle name="Style 4 2" xfId="335" xr:uid="{F8DD9E7D-3CD1-4B00-B4A6-2016D636B95A}"/>
    <cellStyle name="Text Indent A" xfId="312" xr:uid="{00000000-0005-0000-0000-000039010000}"/>
    <cellStyle name="Text Indent B" xfId="313" xr:uid="{00000000-0005-0000-0000-00003A010000}"/>
    <cellStyle name="Text Indent B 2" xfId="314" xr:uid="{00000000-0005-0000-0000-00003B010000}"/>
    <cellStyle name="Text Indent C" xfId="315" xr:uid="{00000000-0005-0000-0000-00003C010000}"/>
    <cellStyle name="Text Indent C 2" xfId="316" xr:uid="{00000000-0005-0000-0000-00003D010000}"/>
    <cellStyle name="TextStyle" xfId="317" xr:uid="{00000000-0005-0000-0000-00003E010000}"/>
    <cellStyle name="Tickmark" xfId="318" xr:uid="{00000000-0005-0000-0000-00003F010000}"/>
    <cellStyle name="TimStyle" xfId="319" xr:uid="{00000000-0005-0000-0000-000040010000}"/>
    <cellStyle name="Total 2" xfId="320" xr:uid="{00000000-0005-0000-0000-000041010000}"/>
    <cellStyle name="Total 3" xfId="321" xr:uid="{00000000-0005-0000-0000-000042010000}"/>
    <cellStyle name="Total 4" xfId="322" xr:uid="{00000000-0005-0000-0000-000043010000}"/>
    <cellStyle name="Underline" xfId="323" xr:uid="{00000000-0005-0000-0000-000044010000}"/>
    <cellStyle name="UnderlineDouble" xfId="324" xr:uid="{00000000-0005-0000-0000-000045010000}"/>
    <cellStyle name="Währung [0]_RESULTS" xfId="325" xr:uid="{00000000-0005-0000-0000-000046010000}"/>
    <cellStyle name="Währung_RESULTS" xfId="326" xr:uid="{00000000-0005-0000-0000-000047010000}"/>
    <cellStyle name="표준_BINV" xfId="327" xr:uid="{00000000-0005-0000-0000-000048010000}"/>
    <cellStyle name="標準_99B-05PE_IC2" xfId="328" xr:uid="{00000000-0005-0000-0000-000049010000}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6-month Price Earnings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MU!#REF!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7DA-4D9D-82BA-733804F33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449728"/>
        <c:axId val="132637440"/>
      </c:lineChart>
      <c:catAx>
        <c:axId val="83449728"/>
        <c:scaling>
          <c:orientation val="minMax"/>
          <c:min val="41746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32637440"/>
        <c:crosses val="autoZero"/>
        <c:auto val="1"/>
        <c:lblAlgn val="ctr"/>
        <c:lblOffset val="100"/>
        <c:tickLblSkip val="7"/>
        <c:noMultiLvlLbl val="1"/>
      </c:catAx>
      <c:valAx>
        <c:axId val="132637440"/>
        <c:scaling>
          <c:orientation val="minMax"/>
        </c:scaling>
        <c:delete val="0"/>
        <c:axPos val="l"/>
        <c:majorGridlines/>
        <c:numFmt formatCode="0.0\x" sourceLinked="0"/>
        <c:majorTickMark val="out"/>
        <c:minorTickMark val="none"/>
        <c:tickLblPos val="nextTo"/>
        <c:crossAx val="83449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6-month Price Earnings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MU!#REF!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E40-4747-9407-4E0801521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949760"/>
        <c:axId val="142967936"/>
      </c:lineChart>
      <c:catAx>
        <c:axId val="142949760"/>
        <c:scaling>
          <c:orientation val="minMax"/>
          <c:min val="41746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42967936"/>
        <c:crosses val="autoZero"/>
        <c:auto val="1"/>
        <c:lblAlgn val="ctr"/>
        <c:lblOffset val="100"/>
        <c:tickLblSkip val="7"/>
        <c:noMultiLvlLbl val="1"/>
      </c:catAx>
      <c:valAx>
        <c:axId val="142967936"/>
        <c:scaling>
          <c:orientation val="minMax"/>
        </c:scaling>
        <c:delete val="0"/>
        <c:axPos val="l"/>
        <c:majorGridlines/>
        <c:numFmt formatCode="0.0\x" sourceLinked="0"/>
        <c:majorTickMark val="out"/>
        <c:minorTickMark val="none"/>
        <c:tickLblPos val="nextTo"/>
        <c:crossAx val="1429497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6-month Price Earnings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MU!#REF!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968-4123-877E-2C721EF4C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977664"/>
        <c:axId val="142983552"/>
      </c:lineChart>
      <c:catAx>
        <c:axId val="142977664"/>
        <c:scaling>
          <c:orientation val="minMax"/>
          <c:min val="41746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42983552"/>
        <c:crosses val="autoZero"/>
        <c:auto val="1"/>
        <c:lblAlgn val="ctr"/>
        <c:lblOffset val="100"/>
        <c:tickLblSkip val="7"/>
        <c:noMultiLvlLbl val="1"/>
      </c:catAx>
      <c:valAx>
        <c:axId val="142983552"/>
        <c:scaling>
          <c:orientation val="minMax"/>
        </c:scaling>
        <c:delete val="0"/>
        <c:axPos val="l"/>
        <c:majorGridlines/>
        <c:numFmt formatCode="0.0\x" sourceLinked="0"/>
        <c:majorTickMark val="out"/>
        <c:minorTickMark val="none"/>
        <c:tickLblPos val="nextTo"/>
        <c:crossAx val="1429776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6-month Price Earnings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MU!#REF!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254-41BC-98EB-9CB3A85F1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994432"/>
        <c:axId val="142996224"/>
      </c:lineChart>
      <c:catAx>
        <c:axId val="142994432"/>
        <c:scaling>
          <c:orientation val="minMax"/>
          <c:min val="41746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42996224"/>
        <c:crosses val="autoZero"/>
        <c:auto val="1"/>
        <c:lblAlgn val="ctr"/>
        <c:lblOffset val="100"/>
        <c:tickLblSkip val="7"/>
        <c:noMultiLvlLbl val="1"/>
      </c:catAx>
      <c:valAx>
        <c:axId val="142996224"/>
        <c:scaling>
          <c:orientation val="minMax"/>
        </c:scaling>
        <c:delete val="0"/>
        <c:axPos val="l"/>
        <c:majorGridlines/>
        <c:numFmt formatCode="0.0\x" sourceLinked="0"/>
        <c:majorTickMark val="out"/>
        <c:minorTickMark val="none"/>
        <c:tickLblPos val="nextTo"/>
        <c:crossAx val="1429944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6-month Price Earnings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MU!#REF!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4EC-4EBF-B0E6-33DC28AFE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511168"/>
        <c:axId val="145512704"/>
      </c:lineChart>
      <c:catAx>
        <c:axId val="145511168"/>
        <c:scaling>
          <c:orientation val="minMax"/>
          <c:min val="41746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45512704"/>
        <c:crosses val="autoZero"/>
        <c:auto val="1"/>
        <c:lblAlgn val="ctr"/>
        <c:lblOffset val="100"/>
        <c:tickLblSkip val="7"/>
        <c:noMultiLvlLbl val="1"/>
      </c:catAx>
      <c:valAx>
        <c:axId val="145512704"/>
        <c:scaling>
          <c:orientation val="minMax"/>
        </c:scaling>
        <c:delete val="0"/>
        <c:axPos val="l"/>
        <c:majorGridlines/>
        <c:numFmt formatCode="0.0\x" sourceLinked="0"/>
        <c:majorTickMark val="out"/>
        <c:minorTickMark val="none"/>
        <c:tickLblPos val="nextTo"/>
        <c:crossAx val="145511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ctr">
              <a:defRPr/>
            </a:pPr>
            <a:r>
              <a:rPr lang="en-US" sz="1200" b="0"/>
              <a:t>Americas Segment Metrics</a:t>
            </a:r>
          </a:p>
        </c:rich>
      </c:tx>
      <c:layout>
        <c:manualLayout>
          <c:xMode val="edge"/>
          <c:yMode val="edge"/>
          <c:x val="0.26736813417499616"/>
          <c:y val="6.011421701232341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259906105276539E-2"/>
          <c:y val="9.884433967845993E-2"/>
          <c:w val="0.78454722918835507"/>
          <c:h val="0.62550120820109401"/>
        </c:manualLayout>
      </c:layout>
      <c:barChart>
        <c:barDir val="col"/>
        <c:grouping val="clustered"/>
        <c:varyColors val="0"/>
        <c:ser>
          <c:idx val="0"/>
          <c:order val="0"/>
          <c:tx>
            <c:v>Revenue</c:v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C55-4DB1-A25C-6A7A09C8C754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A-5C55-4DB1-A25C-6A7A09C8C754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E-2462-4DF9-A2F7-046938A175E7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462-4DF9-A2F7-046938A175E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462-4DF9-A2F7-046938A175E7}"/>
              </c:ext>
            </c:extLst>
          </c:dPt>
          <c:cat>
            <c:strRef>
              <c:f>('Earnings Model'!$L$12,'Earnings Model'!$N$12,'Earnings Model'!$O$12,'Earnings Model'!$P$12,'Earnings Model'!$Q$12,'Earnings Model'!$S$12,'Earnings Model'!$T$12,'Earnings Model'!$U$12)</c:f>
              <c:strCache>
                <c:ptCount val="8"/>
                <c:pt idx="0">
                  <c:v> F4Q20 </c:v>
                </c:pt>
                <c:pt idx="1">
                  <c:v> F1Q21 </c:v>
                </c:pt>
                <c:pt idx="2">
                  <c:v> F2Q21 </c:v>
                </c:pt>
                <c:pt idx="3">
                  <c:v> F3Q21 </c:v>
                </c:pt>
                <c:pt idx="4">
                  <c:v> F4Q21E </c:v>
                </c:pt>
                <c:pt idx="5">
                  <c:v> F1Q22E </c:v>
                </c:pt>
                <c:pt idx="6">
                  <c:v> F2Q22E </c:v>
                </c:pt>
                <c:pt idx="7">
                  <c:v> F3Q22E </c:v>
                </c:pt>
              </c:strCache>
            </c:strRef>
          </c:cat>
          <c:val>
            <c:numRef>
              <c:f>('Earnings Model'!$L$68,'Earnings Model'!$N$68,'Earnings Model'!$O$68,'Earnings Model'!$P$68,'Earnings Model'!$Q$68,'Earnings Model'!$S$68,'Earnings Model'!$T$68,'Earnings Model'!$U$68)</c:f>
              <c:numCache>
                <c:formatCode>_(* #,##0.0_);_(* \(#,##0.0\);_(* "-"??_);_(@_)</c:formatCode>
                <c:ptCount val="8"/>
                <c:pt idx="0">
                  <c:v>4232.9000000000005</c:v>
                </c:pt>
                <c:pt idx="1">
                  <c:v>4703.2</c:v>
                </c:pt>
                <c:pt idx="2">
                  <c:v>4664.5999999999995</c:v>
                </c:pt>
                <c:pt idx="3">
                  <c:v>5400.3</c:v>
                </c:pt>
                <c:pt idx="4">
                  <c:v>5770.4424805787485</c:v>
                </c:pt>
                <c:pt idx="5">
                  <c:v>5060.2648237314506</c:v>
                </c:pt>
                <c:pt idx="6">
                  <c:v>4898.4606617562622</c:v>
                </c:pt>
                <c:pt idx="7">
                  <c:v>5736.6269793073998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62-4DF9-A2F7-046938A17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22368"/>
        <c:axId val="145728256"/>
      </c:barChart>
      <c:lineChart>
        <c:grouping val="standard"/>
        <c:varyColors val="0"/>
        <c:ser>
          <c:idx val="1"/>
          <c:order val="1"/>
          <c:tx>
            <c:v>Operating Margin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dPt>
            <c:idx val="4"/>
            <c:bubble3D val="0"/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B-5C55-4DB1-A25C-6A7A09C8C754}"/>
              </c:ext>
            </c:extLst>
          </c:dPt>
          <c:dPt>
            <c:idx val="5"/>
            <c:bubble3D val="0"/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5C55-4DB1-A25C-6A7A09C8C754}"/>
              </c:ext>
            </c:extLst>
          </c:dPt>
          <c:dPt>
            <c:idx val="6"/>
            <c:bubble3D val="0"/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0-2462-4DF9-A2F7-046938A175E7}"/>
              </c:ext>
            </c:extLst>
          </c:dPt>
          <c:dPt>
            <c:idx val="7"/>
            <c:bubble3D val="0"/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1-2462-4DF9-A2F7-046938A175E7}"/>
              </c:ext>
            </c:extLst>
          </c:dPt>
          <c:cat>
            <c:strRef>
              <c:f>('Earnings Model'!$L$12,'Earnings Model'!$N$12,'Earnings Model'!$O$12,'Earnings Model'!$P$12,'Earnings Model'!$Q$12,'Earnings Model'!$S$12,'Earnings Model'!$T$12,'Earnings Model'!$U$12)</c:f>
              <c:strCache>
                <c:ptCount val="8"/>
                <c:pt idx="0">
                  <c:v> F4Q20 </c:v>
                </c:pt>
                <c:pt idx="1">
                  <c:v> F1Q21 </c:v>
                </c:pt>
                <c:pt idx="2">
                  <c:v> F2Q21 </c:v>
                </c:pt>
                <c:pt idx="3">
                  <c:v> F3Q21 </c:v>
                </c:pt>
                <c:pt idx="4">
                  <c:v> F4Q21E </c:v>
                </c:pt>
                <c:pt idx="5">
                  <c:v> F1Q22E </c:v>
                </c:pt>
                <c:pt idx="6">
                  <c:v> F2Q22E </c:v>
                </c:pt>
                <c:pt idx="7">
                  <c:v> F3Q22E </c:v>
                </c:pt>
              </c:strCache>
            </c:strRef>
          </c:cat>
          <c:val>
            <c:numRef>
              <c:f>('Earnings Model'!$L$81,'Earnings Model'!$N$81,'Earnings Model'!$O$81,'Earnings Model'!$P$81,'Earnings Model'!$Q$81,'Earnings Model'!$S$81,'Earnings Model'!$T$81,'Earnings Model'!$U$81)</c:f>
              <c:numCache>
                <c:formatCode>0.0%</c:formatCode>
                <c:ptCount val="8"/>
                <c:pt idx="0">
                  <c:v>0.12055564742847706</c:v>
                </c:pt>
                <c:pt idx="1">
                  <c:v>0.17296734138458913</c:v>
                </c:pt>
                <c:pt idx="2">
                  <c:v>0.19407880632851687</c:v>
                </c:pt>
                <c:pt idx="3">
                  <c:v>0.24363461289187641</c:v>
                </c:pt>
                <c:pt idx="4">
                  <c:v>0.22403368382661865</c:v>
                </c:pt>
                <c:pt idx="5">
                  <c:v>0.21170909184170006</c:v>
                </c:pt>
                <c:pt idx="6">
                  <c:v>0.19367253256037473</c:v>
                </c:pt>
                <c:pt idx="7">
                  <c:v>0.22076616592270956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62-4DF9-A2F7-046938A17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31584"/>
        <c:axId val="145729792"/>
      </c:lineChart>
      <c:catAx>
        <c:axId val="145722368"/>
        <c:scaling>
          <c:orientation val="minMax"/>
        </c:scaling>
        <c:delete val="0"/>
        <c:axPos val="b"/>
        <c:numFmt formatCode="[$-409]mmmm\-yy;@" sourceLinked="0"/>
        <c:majorTickMark val="none"/>
        <c:minorTickMark val="none"/>
        <c:tickLblPos val="low"/>
        <c:txPr>
          <a:bodyPr rot="0"/>
          <a:lstStyle/>
          <a:p>
            <a:pPr>
              <a:defRPr sz="800" baseline="0"/>
            </a:pPr>
            <a:endParaRPr lang="en-US"/>
          </a:p>
        </c:txPr>
        <c:crossAx val="145728256"/>
        <c:crosses val="autoZero"/>
        <c:auto val="1"/>
        <c:lblAlgn val="ctr"/>
        <c:lblOffset val="100"/>
        <c:noMultiLvlLbl val="0"/>
      </c:catAx>
      <c:valAx>
        <c:axId val="14572825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45722368"/>
        <c:crosses val="autoZero"/>
        <c:crossBetween val="between"/>
      </c:valAx>
      <c:valAx>
        <c:axId val="145729792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145731584"/>
        <c:crosses val="max"/>
        <c:crossBetween val="between"/>
      </c:valAx>
      <c:catAx>
        <c:axId val="145731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72979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1.0407843079484102E-3"/>
          <c:y val="0.82587988043424243"/>
          <c:w val="0.99567776198227798"/>
          <c:h val="0.1583498410759971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236802</xdr:colOff>
      <xdr:row>184</xdr:row>
      <xdr:rowOff>0</xdr:rowOff>
    </xdr:from>
    <xdr:to>
      <xdr:col>3</xdr:col>
      <xdr:colOff>0</xdr:colOff>
      <xdr:row>184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037417-41C3-44DA-8080-7DB01C702E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236802</xdr:colOff>
      <xdr:row>241</xdr:row>
      <xdr:rowOff>0</xdr:rowOff>
    </xdr:from>
    <xdr:to>
      <xdr:col>3</xdr:col>
      <xdr:colOff>0</xdr:colOff>
      <xdr:row>241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9163E9-BBC0-409D-8B45-08688F9D50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236802</xdr:colOff>
      <xdr:row>288</xdr:row>
      <xdr:rowOff>0</xdr:rowOff>
    </xdr:from>
    <xdr:to>
      <xdr:col>3</xdr:col>
      <xdr:colOff>0</xdr:colOff>
      <xdr:row>288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4607B83-CC25-4BA4-A575-2B26A4351A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236802</xdr:colOff>
      <xdr:row>45</xdr:row>
      <xdr:rowOff>0</xdr:rowOff>
    </xdr:from>
    <xdr:to>
      <xdr:col>3</xdr:col>
      <xdr:colOff>0</xdr:colOff>
      <xdr:row>45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F558CD5-9490-48CF-97EC-204510B7A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236802</xdr:colOff>
      <xdr:row>225</xdr:row>
      <xdr:rowOff>0</xdr:rowOff>
    </xdr:from>
    <xdr:to>
      <xdr:col>3</xdr:col>
      <xdr:colOff>0</xdr:colOff>
      <xdr:row>225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A9CB311-549D-41C4-8025-B8BA107F1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208551</xdr:colOff>
      <xdr:row>7</xdr:row>
      <xdr:rowOff>57150</xdr:rowOff>
    </xdr:from>
    <xdr:to>
      <xdr:col>17</xdr:col>
      <xdr:colOff>362120</xdr:colOff>
      <xdr:row>31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CADE78-960B-4DAF-BB71-DEEB8FD7A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51" y="1390650"/>
          <a:ext cx="10516769" cy="45529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31</xdr:row>
      <xdr:rowOff>15821</xdr:rowOff>
    </xdr:from>
    <xdr:to>
      <xdr:col>17</xdr:col>
      <xdr:colOff>259330</xdr:colOff>
      <xdr:row>42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FDD595-FA99-485B-BD80-53F44B2EE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921321"/>
          <a:ext cx="10546330" cy="2203504"/>
        </a:xfrm>
        <a:prstGeom prst="rect">
          <a:avLst/>
        </a:prstGeom>
      </xdr:spPr>
    </xdr:pic>
    <xdr:clientData/>
  </xdr:twoCellAnchor>
  <xdr:twoCellAnchor editAs="oneCell">
    <xdr:from>
      <xdr:col>17</xdr:col>
      <xdr:colOff>544098</xdr:colOff>
      <xdr:row>4</xdr:row>
      <xdr:rowOff>19050</xdr:rowOff>
    </xdr:from>
    <xdr:to>
      <xdr:col>36</xdr:col>
      <xdr:colOff>314325</xdr:colOff>
      <xdr:row>29</xdr:row>
      <xdr:rowOff>15892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FFAC0E3-BEDB-4638-8797-B0C277116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7298" y="781050"/>
          <a:ext cx="11352627" cy="4759342"/>
        </a:xfrm>
        <a:prstGeom prst="rect">
          <a:avLst/>
        </a:prstGeom>
      </xdr:spPr>
    </xdr:pic>
    <xdr:clientData/>
  </xdr:twoCellAnchor>
  <xdr:twoCellAnchor editAs="oneCell">
    <xdr:from>
      <xdr:col>17</xdr:col>
      <xdr:colOff>571499</xdr:colOff>
      <xdr:row>28</xdr:row>
      <xdr:rowOff>119881</xdr:rowOff>
    </xdr:from>
    <xdr:to>
      <xdr:col>38</xdr:col>
      <xdr:colOff>4654</xdr:colOff>
      <xdr:row>32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55CC9EF-4246-453E-BD3B-2E2968034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4699" y="5453881"/>
          <a:ext cx="12234755" cy="708794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32</xdr:row>
      <xdr:rowOff>45318</xdr:rowOff>
    </xdr:from>
    <xdr:to>
      <xdr:col>36</xdr:col>
      <xdr:colOff>583023</xdr:colOff>
      <xdr:row>48</xdr:row>
      <xdr:rowOff>95786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60018C3-BA0D-48F6-92D3-6DA9FD934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0" y="6141318"/>
          <a:ext cx="11555823" cy="30984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116205</xdr:colOff>
      <xdr:row>2</xdr:row>
      <xdr:rowOff>13335</xdr:rowOff>
    </xdr:from>
    <xdr:to>
      <xdr:col>5</xdr:col>
      <xdr:colOff>217170</xdr:colOff>
      <xdr:row>10</xdr:row>
      <xdr:rowOff>259080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2A172C-7B75-4C02-A74C-56608478D7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0.89232</cdr:x>
      <cdr:y>0.91975</cdr:y>
    </cdr:from>
    <cdr:to>
      <cdr:x>0.99455</cdr:x>
      <cdr:y>0.99413</cdr:y>
    </cdr:to>
    <cdr:pic>
      <cdr:nvPicPr>
        <cdr:cNvPr id="7" name="Picture 6">
          <a:extLst xmlns:a="http://schemas.openxmlformats.org/drawingml/2006/main">
            <a:ext uri="{FF2B5EF4-FFF2-40B4-BE49-F238E27FC236}">
              <a16:creationId xmlns:a16="http://schemas.microsoft.com/office/drawing/2014/main" id="{C37BFA11-7AA4-4942-B117-535411DB107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741420" y="1943101"/>
          <a:ext cx="428625" cy="1571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E3030-A9AF-43FB-BEF3-5B7B4EE7E27B}">
  <sheetPr>
    <pageSetUpPr fitToPage="1"/>
  </sheetPr>
  <dimension ref="A1:BD337"/>
  <sheetViews>
    <sheetView showGridLines="0" tabSelected="1" topLeftCell="A3" zoomScaleNormal="100" workbookViewId="0">
      <pane xSplit="3" ySplit="10" topLeftCell="M13" activePane="bottomRight" state="frozen"/>
      <selection activeCell="A3" sqref="A3"/>
      <selection pane="topRight" activeCell="D3" sqref="D3"/>
      <selection pane="bottomLeft" activeCell="A13" sqref="A13"/>
      <selection pane="bottomRight" activeCell="B11" sqref="B11:C11"/>
    </sheetView>
  </sheetViews>
  <sheetFormatPr defaultColWidth="8.85546875" defaultRowHeight="15" outlineLevelRow="1" outlineLevelCol="1" x14ac:dyDescent="0.25"/>
  <cols>
    <col min="1" max="1" width="3.140625" style="4" customWidth="1"/>
    <col min="2" max="2" width="39" style="4" customWidth="1"/>
    <col min="3" max="3" width="14.42578125" style="4" customWidth="1"/>
    <col min="4" max="5" width="11.42578125" style="3" customWidth="1" outlineLevel="1"/>
    <col min="6" max="7" width="11.42578125" style="11" customWidth="1" outlineLevel="1"/>
    <col min="8" max="8" width="11.42578125" style="11" customWidth="1"/>
    <col min="9" max="10" width="11.42578125" style="3" customWidth="1" outlineLevel="1"/>
    <col min="11" max="12" width="11.42578125" style="11" customWidth="1" outlineLevel="1"/>
    <col min="13" max="13" width="11.42578125" style="11" customWidth="1"/>
    <col min="14" max="15" width="11.42578125" style="3" customWidth="1" outlineLevel="1"/>
    <col min="16" max="17" width="11.42578125" style="11" customWidth="1" outlineLevel="1"/>
    <col min="18" max="18" width="11.42578125" style="11" customWidth="1"/>
    <col min="19" max="20" width="11.42578125" style="3" customWidth="1" outlineLevel="1"/>
    <col min="21" max="22" width="11.42578125" style="11" customWidth="1" outlineLevel="1"/>
    <col min="23" max="23" width="11.42578125" style="11" customWidth="1"/>
    <col min="24" max="25" width="11.42578125" style="3" customWidth="1" outlineLevel="1"/>
    <col min="26" max="27" width="11.42578125" style="11" customWidth="1" outlineLevel="1"/>
    <col min="28" max="28" width="11.42578125" style="11" customWidth="1"/>
    <col min="29" max="30" width="11.42578125" style="3" customWidth="1" outlineLevel="1"/>
    <col min="31" max="32" width="11.42578125" style="11" customWidth="1" outlineLevel="1"/>
    <col min="33" max="33" width="11.42578125" style="11" customWidth="1"/>
    <col min="34" max="35" width="11.42578125" style="3" customWidth="1" outlineLevel="1"/>
    <col min="36" max="37" width="11.42578125" style="11" customWidth="1" outlineLevel="1"/>
    <col min="38" max="38" width="11.42578125" style="11" customWidth="1"/>
    <col min="39" max="40" width="11.42578125" style="3" customWidth="1" outlineLevel="1"/>
    <col min="41" max="42" width="11.42578125" style="11" customWidth="1" outlineLevel="1"/>
    <col min="43" max="43" width="11.42578125" style="11" customWidth="1"/>
    <col min="44" max="16384" width="8.85546875" style="4"/>
  </cols>
  <sheetData>
    <row r="1" spans="1:56" ht="12.6" customHeight="1" x14ac:dyDescent="0.25">
      <c r="B1" s="252" t="s">
        <v>54</v>
      </c>
    </row>
    <row r="2" spans="1:56" ht="45" customHeight="1" x14ac:dyDescent="0.25">
      <c r="B2" s="544" t="s">
        <v>53</v>
      </c>
      <c r="C2" s="545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</row>
    <row r="3" spans="1:56" x14ac:dyDescent="0.25">
      <c r="B3" s="546" t="s">
        <v>350</v>
      </c>
      <c r="C3" s="54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</row>
    <row r="4" spans="1:56" x14ac:dyDescent="0.25">
      <c r="B4" s="548" t="s">
        <v>351</v>
      </c>
      <c r="C4" s="549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  <c r="BD4" s="252" t="s">
        <v>54</v>
      </c>
    </row>
    <row r="5" spans="1:56" hidden="1" x14ac:dyDescent="0.25">
      <c r="B5" s="550" t="s">
        <v>370</v>
      </c>
      <c r="C5" s="55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6" ht="14.45" customHeight="1" x14ac:dyDescent="0.25">
      <c r="B6" s="111" t="s">
        <v>48</v>
      </c>
      <c r="C6" s="112">
        <f>C302</f>
        <v>107.84092069793638</v>
      </c>
      <c r="D6" s="12"/>
      <c r="E6" s="118"/>
      <c r="F6" s="117"/>
      <c r="G6" s="12"/>
      <c r="H6" s="118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6" ht="14.45" customHeight="1" x14ac:dyDescent="0.25">
      <c r="B7" s="400" t="s">
        <v>49</v>
      </c>
      <c r="C7" s="105">
        <f>C329</f>
        <v>109.93146236829244</v>
      </c>
      <c r="D7" s="46"/>
      <c r="E7" s="118"/>
      <c r="F7" s="117"/>
      <c r="G7" s="46"/>
      <c r="H7" s="118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53"/>
      <c r="AC7" s="46"/>
      <c r="AD7" s="46"/>
      <c r="AE7" s="46"/>
      <c r="AF7" s="46"/>
      <c r="AG7" s="53"/>
      <c r="AH7" s="46"/>
      <c r="AI7" s="46"/>
      <c r="AJ7" s="46"/>
      <c r="AK7" s="46"/>
      <c r="AL7" s="53"/>
      <c r="AM7" s="46"/>
      <c r="AN7" s="46"/>
      <c r="AO7" s="46"/>
      <c r="AP7" s="46"/>
      <c r="AQ7" s="53"/>
    </row>
    <row r="8" spans="1:56" ht="14.45" customHeight="1" x14ac:dyDescent="0.25">
      <c r="B8" s="400" t="s">
        <v>64</v>
      </c>
      <c r="C8" s="109">
        <f>(0.5*C6)+(0.5*C7)</f>
        <v>108.88619153311441</v>
      </c>
      <c r="D8" s="34"/>
      <c r="E8" s="118"/>
      <c r="F8" s="136"/>
      <c r="G8" s="136"/>
      <c r="H8" s="34"/>
      <c r="I8" s="136"/>
      <c r="J8" s="136"/>
      <c r="K8" s="53"/>
      <c r="L8" s="34"/>
      <c r="M8" s="53"/>
      <c r="N8" s="34"/>
      <c r="O8" s="34"/>
      <c r="P8" s="34"/>
      <c r="Q8" s="519"/>
      <c r="R8" s="484"/>
      <c r="S8" s="492"/>
      <c r="T8" s="485"/>
      <c r="U8" s="485"/>
      <c r="V8" s="484"/>
      <c r="W8" s="485"/>
      <c r="X8" s="485"/>
      <c r="Y8" s="34"/>
      <c r="Z8" s="34"/>
      <c r="AA8" s="34"/>
      <c r="AB8" s="108"/>
      <c r="AC8" s="34"/>
      <c r="AD8" s="34"/>
      <c r="AE8" s="34"/>
      <c r="AF8" s="34"/>
      <c r="AG8" s="108"/>
      <c r="AH8" s="34"/>
      <c r="AI8" s="34"/>
      <c r="AJ8" s="34"/>
      <c r="AK8" s="34"/>
      <c r="AL8" s="108"/>
      <c r="AM8" s="34"/>
      <c r="AN8" s="34"/>
      <c r="AO8" s="34"/>
      <c r="AP8" s="34"/>
      <c r="AQ8" s="108"/>
    </row>
    <row r="9" spans="1:56" ht="14.45" customHeight="1" x14ac:dyDescent="0.25">
      <c r="B9" s="382" t="s">
        <v>65</v>
      </c>
      <c r="C9" s="110" t="str">
        <f>TEXT(C336,"$0")&amp;" to "&amp;TEXT(C335,"$0")</f>
        <v>$102 to $121</v>
      </c>
      <c r="D9" s="165"/>
      <c r="E9" s="275"/>
      <c r="F9" s="137"/>
      <c r="G9" s="137"/>
      <c r="H9" s="46"/>
      <c r="I9" s="137"/>
      <c r="J9" s="137"/>
      <c r="K9" s="46"/>
      <c r="L9" s="137"/>
      <c r="M9" s="53"/>
      <c r="N9" s="53"/>
      <c r="O9" s="53"/>
      <c r="P9" s="53"/>
      <c r="Q9" s="486"/>
      <c r="R9" s="520"/>
      <c r="S9" s="519"/>
      <c r="T9" s="519"/>
      <c r="U9" s="519"/>
      <c r="V9" s="484"/>
      <c r="W9" s="483"/>
      <c r="X9" s="483"/>
      <c r="Y9" s="53"/>
      <c r="Z9" s="53"/>
      <c r="AA9" s="53"/>
      <c r="AB9" s="276"/>
      <c r="AC9" s="53"/>
      <c r="AD9" s="53"/>
      <c r="AE9" s="53"/>
      <c r="AF9" s="53"/>
      <c r="AG9" s="276"/>
      <c r="AH9" s="53"/>
      <c r="AI9" s="53"/>
      <c r="AJ9" s="53"/>
      <c r="AK9" s="53"/>
      <c r="AL9" s="276"/>
      <c r="AM9" s="53"/>
      <c r="AN9" s="53"/>
      <c r="AO9" s="53"/>
      <c r="AP9" s="53"/>
      <c r="AQ9" s="276"/>
    </row>
    <row r="10" spans="1:56" ht="10.5" customHeight="1" x14ac:dyDescent="0.25">
      <c r="B10" s="252" t="s">
        <v>54</v>
      </c>
      <c r="D10" s="151"/>
      <c r="E10" s="354"/>
      <c r="F10" s="354"/>
      <c r="G10" s="354"/>
      <c r="H10" s="354"/>
      <c r="I10" s="354"/>
      <c r="J10" s="372"/>
      <c r="K10" s="372"/>
      <c r="L10" s="372"/>
      <c r="M10" s="37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</row>
    <row r="11" spans="1:56" ht="15.75" x14ac:dyDescent="0.25">
      <c r="A11" s="531"/>
      <c r="B11" s="532" t="s">
        <v>116</v>
      </c>
      <c r="C11" s="533"/>
      <c r="D11" s="31" t="s">
        <v>106</v>
      </c>
      <c r="E11" s="31" t="s">
        <v>244</v>
      </c>
      <c r="F11" s="31" t="s">
        <v>246</v>
      </c>
      <c r="G11" s="31" t="s">
        <v>337</v>
      </c>
      <c r="H11" s="85" t="s">
        <v>337</v>
      </c>
      <c r="I11" s="31" t="s">
        <v>336</v>
      </c>
      <c r="J11" s="31" t="s">
        <v>335</v>
      </c>
      <c r="K11" s="31" t="s">
        <v>334</v>
      </c>
      <c r="L11" s="31" t="s">
        <v>321</v>
      </c>
      <c r="M11" s="85" t="s">
        <v>321</v>
      </c>
      <c r="N11" s="31" t="s">
        <v>338</v>
      </c>
      <c r="O11" s="31" t="s">
        <v>346</v>
      </c>
      <c r="P11" s="31" t="s">
        <v>348</v>
      </c>
      <c r="Q11" s="33" t="s">
        <v>120</v>
      </c>
      <c r="R11" s="88" t="s">
        <v>120</v>
      </c>
      <c r="S11" s="33" t="s">
        <v>121</v>
      </c>
      <c r="T11" s="33" t="s">
        <v>122</v>
      </c>
      <c r="U11" s="33" t="s">
        <v>123</v>
      </c>
      <c r="V11" s="33" t="s">
        <v>124</v>
      </c>
      <c r="W11" s="88" t="s">
        <v>124</v>
      </c>
      <c r="X11" s="33" t="s">
        <v>125</v>
      </c>
      <c r="Y11" s="33" t="s">
        <v>126</v>
      </c>
      <c r="Z11" s="33" t="s">
        <v>127</v>
      </c>
      <c r="AA11" s="33" t="s">
        <v>128</v>
      </c>
      <c r="AB11" s="88" t="s">
        <v>128</v>
      </c>
      <c r="AC11" s="33" t="s">
        <v>248</v>
      </c>
      <c r="AD11" s="33" t="s">
        <v>249</v>
      </c>
      <c r="AE11" s="33" t="s">
        <v>250</v>
      </c>
      <c r="AF11" s="33" t="s">
        <v>251</v>
      </c>
      <c r="AG11" s="88" t="s">
        <v>251</v>
      </c>
      <c r="AH11" s="33" t="s">
        <v>281</v>
      </c>
      <c r="AI11" s="33" t="s">
        <v>282</v>
      </c>
      <c r="AJ11" s="33" t="s">
        <v>283</v>
      </c>
      <c r="AK11" s="33" t="s">
        <v>284</v>
      </c>
      <c r="AL11" s="88" t="s">
        <v>284</v>
      </c>
      <c r="AM11" s="33" t="s">
        <v>352</v>
      </c>
      <c r="AN11" s="33" t="s">
        <v>353</v>
      </c>
      <c r="AO11" s="33" t="s">
        <v>354</v>
      </c>
      <c r="AP11" s="33" t="s">
        <v>355</v>
      </c>
      <c r="AQ11" s="88" t="s">
        <v>355</v>
      </c>
    </row>
    <row r="12" spans="1:56" ht="17.45" customHeight="1" x14ac:dyDescent="0.4">
      <c r="A12" s="531"/>
      <c r="B12" s="534" t="s">
        <v>3</v>
      </c>
      <c r="C12" s="535"/>
      <c r="D12" s="32" t="s">
        <v>119</v>
      </c>
      <c r="E12" s="32" t="s">
        <v>243</v>
      </c>
      <c r="F12" s="32" t="s">
        <v>247</v>
      </c>
      <c r="G12" s="32" t="s">
        <v>257</v>
      </c>
      <c r="H12" s="86" t="s">
        <v>258</v>
      </c>
      <c r="I12" s="32" t="s">
        <v>259</v>
      </c>
      <c r="J12" s="32" t="s">
        <v>260</v>
      </c>
      <c r="K12" s="32" t="s">
        <v>261</v>
      </c>
      <c r="L12" s="32" t="s">
        <v>322</v>
      </c>
      <c r="M12" s="86" t="s">
        <v>333</v>
      </c>
      <c r="N12" s="32" t="s">
        <v>339</v>
      </c>
      <c r="O12" s="32" t="s">
        <v>347</v>
      </c>
      <c r="P12" s="32" t="s">
        <v>349</v>
      </c>
      <c r="Q12" s="30" t="s">
        <v>129</v>
      </c>
      <c r="R12" s="89" t="s">
        <v>130</v>
      </c>
      <c r="S12" s="30" t="s">
        <v>131</v>
      </c>
      <c r="T12" s="30" t="s">
        <v>132</v>
      </c>
      <c r="U12" s="30" t="s">
        <v>133</v>
      </c>
      <c r="V12" s="30" t="s">
        <v>134</v>
      </c>
      <c r="W12" s="89" t="s">
        <v>135</v>
      </c>
      <c r="X12" s="30" t="s">
        <v>136</v>
      </c>
      <c r="Y12" s="30" t="s">
        <v>137</v>
      </c>
      <c r="Z12" s="30" t="s">
        <v>138</v>
      </c>
      <c r="AA12" s="30" t="s">
        <v>139</v>
      </c>
      <c r="AB12" s="89" t="s">
        <v>140</v>
      </c>
      <c r="AC12" s="30" t="s">
        <v>252</v>
      </c>
      <c r="AD12" s="30" t="s">
        <v>253</v>
      </c>
      <c r="AE12" s="30" t="s">
        <v>254</v>
      </c>
      <c r="AF12" s="30" t="s">
        <v>255</v>
      </c>
      <c r="AG12" s="89" t="s">
        <v>256</v>
      </c>
      <c r="AH12" s="30" t="s">
        <v>285</v>
      </c>
      <c r="AI12" s="30" t="s">
        <v>286</v>
      </c>
      <c r="AJ12" s="30" t="s">
        <v>287</v>
      </c>
      <c r="AK12" s="30" t="s">
        <v>288</v>
      </c>
      <c r="AL12" s="89" t="s">
        <v>289</v>
      </c>
      <c r="AM12" s="30" t="s">
        <v>356</v>
      </c>
      <c r="AN12" s="30" t="s">
        <v>357</v>
      </c>
      <c r="AO12" s="30" t="s">
        <v>358</v>
      </c>
      <c r="AP12" s="30" t="s">
        <v>359</v>
      </c>
      <c r="AQ12" s="89" t="s">
        <v>360</v>
      </c>
    </row>
    <row r="13" spans="1:56" outlineLevel="1" x14ac:dyDescent="0.25">
      <c r="A13" s="253"/>
      <c r="B13" s="536" t="s">
        <v>263</v>
      </c>
      <c r="C13" s="537"/>
      <c r="D13" s="260">
        <v>5370.3</v>
      </c>
      <c r="E13" s="260">
        <v>5159</v>
      </c>
      <c r="F13" s="260">
        <v>5535</v>
      </c>
      <c r="G13" s="260">
        <f>H13-F13-E13-D13</f>
        <v>5480.1000000000013</v>
      </c>
      <c r="H13" s="272">
        <v>21544.400000000001</v>
      </c>
      <c r="I13" s="260">
        <v>5780.7</v>
      </c>
      <c r="J13" s="260">
        <v>4766</v>
      </c>
      <c r="K13" s="260">
        <v>3444.4</v>
      </c>
      <c r="L13" s="260">
        <v>5173.6000000000004</v>
      </c>
      <c r="M13" s="170">
        <f>SUM(I13:L13)</f>
        <v>19164.7</v>
      </c>
      <c r="N13" s="169">
        <v>5726.5</v>
      </c>
      <c r="O13" s="169">
        <v>5653.1</v>
      </c>
      <c r="P13" s="169">
        <v>6363.1</v>
      </c>
      <c r="Q13" s="169">
        <f>+Q56+Q91</f>
        <v>6793.8383852770476</v>
      </c>
      <c r="R13" s="170">
        <f>SUM(N13:Q13)</f>
        <v>24536.538385277046</v>
      </c>
      <c r="S13" s="169">
        <f>+S56+S91</f>
        <v>6169.1749816339025</v>
      </c>
      <c r="T13" s="169">
        <f>+T56+T91</f>
        <v>5989.3364414808311</v>
      </c>
      <c r="U13" s="169">
        <f>+U56+U91</f>
        <v>6936.5345619660093</v>
      </c>
      <c r="V13" s="169">
        <f>+V56+V91</f>
        <v>6793.4815235576934</v>
      </c>
      <c r="W13" s="170">
        <f>SUM(S13:V13)</f>
        <v>25888.527508638439</v>
      </c>
      <c r="X13" s="169">
        <f>+X56+X91</f>
        <v>6652.6475183246912</v>
      </c>
      <c r="Y13" s="169">
        <f>+Y56+Y91</f>
        <v>6566.033046553247</v>
      </c>
      <c r="Z13" s="169">
        <f>+Z56+Z91</f>
        <v>7562.8870995664256</v>
      </c>
      <c r="AA13" s="169">
        <f>+AA56+AA91</f>
        <v>7365.861936510094</v>
      </c>
      <c r="AB13" s="170">
        <f>SUM(X13:AA13)</f>
        <v>28147.429600954456</v>
      </c>
      <c r="AC13" s="169">
        <f>+AC56+AC91</f>
        <v>7114.2334550765718</v>
      </c>
      <c r="AD13" s="169">
        <f>+AD56+AD91</f>
        <v>7050.7171930459499</v>
      </c>
      <c r="AE13" s="169">
        <f>+AE56+AE91</f>
        <v>8147.5008164236388</v>
      </c>
      <c r="AF13" s="169">
        <f>+AF56+AF91</f>
        <v>7957.861621253076</v>
      </c>
      <c r="AG13" s="170">
        <f>SUM(AC13:AF13)</f>
        <v>30270.313085799236</v>
      </c>
      <c r="AH13" s="169">
        <f>+AH56+AH91</f>
        <v>7693.3365889909346</v>
      </c>
      <c r="AI13" s="169">
        <f>+AI56+AI91</f>
        <v>7620.3500876217713</v>
      </c>
      <c r="AJ13" s="169">
        <f>+AJ56+AJ91</f>
        <v>8799.9331214906069</v>
      </c>
      <c r="AK13" s="169">
        <f>+AK56+AK91</f>
        <v>8597.7657412160934</v>
      </c>
      <c r="AL13" s="170">
        <f>SUM(AH13:AK13)</f>
        <v>32711.385539319403</v>
      </c>
      <c r="AM13" s="169">
        <f>+AM56+AM91</f>
        <v>8316.2801142421413</v>
      </c>
      <c r="AN13" s="169">
        <f>+AN56+AN91</f>
        <v>8229.3765533675542</v>
      </c>
      <c r="AO13" s="169">
        <f>+AO56+AO91</f>
        <v>9493.5332823365461</v>
      </c>
      <c r="AP13" s="169">
        <f>+AP56+AP91</f>
        <v>9275.0360923205626</v>
      </c>
      <c r="AQ13" s="170">
        <f>SUM(AM13:AP13)</f>
        <v>35314.226042266804</v>
      </c>
    </row>
    <row r="14" spans="1:56" outlineLevel="1" x14ac:dyDescent="0.25">
      <c r="A14" s="253"/>
      <c r="B14" s="536" t="s">
        <v>264</v>
      </c>
      <c r="C14" s="537"/>
      <c r="D14" s="260">
        <v>737.1</v>
      </c>
      <c r="E14" s="260">
        <v>678.2</v>
      </c>
      <c r="F14" s="260">
        <v>725</v>
      </c>
      <c r="G14" s="260">
        <f t="shared" ref="G14:G24" si="0">H14-F14-E14-D14</f>
        <v>734.69999999999993</v>
      </c>
      <c r="H14" s="272">
        <v>2875</v>
      </c>
      <c r="I14" s="260">
        <v>792</v>
      </c>
      <c r="J14" s="260">
        <v>689.8</v>
      </c>
      <c r="K14" s="260">
        <v>300.5</v>
      </c>
      <c r="L14" s="169">
        <v>544.6</v>
      </c>
      <c r="M14" s="170">
        <f t="shared" ref="M14:M15" si="1">SUM(I14:L14)</f>
        <v>2326.9</v>
      </c>
      <c r="N14" s="169">
        <v>613.79999999999995</v>
      </c>
      <c r="O14" s="169">
        <v>595</v>
      </c>
      <c r="P14" s="169">
        <v>680.2</v>
      </c>
      <c r="Q14" s="169">
        <f>+Q63+Q98</f>
        <v>911.04000000000008</v>
      </c>
      <c r="R14" s="170">
        <f t="shared" ref="R14:R15" si="2">SUM(N14:Q14)</f>
        <v>2800.04</v>
      </c>
      <c r="S14" s="169">
        <f>+S63+S98</f>
        <v>834.98500000000013</v>
      </c>
      <c r="T14" s="169">
        <f>+T63+T98</f>
        <v>772.44349999999997</v>
      </c>
      <c r="U14" s="169">
        <f>+U63+U98</f>
        <v>776.72787500000004</v>
      </c>
      <c r="V14" s="169">
        <f>+V63+V98</f>
        <v>951.13123437500008</v>
      </c>
      <c r="W14" s="170">
        <f t="shared" ref="W14:W15" si="3">SUM(S14:V14)</f>
        <v>3335.2876093750001</v>
      </c>
      <c r="X14" s="169">
        <f>+X63+X98</f>
        <v>876.32901783367925</v>
      </c>
      <c r="Y14" s="169">
        <f>+Y63+Y98</f>
        <v>816.29735063413068</v>
      </c>
      <c r="Z14" s="169">
        <f>+Z63+Z98</f>
        <v>826.39479699438482</v>
      </c>
      <c r="AA14" s="169">
        <f>+AA63+AA98</f>
        <v>1019.8656212043702</v>
      </c>
      <c r="AB14" s="170">
        <f t="shared" ref="AB14:AB15" si="4">SUM(X14:AA14)</f>
        <v>3538.8867866665651</v>
      </c>
      <c r="AC14" s="169">
        <f>+AC63+AC98</f>
        <v>941.34625885700359</v>
      </c>
      <c r="AD14" s="169">
        <f>+AD63+AD98</f>
        <v>876.77357627983474</v>
      </c>
      <c r="AE14" s="169">
        <f>+AE63+AE98</f>
        <v>887.63886827852593</v>
      </c>
      <c r="AF14" s="169">
        <f>+AF63+AF98</f>
        <v>1097.1315852725888</v>
      </c>
      <c r="AG14" s="170">
        <f t="shared" ref="AG14:AG15" si="5">SUM(AC14:AF14)</f>
        <v>3802.8902886879532</v>
      </c>
      <c r="AH14" s="169">
        <f>+AH63+AH98</f>
        <v>1010.9582072785795</v>
      </c>
      <c r="AI14" s="169">
        <f>+AI63+AI98</f>
        <v>940.94002602077819</v>
      </c>
      <c r="AJ14" s="169">
        <f>+AJ63+AJ98</f>
        <v>952.04978708943997</v>
      </c>
      <c r="AK14" s="169">
        <f>+AK63+AK98</f>
        <v>1177.7136324582666</v>
      </c>
      <c r="AL14" s="170">
        <f t="shared" ref="AL14:AL15" si="6">SUM(AH14:AK14)</f>
        <v>4081.6616528470645</v>
      </c>
      <c r="AM14" s="169">
        <f>+AM63+AM98</f>
        <v>1083.2261368355798</v>
      </c>
      <c r="AN14" s="169">
        <f>+AN63+AN98</f>
        <v>1007.5500993770725</v>
      </c>
      <c r="AO14" s="169">
        <f>+AO63+AO98</f>
        <v>1018.9098300697792</v>
      </c>
      <c r="AP14" s="169">
        <f>+AP63+AP98</f>
        <v>1261.3664489022553</v>
      </c>
      <c r="AQ14" s="170">
        <f t="shared" ref="AQ14:AQ15" si="7">SUM(AM14:AP14)</f>
        <v>4371.0525151846869</v>
      </c>
    </row>
    <row r="15" spans="1:56" ht="17.25" outlineLevel="1" x14ac:dyDescent="0.4">
      <c r="A15" s="253"/>
      <c r="B15" s="536" t="s">
        <v>265</v>
      </c>
      <c r="C15" s="537"/>
      <c r="D15" s="259">
        <v>525.29999999999995</v>
      </c>
      <c r="E15" s="259">
        <v>468.7</v>
      </c>
      <c r="F15" s="259">
        <v>563</v>
      </c>
      <c r="G15" s="259">
        <f t="shared" si="0"/>
        <v>532.19999999999982</v>
      </c>
      <c r="H15" s="281">
        <v>2089.1999999999998</v>
      </c>
      <c r="I15" s="259">
        <v>524.4</v>
      </c>
      <c r="J15" s="259">
        <v>539.9</v>
      </c>
      <c r="K15" s="259">
        <v>477.2</v>
      </c>
      <c r="L15" s="173">
        <v>484.9</v>
      </c>
      <c r="M15" s="174">
        <f t="shared" si="1"/>
        <v>2026.4</v>
      </c>
      <c r="N15" s="173">
        <v>409.1</v>
      </c>
      <c r="O15" s="173">
        <v>419.9</v>
      </c>
      <c r="P15" s="173">
        <v>453.2</v>
      </c>
      <c r="Q15" s="173">
        <f>+Q64+Q99+Q119+Q134</f>
        <v>420.49000000000007</v>
      </c>
      <c r="R15" s="174">
        <f t="shared" si="2"/>
        <v>1702.69</v>
      </c>
      <c r="S15" s="173">
        <f>+S64+S99+S119+S134</f>
        <v>439.29699999999997</v>
      </c>
      <c r="T15" s="173">
        <f>+T64+T99+T119+T134</f>
        <v>455.40449999999998</v>
      </c>
      <c r="U15" s="173">
        <f>+U64+U99+U119+U134</f>
        <v>481.9</v>
      </c>
      <c r="V15" s="173">
        <f>+V64+V99+V119+V134</f>
        <v>445.97</v>
      </c>
      <c r="W15" s="174">
        <f t="shared" si="3"/>
        <v>1822.5714999999998</v>
      </c>
      <c r="X15" s="173">
        <f>+X64+X99+X119+X134</f>
        <v>470.92861999999997</v>
      </c>
      <c r="Y15" s="173">
        <f>+Y64+Y99+Y119+Y134</f>
        <v>491.05016999999998</v>
      </c>
      <c r="Z15" s="173">
        <f>+Z64+Z99+Z119+Z134</f>
        <v>515.13170000000002</v>
      </c>
      <c r="AA15" s="173">
        <f>+AA64+AA99+AA119+AA134</f>
        <v>475.40128500000003</v>
      </c>
      <c r="AB15" s="174">
        <f t="shared" si="4"/>
        <v>1952.5117749999999</v>
      </c>
      <c r="AC15" s="173">
        <f>+AC64+AC99+AC119+AC134</f>
        <v>503.55008409999999</v>
      </c>
      <c r="AD15" s="173">
        <f>+AD64+AD99+AD119+AD134</f>
        <v>528.6842743499999</v>
      </c>
      <c r="AE15" s="173">
        <f>+AE64+AE99+AE119+AE134</f>
        <v>548.95156600000007</v>
      </c>
      <c r="AF15" s="173">
        <f>+AF64+AF99+AF119+AF134</f>
        <v>504.9420093</v>
      </c>
      <c r="AG15" s="174">
        <f t="shared" si="5"/>
        <v>2086.12793375</v>
      </c>
      <c r="AH15" s="173">
        <f>+AH64+AH99+AH119+AH134</f>
        <v>537.26952330500001</v>
      </c>
      <c r="AI15" s="173">
        <f>+AI64+AI99+AI119+AI134</f>
        <v>568.66186806749988</v>
      </c>
      <c r="AJ15" s="173">
        <f>+AJ64+AJ99+AJ119+AJ134</f>
        <v>583.3505093</v>
      </c>
      <c r="AK15" s="173">
        <f>+AK64+AK99+AK119+AK134</f>
        <v>534.48183051499996</v>
      </c>
      <c r="AL15" s="174">
        <f t="shared" si="6"/>
        <v>2223.7637311874996</v>
      </c>
      <c r="AM15" s="173">
        <f>+AM64+AM99+AM119+AM134</f>
        <v>574.58381547024999</v>
      </c>
      <c r="AN15" s="173">
        <f>+AN64+AN99+AN119+AN134</f>
        <v>613.77861697087485</v>
      </c>
      <c r="AO15" s="173">
        <f>+AO64+AO99+AO119+AO134</f>
        <v>620.94969251500004</v>
      </c>
      <c r="AP15" s="173">
        <f>+AP64+AP99+AP119+AP134</f>
        <v>566.39373517824993</v>
      </c>
      <c r="AQ15" s="174">
        <f t="shared" si="7"/>
        <v>2375.7058601343751</v>
      </c>
    </row>
    <row r="16" spans="1:56" s="20" customFormat="1" x14ac:dyDescent="0.25">
      <c r="A16" s="268"/>
      <c r="B16" s="538" t="s">
        <v>266</v>
      </c>
      <c r="C16" s="539"/>
      <c r="D16" s="258">
        <f t="shared" ref="D16:AB16" si="8">SUM(D13:D15)</f>
        <v>6632.7000000000007</v>
      </c>
      <c r="E16" s="258">
        <f t="shared" si="8"/>
        <v>6305.9</v>
      </c>
      <c r="F16" s="258">
        <f t="shared" si="8"/>
        <v>6823</v>
      </c>
      <c r="G16" s="258">
        <f t="shared" si="8"/>
        <v>6747.0000000000009</v>
      </c>
      <c r="H16" s="273">
        <f t="shared" si="8"/>
        <v>26508.600000000002</v>
      </c>
      <c r="I16" s="258">
        <f>SUM(I13:I15)</f>
        <v>7097.0999999999995</v>
      </c>
      <c r="J16" s="258">
        <f>SUM(J13:J15)</f>
        <v>5995.7</v>
      </c>
      <c r="K16" s="258">
        <f>SUM(K13:K15)</f>
        <v>4222.1000000000004</v>
      </c>
      <c r="L16" s="258">
        <f>SUM(L13:L15)</f>
        <v>6203.1</v>
      </c>
      <c r="M16" s="450">
        <f t="shared" si="8"/>
        <v>23518.000000000004</v>
      </c>
      <c r="N16" s="258">
        <f t="shared" si="8"/>
        <v>6749.4000000000005</v>
      </c>
      <c r="O16" s="258">
        <f t="shared" si="8"/>
        <v>6668</v>
      </c>
      <c r="P16" s="258">
        <f t="shared" si="8"/>
        <v>7496.5</v>
      </c>
      <c r="Q16" s="258">
        <f t="shared" si="8"/>
        <v>8125.3683852770473</v>
      </c>
      <c r="R16" s="489">
        <f t="shared" si="8"/>
        <v>29039.268385277046</v>
      </c>
      <c r="S16" s="258">
        <f t="shared" si="8"/>
        <v>7443.4569816339017</v>
      </c>
      <c r="T16" s="258">
        <f t="shared" si="8"/>
        <v>7217.1844414808311</v>
      </c>
      <c r="U16" s="258">
        <f t="shared" si="8"/>
        <v>8195.1624369660094</v>
      </c>
      <c r="V16" s="258">
        <f t="shared" si="8"/>
        <v>8190.5827579326933</v>
      </c>
      <c r="W16" s="450">
        <f t="shared" si="8"/>
        <v>31046.386618013436</v>
      </c>
      <c r="X16" s="171">
        <f t="shared" si="8"/>
        <v>7999.9051561583701</v>
      </c>
      <c r="Y16" s="171">
        <f t="shared" si="8"/>
        <v>7873.3805671873779</v>
      </c>
      <c r="Z16" s="171">
        <f t="shared" si="8"/>
        <v>8904.4135965608111</v>
      </c>
      <c r="AA16" s="171">
        <f t="shared" si="8"/>
        <v>8861.1288427144646</v>
      </c>
      <c r="AB16" s="273">
        <f t="shared" si="8"/>
        <v>33638.828162621023</v>
      </c>
      <c r="AC16" s="171">
        <f t="shared" ref="AC16:AL16" si="9">SUM(AC13:AC15)</f>
        <v>8559.1297980335748</v>
      </c>
      <c r="AD16" s="171">
        <f t="shared" si="9"/>
        <v>8456.1750436757848</v>
      </c>
      <c r="AE16" s="171">
        <f t="shared" si="9"/>
        <v>9584.091250702164</v>
      </c>
      <c r="AF16" s="171">
        <f t="shared" si="9"/>
        <v>9559.9352158256661</v>
      </c>
      <c r="AG16" s="172">
        <f t="shared" si="9"/>
        <v>36159.33130823719</v>
      </c>
      <c r="AH16" s="171">
        <f t="shared" si="9"/>
        <v>9241.5643195745142</v>
      </c>
      <c r="AI16" s="171">
        <f t="shared" si="9"/>
        <v>9129.9519817100499</v>
      </c>
      <c r="AJ16" s="171">
        <f t="shared" si="9"/>
        <v>10335.333417880047</v>
      </c>
      <c r="AK16" s="171">
        <f t="shared" si="9"/>
        <v>10309.96120418936</v>
      </c>
      <c r="AL16" s="172">
        <f t="shared" si="9"/>
        <v>39016.810923353965</v>
      </c>
      <c r="AM16" s="171">
        <f t="shared" ref="AM16:AQ16" si="10">SUM(AM13:AM15)</f>
        <v>9974.0900665479712</v>
      </c>
      <c r="AN16" s="171">
        <f t="shared" si="10"/>
        <v>9850.7052697155013</v>
      </c>
      <c r="AO16" s="171">
        <f t="shared" si="10"/>
        <v>11133.392804921325</v>
      </c>
      <c r="AP16" s="171">
        <f t="shared" si="10"/>
        <v>11102.796276401068</v>
      </c>
      <c r="AQ16" s="172">
        <f t="shared" si="10"/>
        <v>42060.984417585867</v>
      </c>
    </row>
    <row r="17" spans="1:43" outlineLevel="1" x14ac:dyDescent="0.25">
      <c r="A17" s="253"/>
      <c r="B17" s="540" t="s">
        <v>262</v>
      </c>
      <c r="C17" s="541"/>
      <c r="D17" s="260">
        <v>2175.8000000000002</v>
      </c>
      <c r="E17" s="260">
        <v>2012</v>
      </c>
      <c r="F17" s="260">
        <v>2199.6</v>
      </c>
      <c r="G17" s="260">
        <f t="shared" si="0"/>
        <v>2139.4999999999991</v>
      </c>
      <c r="H17" s="272">
        <v>8526.9</v>
      </c>
      <c r="I17" s="260">
        <v>2236.4</v>
      </c>
      <c r="J17" s="260">
        <v>1997.7</v>
      </c>
      <c r="K17" s="260">
        <v>1484</v>
      </c>
      <c r="L17" s="260">
        <v>1976.8</v>
      </c>
      <c r="M17" s="449">
        <f>SUM(I17:L17)</f>
        <v>7694.9000000000005</v>
      </c>
      <c r="N17" s="260">
        <v>2049.1</v>
      </c>
      <c r="O17" s="260">
        <v>1992.4</v>
      </c>
      <c r="P17" s="260">
        <v>2206</v>
      </c>
      <c r="Q17" s="260">
        <f>+Q69+Q104+Q121+Q136</f>
        <v>2455.9256015367109</v>
      </c>
      <c r="R17" s="449">
        <f>SUM(N17:Q17)</f>
        <v>8703.42560153671</v>
      </c>
      <c r="S17" s="260">
        <f>+S69+S104+S121+S136</f>
        <v>2299.2436187615917</v>
      </c>
      <c r="T17" s="260">
        <f>+T69+T104+T121+T136</f>
        <v>2281.6806865337876</v>
      </c>
      <c r="U17" s="260">
        <f>+U69+U104+U121+U136</f>
        <v>2524.7402105831688</v>
      </c>
      <c r="V17" s="260">
        <f>+V69+V104+V121+V136</f>
        <v>2512.1123993559631</v>
      </c>
      <c r="W17" s="449">
        <f>SUM(S17:V17)</f>
        <v>9617.7769152345099</v>
      </c>
      <c r="X17" s="260">
        <f>+X69+X104+X121+X136</f>
        <v>2454.5056162377041</v>
      </c>
      <c r="Y17" s="260">
        <f>+Y69+Y104+Y121+Y136</f>
        <v>2468.0593132126173</v>
      </c>
      <c r="Z17" s="260">
        <f>+Z69+Z104+Z121+Z136</f>
        <v>2782.1870449662251</v>
      </c>
      <c r="AA17" s="260">
        <f>+AA69+AA104+AA121+AA136</f>
        <v>2707.594753715241</v>
      </c>
      <c r="AB17" s="170">
        <f>SUM(X17:AA17)</f>
        <v>10412.346728131788</v>
      </c>
      <c r="AC17" s="260">
        <f>+AC69+AC104+AC121+AC136</f>
        <v>2630.4249224859959</v>
      </c>
      <c r="AD17" s="260">
        <f>+AD69+AD104+AD121+AD136</f>
        <v>2654.2368523137688</v>
      </c>
      <c r="AE17" s="260">
        <f>+AE69+AE104+AE121+AE136</f>
        <v>2998.0359755554769</v>
      </c>
      <c r="AF17" s="260">
        <f>+AF69+AF104+AF121+AF136</f>
        <v>2925.9732263210453</v>
      </c>
      <c r="AG17" s="170">
        <f>SUM(AC17:AF17)</f>
        <v>11208.670976676287</v>
      </c>
      <c r="AH17" s="260">
        <f>+AH69+AH104+AH121+AH136</f>
        <v>2838.0808402760663</v>
      </c>
      <c r="AI17" s="260">
        <f>+AI69+AI104+AI121+AI136</f>
        <v>2862.8936515425476</v>
      </c>
      <c r="AJ17" s="260">
        <f>+AJ69+AJ104+AJ121+AJ136</f>
        <v>3230.1355288483323</v>
      </c>
      <c r="AK17" s="260">
        <f>+AK69+AK104+AK121+AK136</f>
        <v>3153.7405925210469</v>
      </c>
      <c r="AL17" s="170">
        <f>SUM(AH17:AK17)</f>
        <v>12084.850613187991</v>
      </c>
      <c r="AM17" s="260">
        <f>+AM69+AM104+AM121+AM136</f>
        <v>3061.2866985254991</v>
      </c>
      <c r="AN17" s="260">
        <f>+AN69+AN104+AN121+AN136</f>
        <v>3086.3315976167023</v>
      </c>
      <c r="AO17" s="260">
        <f>+AO69+AO104+AO121+AO136</f>
        <v>3476.9543651770568</v>
      </c>
      <c r="AP17" s="260">
        <f>+AP69+AP104+AP121+AP136</f>
        <v>3394.7613909065317</v>
      </c>
      <c r="AQ17" s="170">
        <f>SUM(AM17:AP17)</f>
        <v>13019.334052225789</v>
      </c>
    </row>
    <row r="18" spans="1:43" outlineLevel="1" x14ac:dyDescent="0.25">
      <c r="A18" s="253"/>
      <c r="B18" s="405" t="s">
        <v>141</v>
      </c>
      <c r="C18" s="322"/>
      <c r="D18" s="260">
        <v>2586.8000000000002</v>
      </c>
      <c r="E18" s="260">
        <v>2554.1</v>
      </c>
      <c r="F18" s="260">
        <v>2643.2</v>
      </c>
      <c r="G18" s="260">
        <f t="shared" si="0"/>
        <v>2709.5000000000009</v>
      </c>
      <c r="H18" s="272">
        <v>10493.6</v>
      </c>
      <c r="I18" s="260">
        <v>2821.5</v>
      </c>
      <c r="J18" s="260">
        <v>2721.4</v>
      </c>
      <c r="K18" s="260">
        <v>2537.8000000000002</v>
      </c>
      <c r="L18" s="169">
        <v>2683.4</v>
      </c>
      <c r="M18" s="170">
        <f t="shared" ref="M18:M21" si="11">SUM(I18:L18)</f>
        <v>10764.1</v>
      </c>
      <c r="N18" s="169">
        <v>2867.3</v>
      </c>
      <c r="O18" s="260">
        <v>2823.3</v>
      </c>
      <c r="P18" s="260">
        <v>2966.9</v>
      </c>
      <c r="Q18" s="260">
        <f>+Q71+Q106</f>
        <v>3273.795231703647</v>
      </c>
      <c r="R18" s="449">
        <f t="shared" ref="R18:R21" si="12">SUM(N18:Q18)</f>
        <v>11931.295231703647</v>
      </c>
      <c r="S18" s="169">
        <f>+S71+S106</f>
        <v>2987.40358525795</v>
      </c>
      <c r="T18" s="169">
        <f>+T71+T106</f>
        <v>2900.9073490885821</v>
      </c>
      <c r="U18" s="169">
        <f>+U71+U106</f>
        <v>3263.4457558444437</v>
      </c>
      <c r="V18" s="169">
        <f>+V71+V106</f>
        <v>3234.8844148085714</v>
      </c>
      <c r="W18" s="449">
        <f t="shared" ref="W18:W21" si="13">SUM(S18:V18)</f>
        <v>12386.641104999548</v>
      </c>
      <c r="X18" s="169">
        <f>+X71+X106</f>
        <v>3162.1722320395306</v>
      </c>
      <c r="Y18" s="169">
        <f>+Y71+Y106</f>
        <v>3123.7170258428014</v>
      </c>
      <c r="Z18" s="169">
        <f>+Z71+Z106</f>
        <v>3607.2614977635999</v>
      </c>
      <c r="AA18" s="169">
        <f>+AA71+AA106</f>
        <v>3509.3701734149408</v>
      </c>
      <c r="AB18" s="170">
        <f t="shared" ref="AB18:AB21" si="14">SUM(X18:AA18)</f>
        <v>13402.520929060873</v>
      </c>
      <c r="AC18" s="169">
        <f>+AC71+AC106</f>
        <v>3385.5673696744639</v>
      </c>
      <c r="AD18" s="169">
        <f>+AD71+AD106</f>
        <v>3357.6112070626168</v>
      </c>
      <c r="AE18" s="169">
        <f>+AE71+AE106</f>
        <v>3888.8745360979683</v>
      </c>
      <c r="AF18" s="169">
        <f>+AF71+AF106</f>
        <v>3793.5208189956788</v>
      </c>
      <c r="AG18" s="170">
        <f t="shared" ref="AG18:AG22" si="15">SUM(AC18:AF18)</f>
        <v>14425.573931830728</v>
      </c>
      <c r="AH18" s="169">
        <f>+AH71+AH106</f>
        <v>3657.8704222635802</v>
      </c>
      <c r="AI18" s="169">
        <f>+AI71+AI106</f>
        <v>3625.7061132288545</v>
      </c>
      <c r="AJ18" s="169">
        <f>+AJ71+AJ106</f>
        <v>4196.7978843014434</v>
      </c>
      <c r="AK18" s="169">
        <f>+AK71+AK106</f>
        <v>4095.0323985220598</v>
      </c>
      <c r="AL18" s="170">
        <f t="shared" ref="AL18:AL22" si="16">SUM(AH18:AK18)</f>
        <v>15575.40681831594</v>
      </c>
      <c r="AM18" s="169">
        <f>+AM71+AM106</f>
        <v>3950.5122085435919</v>
      </c>
      <c r="AN18" s="169">
        <f>+AN71+AN106</f>
        <v>3912.1545926701206</v>
      </c>
      <c r="AO18" s="169">
        <f>+AO71+AO106</f>
        <v>4524.0352202117265</v>
      </c>
      <c r="AP18" s="169">
        <f>+AP71+AP106</f>
        <v>4414.1282487419921</v>
      </c>
      <c r="AQ18" s="170">
        <f t="shared" ref="AQ18:AQ22" si="17">SUM(AM18:AP18)</f>
        <v>16800.830270167433</v>
      </c>
    </row>
    <row r="19" spans="1:43" outlineLevel="1" x14ac:dyDescent="0.25">
      <c r="A19" s="253"/>
      <c r="B19" s="405" t="s">
        <v>142</v>
      </c>
      <c r="C19" s="322"/>
      <c r="D19" s="260">
        <v>97.6</v>
      </c>
      <c r="E19" s="260">
        <v>87.1</v>
      </c>
      <c r="F19" s="260">
        <v>94.4</v>
      </c>
      <c r="G19" s="260">
        <f t="shared" si="0"/>
        <v>91.900000000000034</v>
      </c>
      <c r="H19" s="272">
        <v>371</v>
      </c>
      <c r="I19" s="260">
        <v>101.8</v>
      </c>
      <c r="J19" s="260">
        <v>95</v>
      </c>
      <c r="K19" s="260">
        <v>133.6</v>
      </c>
      <c r="L19" s="169">
        <v>99.9</v>
      </c>
      <c r="M19" s="170">
        <f t="shared" si="11"/>
        <v>430.29999999999995</v>
      </c>
      <c r="N19" s="169">
        <v>91.8</v>
      </c>
      <c r="O19" s="260">
        <v>87.7</v>
      </c>
      <c r="P19" s="260">
        <v>71.400000000000006</v>
      </c>
      <c r="Q19" s="260">
        <f>+Q73+Q108+Q123+Q137</f>
        <v>97.893434680266338</v>
      </c>
      <c r="R19" s="449">
        <f t="shared" si="12"/>
        <v>348.79343468026633</v>
      </c>
      <c r="S19" s="169">
        <f>+S73+S108+S123+S137</f>
        <v>93.086303561990135</v>
      </c>
      <c r="T19" s="169">
        <f>+T73+T108+T123+T137</f>
        <v>90.459396332187424</v>
      </c>
      <c r="U19" s="169">
        <f>+U73+U108+U123+U137</f>
        <v>99.91531423763</v>
      </c>
      <c r="V19" s="169">
        <f>+V73+V108+V123+V137</f>
        <v>101.13108318922464</v>
      </c>
      <c r="W19" s="449">
        <f t="shared" si="13"/>
        <v>384.59209732103221</v>
      </c>
      <c r="X19" s="169">
        <f>+X73+X108+X123+X137</f>
        <v>101.34592338111665</v>
      </c>
      <c r="Y19" s="169">
        <f>+Y73+Y108+Y123+Y137</f>
        <v>99.303989893343029</v>
      </c>
      <c r="Z19" s="169">
        <f>+Z73+Z108+Z123+Z137</f>
        <v>108.99813203731946</v>
      </c>
      <c r="AA19" s="169">
        <f>+AA73+AA108+AA123+AA137</f>
        <v>109.84508598442795</v>
      </c>
      <c r="AB19" s="170">
        <f t="shared" si="14"/>
        <v>419.49313129620708</v>
      </c>
      <c r="AC19" s="169">
        <f>+AC73+AC108+AC123+AC137</f>
        <v>108.57893207263557</v>
      </c>
      <c r="AD19" s="169">
        <f>+AD73+AD108+AD123+AD137</f>
        <v>106.91596898509812</v>
      </c>
      <c r="AE19" s="169">
        <f>+AE73+AE108+AE123+AE137</f>
        <v>117.70717770612247</v>
      </c>
      <c r="AF19" s="169">
        <f>+AF73+AF108+AF123+AF137</f>
        <v>119.10649896870231</v>
      </c>
      <c r="AG19" s="170">
        <f t="shared" si="15"/>
        <v>452.30857773255843</v>
      </c>
      <c r="AH19" s="169">
        <f>+AH73+AH108+AH123+AH137</f>
        <v>117.8323145745937</v>
      </c>
      <c r="AI19" s="169">
        <f>+AI73+AI108+AI123+AI137</f>
        <v>116.02382235865787</v>
      </c>
      <c r="AJ19" s="169">
        <f>+AJ73+AJ108+AJ123+AJ137</f>
        <v>127.53610416019744</v>
      </c>
      <c r="AK19" s="169">
        <f>+AK73+AK108+AK123+AK137</f>
        <v>129.09702414560175</v>
      </c>
      <c r="AL19" s="170">
        <f t="shared" si="16"/>
        <v>490.48926523905072</v>
      </c>
      <c r="AM19" s="169">
        <f>+AM73+AM108+AM123+AM137</f>
        <v>127.83964062117907</v>
      </c>
      <c r="AN19" s="169">
        <f>+AN73+AN108+AN123+AN137</f>
        <v>125.82722632522794</v>
      </c>
      <c r="AO19" s="169">
        <f>+AO73+AO108+AO123+AO137</f>
        <v>138.00999492376729</v>
      </c>
      <c r="AP19" s="169">
        <f>+AP73+AP108+AP123+AP137</f>
        <v>139.66356315376603</v>
      </c>
      <c r="AQ19" s="170">
        <f t="shared" si="17"/>
        <v>531.34042502394038</v>
      </c>
    </row>
    <row r="20" spans="1:43" outlineLevel="1" x14ac:dyDescent="0.25">
      <c r="A20" s="253"/>
      <c r="B20" s="405" t="s">
        <v>143</v>
      </c>
      <c r="C20" s="322"/>
      <c r="D20" s="260">
        <v>333.4</v>
      </c>
      <c r="E20" s="260">
        <v>356.2</v>
      </c>
      <c r="F20" s="260">
        <v>343.1</v>
      </c>
      <c r="G20" s="260">
        <f t="shared" si="0"/>
        <v>344.5999999999998</v>
      </c>
      <c r="H20" s="272">
        <v>1377.3</v>
      </c>
      <c r="I20" s="260">
        <v>351</v>
      </c>
      <c r="J20" s="260">
        <v>356.3</v>
      </c>
      <c r="K20" s="260">
        <v>361</v>
      </c>
      <c r="L20" s="169">
        <v>362.9</v>
      </c>
      <c r="M20" s="170">
        <f t="shared" ref="M20" si="18">SUM(I20:L20)</f>
        <v>1431.1999999999998</v>
      </c>
      <c r="N20" s="169">
        <v>366.1</v>
      </c>
      <c r="O20" s="260">
        <v>366.7</v>
      </c>
      <c r="P20" s="260">
        <v>354.3</v>
      </c>
      <c r="Q20" s="260">
        <f t="shared" ref="Q20:Q21" si="19">+Q75+Q110+Q125+Q138</f>
        <v>378.89745207839951</v>
      </c>
      <c r="R20" s="449">
        <f t="shared" ref="R20" si="20">SUM(N20:Q20)</f>
        <v>1465.9974520783994</v>
      </c>
      <c r="S20" s="169">
        <f t="shared" ref="S20:V21" si="21">+S75+S110+S125+S138</f>
        <v>400.52427786249723</v>
      </c>
      <c r="T20" s="169">
        <f t="shared" si="21"/>
        <v>403.4203944481585</v>
      </c>
      <c r="U20" s="169">
        <f t="shared" si="21"/>
        <v>405.02121404725989</v>
      </c>
      <c r="V20" s="169">
        <f t="shared" si="21"/>
        <v>412.7385179188372</v>
      </c>
      <c r="W20" s="449">
        <f t="shared" ref="W20" si="22">SUM(S20:V20)</f>
        <v>1621.7044042767529</v>
      </c>
      <c r="X20" s="169">
        <f t="shared" ref="X20:AA21" si="23">+X75+X110+X125+X138</f>
        <v>417.83336324427773</v>
      </c>
      <c r="Y20" s="169">
        <f t="shared" si="23"/>
        <v>420.11617631644282</v>
      </c>
      <c r="Z20" s="169">
        <f t="shared" si="23"/>
        <v>422.01625378589165</v>
      </c>
      <c r="AA20" s="169">
        <f t="shared" si="23"/>
        <v>427.77555617049995</v>
      </c>
      <c r="AB20" s="170">
        <f t="shared" ref="AB20" si="24">SUM(X20:AA20)</f>
        <v>1687.7413495171122</v>
      </c>
      <c r="AC20" s="169">
        <f t="shared" ref="AC20:AF21" si="25">+AC75+AC110+AC125+AC138</f>
        <v>431.50994200095181</v>
      </c>
      <c r="AD20" s="169">
        <f t="shared" si="25"/>
        <v>432.54817733252219</v>
      </c>
      <c r="AE20" s="169">
        <f t="shared" si="25"/>
        <v>433.25544491133121</v>
      </c>
      <c r="AF20" s="169">
        <f t="shared" si="25"/>
        <v>437.59878803120256</v>
      </c>
      <c r="AG20" s="170">
        <f t="shared" si="15"/>
        <v>1734.9123522760076</v>
      </c>
      <c r="AH20" s="169">
        <f t="shared" ref="AH20:AK21" si="26">+AH75+AH110+AH125+AH138</f>
        <v>441.91289865395794</v>
      </c>
      <c r="AI20" s="169">
        <f t="shared" si="26"/>
        <v>444.65866680116761</v>
      </c>
      <c r="AJ20" s="169">
        <f t="shared" si="26"/>
        <v>446.90813081802116</v>
      </c>
      <c r="AK20" s="169">
        <f t="shared" si="26"/>
        <v>452.96483530264993</v>
      </c>
      <c r="AL20" s="170">
        <f t="shared" si="16"/>
        <v>1786.4445315757966</v>
      </c>
      <c r="AM20" s="169">
        <f t="shared" ref="AM20:AP20" si="27">+AM75+AM110+AM125+AM138</f>
        <v>458.5962088017269</v>
      </c>
      <c r="AN20" s="169">
        <f t="shared" si="27"/>
        <v>462.74115529854953</v>
      </c>
      <c r="AO20" s="169">
        <f t="shared" si="27"/>
        <v>466.24206585883525</v>
      </c>
      <c r="AP20" s="169">
        <f t="shared" si="27"/>
        <v>473.70432379278157</v>
      </c>
      <c r="AQ20" s="170">
        <f t="shared" si="17"/>
        <v>1861.2837537518931</v>
      </c>
    </row>
    <row r="21" spans="1:43" ht="17.25" customHeight="1" outlineLevel="1" x14ac:dyDescent="0.25">
      <c r="A21" s="253"/>
      <c r="B21" s="405" t="s">
        <v>245</v>
      </c>
      <c r="C21" s="322"/>
      <c r="D21" s="260">
        <v>448</v>
      </c>
      <c r="E21" s="260">
        <v>458.1</v>
      </c>
      <c r="F21" s="260">
        <v>459.7</v>
      </c>
      <c r="G21" s="260">
        <f t="shared" si="0"/>
        <v>458.29999999999984</v>
      </c>
      <c r="H21" s="272">
        <v>1824.1</v>
      </c>
      <c r="I21" s="260">
        <v>434.2</v>
      </c>
      <c r="J21" s="260">
        <v>406.5</v>
      </c>
      <c r="K21" s="260">
        <v>399.9</v>
      </c>
      <c r="L21" s="169">
        <v>439</v>
      </c>
      <c r="M21" s="272">
        <f t="shared" si="11"/>
        <v>1679.6</v>
      </c>
      <c r="N21" s="169">
        <v>472.1</v>
      </c>
      <c r="O21" s="260">
        <v>464.4</v>
      </c>
      <c r="P21" s="260">
        <v>494.9</v>
      </c>
      <c r="Q21" s="260">
        <f t="shared" si="19"/>
        <v>477.37707251474291</v>
      </c>
      <c r="R21" s="449">
        <f t="shared" si="12"/>
        <v>1908.7770725147429</v>
      </c>
      <c r="S21" s="169">
        <f t="shared" si="21"/>
        <v>488.21256574420954</v>
      </c>
      <c r="T21" s="169">
        <f t="shared" si="21"/>
        <v>500.21109419475954</v>
      </c>
      <c r="U21" s="169">
        <f t="shared" si="21"/>
        <v>521.6691701191005</v>
      </c>
      <c r="V21" s="169">
        <f t="shared" si="21"/>
        <v>498.83130295143724</v>
      </c>
      <c r="W21" s="449">
        <f t="shared" si="13"/>
        <v>2008.9241330095067</v>
      </c>
      <c r="X21" s="169">
        <f t="shared" si="23"/>
        <v>501.65781896374978</v>
      </c>
      <c r="Y21" s="169">
        <f t="shared" si="23"/>
        <v>517.40137984141529</v>
      </c>
      <c r="Z21" s="169">
        <f t="shared" si="23"/>
        <v>537.92810398423671</v>
      </c>
      <c r="AA21" s="169">
        <f t="shared" si="23"/>
        <v>516.91014502448286</v>
      </c>
      <c r="AB21" s="170">
        <f t="shared" si="14"/>
        <v>2073.8974478138848</v>
      </c>
      <c r="AC21" s="169">
        <f t="shared" si="25"/>
        <v>515.3613329739793</v>
      </c>
      <c r="AD21" s="169">
        <f t="shared" si="25"/>
        <v>533.78296656994451</v>
      </c>
      <c r="AE21" s="169">
        <f t="shared" si="25"/>
        <v>556.88529730509515</v>
      </c>
      <c r="AF21" s="169">
        <f t="shared" si="25"/>
        <v>536.1770505713057</v>
      </c>
      <c r="AG21" s="170">
        <f t="shared" si="15"/>
        <v>2142.2066474203248</v>
      </c>
      <c r="AH21" s="169">
        <f t="shared" si="26"/>
        <v>537.96064594827249</v>
      </c>
      <c r="AI21" s="169">
        <f t="shared" si="26"/>
        <v>557.62549309149665</v>
      </c>
      <c r="AJ21" s="169">
        <f t="shared" si="26"/>
        <v>582.85771572348949</v>
      </c>
      <c r="AK21" s="169">
        <f t="shared" si="26"/>
        <v>560.88383985103007</v>
      </c>
      <c r="AL21" s="170">
        <f t="shared" si="16"/>
        <v>2239.3276946142887</v>
      </c>
      <c r="AM21" s="169">
        <f t="shared" ref="AM21:AP21" si="28">+AM76+AM111+AM126+AM139</f>
        <v>558.99526446990637</v>
      </c>
      <c r="AN21" s="169">
        <f t="shared" si="28"/>
        <v>579.78073198990569</v>
      </c>
      <c r="AO21" s="169">
        <f t="shared" si="28"/>
        <v>606.3727381511984</v>
      </c>
      <c r="AP21" s="169">
        <f t="shared" si="28"/>
        <v>582.92672547496977</v>
      </c>
      <c r="AQ21" s="170">
        <f t="shared" si="17"/>
        <v>2328.0754600859805</v>
      </c>
    </row>
    <row r="22" spans="1:43" ht="17.25" customHeight="1" outlineLevel="1" x14ac:dyDescent="0.4">
      <c r="A22" s="253"/>
      <c r="B22" s="405" t="s">
        <v>152</v>
      </c>
      <c r="C22" s="322"/>
      <c r="D22" s="259">
        <v>43.2</v>
      </c>
      <c r="E22" s="259">
        <v>43</v>
      </c>
      <c r="F22" s="259">
        <v>37.700000000000003</v>
      </c>
      <c r="G22" s="259">
        <f t="shared" si="0"/>
        <v>11.900000000000006</v>
      </c>
      <c r="H22" s="281">
        <v>135.80000000000001</v>
      </c>
      <c r="I22" s="259">
        <v>6.3</v>
      </c>
      <c r="J22" s="259">
        <v>-0.7</v>
      </c>
      <c r="K22" s="259">
        <v>78.099999999999994</v>
      </c>
      <c r="L22" s="259">
        <v>195</v>
      </c>
      <c r="M22" s="174">
        <f t="shared" ref="M22" si="29">SUM(I22:L22)</f>
        <v>278.7</v>
      </c>
      <c r="N22" s="173">
        <v>72.2</v>
      </c>
      <c r="O22" s="259">
        <v>23</v>
      </c>
      <c r="P22" s="259">
        <v>19.8</v>
      </c>
      <c r="Q22" s="259">
        <f>+Q78+Q113+Q128+Q140</f>
        <v>5</v>
      </c>
      <c r="R22" s="452">
        <f t="shared" ref="R22" si="30">SUM(N22:Q22)</f>
        <v>120</v>
      </c>
      <c r="S22" s="173">
        <f>+S78+S113+S128+S140</f>
        <v>0</v>
      </c>
      <c r="T22" s="173">
        <f>+T78+T113+T128+T140</f>
        <v>0</v>
      </c>
      <c r="U22" s="173">
        <f>+U78+U113+U128+U140</f>
        <v>0</v>
      </c>
      <c r="V22" s="173">
        <f>+V78+V113+V128+V140</f>
        <v>0</v>
      </c>
      <c r="W22" s="452">
        <f t="shared" ref="W22" si="31">SUM(S22:V22)</f>
        <v>0</v>
      </c>
      <c r="X22" s="173">
        <f>+X78+X113+X128+X140</f>
        <v>0</v>
      </c>
      <c r="Y22" s="173">
        <f>+Y78+Y113+Y128+Y140</f>
        <v>0</v>
      </c>
      <c r="Z22" s="173">
        <f>+Z78+Z113+Z128+Z140</f>
        <v>0</v>
      </c>
      <c r="AA22" s="173">
        <f>+AA78+AA113+AA128+AA140</f>
        <v>0</v>
      </c>
      <c r="AB22" s="174">
        <f t="shared" ref="AB22" si="32">SUM(X22:AA22)</f>
        <v>0</v>
      </c>
      <c r="AC22" s="173">
        <f>+AC78+AC113+AC128+AC140</f>
        <v>0</v>
      </c>
      <c r="AD22" s="173">
        <f>+AD78+AD113+AD128+AD140</f>
        <v>0</v>
      </c>
      <c r="AE22" s="173">
        <f>+AE78+AE113+AE128+AE140</f>
        <v>0</v>
      </c>
      <c r="AF22" s="173">
        <f>+AF78+AF113+AF128+AF140</f>
        <v>0</v>
      </c>
      <c r="AG22" s="174">
        <f t="shared" si="15"/>
        <v>0</v>
      </c>
      <c r="AH22" s="173">
        <f>+AH78+AH113+AH128+AH140</f>
        <v>0</v>
      </c>
      <c r="AI22" s="173">
        <f>+AI78+AI113+AI128+AI140</f>
        <v>0</v>
      </c>
      <c r="AJ22" s="173">
        <f>+AJ78+AJ113+AJ128+AJ140</f>
        <v>0</v>
      </c>
      <c r="AK22" s="173">
        <f>+AK78+AK113+AK128+AK140</f>
        <v>0</v>
      </c>
      <c r="AL22" s="174">
        <f t="shared" si="16"/>
        <v>0</v>
      </c>
      <c r="AM22" s="173">
        <f>+AM78+AM113+AM128+AM140</f>
        <v>0</v>
      </c>
      <c r="AN22" s="173">
        <f>+AN78+AN113+AN128+AN140</f>
        <v>0</v>
      </c>
      <c r="AO22" s="173">
        <f>+AO78+AO113+AO128+AO140</f>
        <v>0</v>
      </c>
      <c r="AP22" s="173">
        <f>+AP78+AP113+AP128+AP140</f>
        <v>0</v>
      </c>
      <c r="AQ22" s="174">
        <f t="shared" si="17"/>
        <v>0</v>
      </c>
    </row>
    <row r="23" spans="1:43" s="40" customFormat="1" ht="17.25" customHeight="1" x14ac:dyDescent="0.4">
      <c r="A23" s="323"/>
      <c r="B23" s="324" t="s">
        <v>50</v>
      </c>
      <c r="C23" s="325"/>
      <c r="D23" s="261">
        <f t="shared" ref="D23:AL23" si="33">SUM(D18:D22)+D17</f>
        <v>5684.8</v>
      </c>
      <c r="E23" s="261">
        <f t="shared" si="33"/>
        <v>5510.5</v>
      </c>
      <c r="F23" s="261">
        <f t="shared" si="33"/>
        <v>5777.6999999999989</v>
      </c>
      <c r="G23" s="261">
        <f t="shared" si="33"/>
        <v>5755.7</v>
      </c>
      <c r="H23" s="295">
        <f t="shared" si="33"/>
        <v>22728.699999999997</v>
      </c>
      <c r="I23" s="261">
        <f t="shared" si="33"/>
        <v>5951.2000000000007</v>
      </c>
      <c r="J23" s="261">
        <f t="shared" si="33"/>
        <v>5576.2000000000007</v>
      </c>
      <c r="K23" s="261">
        <f t="shared" si="33"/>
        <v>4994.3999999999996</v>
      </c>
      <c r="L23" s="175">
        <f t="shared" si="33"/>
        <v>5757</v>
      </c>
      <c r="M23" s="176">
        <f t="shared" si="33"/>
        <v>22278.799999999999</v>
      </c>
      <c r="N23" s="175">
        <f t="shared" si="33"/>
        <v>5918.6</v>
      </c>
      <c r="O23" s="261">
        <f t="shared" si="33"/>
        <v>5757.5</v>
      </c>
      <c r="P23" s="261">
        <f t="shared" si="33"/>
        <v>6113.3000000000011</v>
      </c>
      <c r="Q23" s="261">
        <f t="shared" si="33"/>
        <v>6688.8887925137669</v>
      </c>
      <c r="R23" s="454">
        <f t="shared" si="33"/>
        <v>24478.288792513766</v>
      </c>
      <c r="S23" s="175">
        <f t="shared" si="33"/>
        <v>6268.4703511882381</v>
      </c>
      <c r="T23" s="175">
        <f t="shared" si="33"/>
        <v>6176.6789205974746</v>
      </c>
      <c r="U23" s="175">
        <f t="shared" si="33"/>
        <v>6814.7916648316032</v>
      </c>
      <c r="V23" s="175">
        <f t="shared" si="33"/>
        <v>6759.6977182240335</v>
      </c>
      <c r="W23" s="454">
        <f t="shared" si="33"/>
        <v>26019.63865484135</v>
      </c>
      <c r="X23" s="175">
        <f t="shared" si="33"/>
        <v>6637.5149538663791</v>
      </c>
      <c r="Y23" s="175">
        <f t="shared" si="33"/>
        <v>6628.5978851066193</v>
      </c>
      <c r="Z23" s="175">
        <f t="shared" si="33"/>
        <v>7458.3910325372726</v>
      </c>
      <c r="AA23" s="175">
        <f t="shared" si="33"/>
        <v>7271.4957143095926</v>
      </c>
      <c r="AB23" s="176">
        <f t="shared" si="33"/>
        <v>27995.999585819867</v>
      </c>
      <c r="AC23" s="175">
        <f t="shared" si="33"/>
        <v>7071.4424992080267</v>
      </c>
      <c r="AD23" s="175">
        <f t="shared" si="33"/>
        <v>7085.0951722639511</v>
      </c>
      <c r="AE23" s="175">
        <f t="shared" si="33"/>
        <v>7994.7584315759941</v>
      </c>
      <c r="AF23" s="175">
        <f t="shared" si="33"/>
        <v>7812.3763828879346</v>
      </c>
      <c r="AG23" s="176">
        <f t="shared" si="33"/>
        <v>29963.672485935906</v>
      </c>
      <c r="AH23" s="175">
        <f t="shared" si="33"/>
        <v>7593.657121716471</v>
      </c>
      <c r="AI23" s="175">
        <f t="shared" si="33"/>
        <v>7606.9077470227239</v>
      </c>
      <c r="AJ23" s="175">
        <f t="shared" si="33"/>
        <v>8584.2353638514833</v>
      </c>
      <c r="AK23" s="175">
        <f t="shared" si="33"/>
        <v>8391.7186903423881</v>
      </c>
      <c r="AL23" s="176">
        <f t="shared" si="33"/>
        <v>32176.518922933064</v>
      </c>
      <c r="AM23" s="175">
        <f t="shared" ref="AM23:AQ23" si="34">SUM(AM18:AM22)+AM17</f>
        <v>8157.2300209619025</v>
      </c>
      <c r="AN23" s="175">
        <f t="shared" si="34"/>
        <v>8166.835303900506</v>
      </c>
      <c r="AO23" s="175">
        <f t="shared" si="34"/>
        <v>9211.6143843225836</v>
      </c>
      <c r="AP23" s="175">
        <f t="shared" si="34"/>
        <v>9005.1842520700411</v>
      </c>
      <c r="AQ23" s="176">
        <f t="shared" si="34"/>
        <v>34540.863961255032</v>
      </c>
    </row>
    <row r="24" spans="1:43" s="43" customFormat="1" ht="17.25" customHeight="1" x14ac:dyDescent="0.4">
      <c r="A24" s="306"/>
      <c r="B24" s="542" t="s">
        <v>145</v>
      </c>
      <c r="C24" s="543"/>
      <c r="D24" s="259">
        <v>67.8</v>
      </c>
      <c r="E24" s="259">
        <v>62.3</v>
      </c>
      <c r="F24" s="259">
        <v>76</v>
      </c>
      <c r="G24" s="259">
        <f t="shared" si="0"/>
        <v>91.899999999999991</v>
      </c>
      <c r="H24" s="281">
        <v>298</v>
      </c>
      <c r="I24" s="259">
        <v>73.900000000000006</v>
      </c>
      <c r="J24" s="259">
        <v>67.900000000000006</v>
      </c>
      <c r="K24" s="259">
        <v>68.400000000000006</v>
      </c>
      <c r="L24" s="173">
        <v>112.2</v>
      </c>
      <c r="M24" s="174">
        <f t="shared" ref="M24" si="35">SUM(I24:L24)</f>
        <v>322.40000000000003</v>
      </c>
      <c r="N24" s="173">
        <v>82.7</v>
      </c>
      <c r="O24" s="259">
        <v>77.099999999999994</v>
      </c>
      <c r="P24" s="259">
        <v>105.5</v>
      </c>
      <c r="Q24" s="259">
        <f>+Q115+Q130</f>
        <v>94.375</v>
      </c>
      <c r="R24" s="452">
        <f t="shared" ref="R24" si="36">SUM(N24:Q24)</f>
        <v>359.67500000000001</v>
      </c>
      <c r="S24" s="173">
        <f>+S115+S130</f>
        <v>89.918750000000003</v>
      </c>
      <c r="T24" s="173">
        <f>+T115+T130</f>
        <v>91.723437500000017</v>
      </c>
      <c r="U24" s="173">
        <f>+U115+U130</f>
        <v>95.379296874999994</v>
      </c>
      <c r="V24" s="173">
        <f>+V115+V130</f>
        <v>92.84912109375</v>
      </c>
      <c r="W24" s="452">
        <f t="shared" ref="W24" si="37">SUM(S24:V24)</f>
        <v>369.87060546875</v>
      </c>
      <c r="X24" s="173">
        <f>+X115+X130</f>
        <v>92.4676513671875</v>
      </c>
      <c r="Y24" s="173">
        <f>+Y115+Y130</f>
        <v>93.104876708984364</v>
      </c>
      <c r="Z24" s="173">
        <f>+Z115+Z130</f>
        <v>93.450236511230472</v>
      </c>
      <c r="AA24" s="173">
        <f>+AA115+AA130</f>
        <v>92.96797142028808</v>
      </c>
      <c r="AB24" s="174">
        <f t="shared" ref="AB24" si="38">SUM(X24:AA24)</f>
        <v>371.99073600769043</v>
      </c>
      <c r="AC24" s="173">
        <f>+AC115+AC130</f>
        <v>92.997684001922607</v>
      </c>
      <c r="AD24" s="173">
        <f>+AD115+AD130</f>
        <v>93.130192160606384</v>
      </c>
      <c r="AE24" s="173">
        <f>+AE115+AE130</f>
        <v>93.136521023511875</v>
      </c>
      <c r="AF24" s="173">
        <f>+AF115+AF130</f>
        <v>93.058092151582244</v>
      </c>
      <c r="AG24" s="174">
        <f t="shared" ref="AG24" si="39">SUM(AC24:AF24)</f>
        <v>372.3224893376231</v>
      </c>
      <c r="AH24" s="173">
        <f>+AH115+AH130</f>
        <v>93.080622334405774</v>
      </c>
      <c r="AI24" s="173">
        <f>+AI115+AI130</f>
        <v>93.101356917526573</v>
      </c>
      <c r="AJ24" s="173">
        <f>+AJ115+AJ130</f>
        <v>93.09414810675662</v>
      </c>
      <c r="AK24" s="173">
        <f>+AK115+AK130</f>
        <v>93.083554877567792</v>
      </c>
      <c r="AL24" s="174">
        <f t="shared" ref="AL24" si="40">SUM(AH24:AK24)</f>
        <v>372.35968223625679</v>
      </c>
      <c r="AM24" s="173">
        <f>+AM115+AM130</f>
        <v>93.089920559064197</v>
      </c>
      <c r="AN24" s="173">
        <f>+AN115+AN130</f>
        <v>93.092245115228792</v>
      </c>
      <c r="AO24" s="173">
        <f>+AO115+AO130</f>
        <v>93.089967164654354</v>
      </c>
      <c r="AP24" s="173">
        <f>+AP115+AP130</f>
        <v>93.088921929128787</v>
      </c>
      <c r="AQ24" s="174">
        <f t="shared" ref="AQ24" si="41">SUM(AM24:AP24)</f>
        <v>372.36105476807614</v>
      </c>
    </row>
    <row r="25" spans="1:43" x14ac:dyDescent="0.25">
      <c r="A25" s="253"/>
      <c r="B25" s="326" t="s">
        <v>66</v>
      </c>
      <c r="C25" s="327"/>
      <c r="D25" s="258">
        <f t="shared" ref="D25:AL25" si="42">D16-D23+D24</f>
        <v>1015.7000000000005</v>
      </c>
      <c r="E25" s="258">
        <f t="shared" si="42"/>
        <v>857.69999999999959</v>
      </c>
      <c r="F25" s="258">
        <f t="shared" si="42"/>
        <v>1121.3000000000011</v>
      </c>
      <c r="G25" s="258">
        <f t="shared" si="42"/>
        <v>1083.2000000000012</v>
      </c>
      <c r="H25" s="273">
        <f t="shared" si="42"/>
        <v>4077.9000000000051</v>
      </c>
      <c r="I25" s="258">
        <f t="shared" si="42"/>
        <v>1219.7999999999988</v>
      </c>
      <c r="J25" s="258">
        <f t="shared" si="42"/>
        <v>487.39999999999907</v>
      </c>
      <c r="K25" s="258">
        <f t="shared" si="42"/>
        <v>-703.8999999999993</v>
      </c>
      <c r="L25" s="171">
        <f t="shared" si="42"/>
        <v>558.30000000000041</v>
      </c>
      <c r="M25" s="172">
        <f t="shared" si="42"/>
        <v>1561.6000000000045</v>
      </c>
      <c r="N25" s="171">
        <f t="shared" si="42"/>
        <v>913.50000000000023</v>
      </c>
      <c r="O25" s="258">
        <f t="shared" si="42"/>
        <v>987.6</v>
      </c>
      <c r="P25" s="258">
        <f t="shared" si="42"/>
        <v>1488.6999999999989</v>
      </c>
      <c r="Q25" s="258">
        <f t="shared" si="42"/>
        <v>1530.8545927632804</v>
      </c>
      <c r="R25" s="450">
        <f t="shared" si="42"/>
        <v>4920.6545927632806</v>
      </c>
      <c r="S25" s="171">
        <f t="shared" si="42"/>
        <v>1264.9053804456637</v>
      </c>
      <c r="T25" s="171">
        <f t="shared" si="42"/>
        <v>1132.2289583833565</v>
      </c>
      <c r="U25" s="171">
        <f t="shared" si="42"/>
        <v>1475.7500690094062</v>
      </c>
      <c r="V25" s="171">
        <f t="shared" si="42"/>
        <v>1523.7341608024099</v>
      </c>
      <c r="W25" s="450">
        <f t="shared" si="42"/>
        <v>5396.6185686408353</v>
      </c>
      <c r="X25" s="171">
        <f t="shared" si="42"/>
        <v>1454.8578536591785</v>
      </c>
      <c r="Y25" s="171">
        <f t="shared" si="42"/>
        <v>1337.887558789743</v>
      </c>
      <c r="Z25" s="171">
        <f t="shared" si="42"/>
        <v>1539.472800534769</v>
      </c>
      <c r="AA25" s="171">
        <f t="shared" si="42"/>
        <v>1682.60109982516</v>
      </c>
      <c r="AB25" s="172">
        <f t="shared" si="42"/>
        <v>6014.819312808846</v>
      </c>
      <c r="AC25" s="171">
        <f t="shared" si="42"/>
        <v>1580.6849828274708</v>
      </c>
      <c r="AD25" s="171">
        <f t="shared" si="42"/>
        <v>1464.21006357244</v>
      </c>
      <c r="AE25" s="171">
        <f t="shared" si="42"/>
        <v>1682.4693401496818</v>
      </c>
      <c r="AF25" s="171">
        <f t="shared" si="42"/>
        <v>1840.6169250893138</v>
      </c>
      <c r="AG25" s="172">
        <f t="shared" si="42"/>
        <v>6567.9813116389068</v>
      </c>
      <c r="AH25" s="171">
        <f t="shared" si="42"/>
        <v>1740.9878201924489</v>
      </c>
      <c r="AI25" s="171">
        <f t="shared" si="42"/>
        <v>1616.1455916048526</v>
      </c>
      <c r="AJ25" s="171">
        <f t="shared" si="42"/>
        <v>1844.1922021353203</v>
      </c>
      <c r="AK25" s="171">
        <f t="shared" si="42"/>
        <v>2011.3260687245395</v>
      </c>
      <c r="AL25" s="172">
        <f t="shared" si="42"/>
        <v>7212.6516826571578</v>
      </c>
      <c r="AM25" s="171">
        <f t="shared" ref="AM25:AQ25" si="43">AM16-AM23+AM24</f>
        <v>1909.949966145133</v>
      </c>
      <c r="AN25" s="171">
        <f t="shared" si="43"/>
        <v>1776.962210930224</v>
      </c>
      <c r="AO25" s="171">
        <f t="shared" si="43"/>
        <v>2014.8683877633953</v>
      </c>
      <c r="AP25" s="171">
        <f t="shared" si="43"/>
        <v>2190.7009462601559</v>
      </c>
      <c r="AQ25" s="172">
        <f t="shared" si="43"/>
        <v>7892.4815110989111</v>
      </c>
    </row>
    <row r="26" spans="1:43" ht="17.25" x14ac:dyDescent="0.4">
      <c r="A26" s="253"/>
      <c r="B26" s="292" t="s">
        <v>194</v>
      </c>
      <c r="C26" s="222"/>
      <c r="D26" s="262">
        <f>+D179</f>
        <v>138</v>
      </c>
      <c r="E26" s="262">
        <f>+E179</f>
        <v>141.4</v>
      </c>
      <c r="F26" s="262">
        <f>+F179</f>
        <v>125.30000000000001</v>
      </c>
      <c r="G26" s="262">
        <f>+G179</f>
        <v>77.399999999999991</v>
      </c>
      <c r="H26" s="331">
        <f>SUM(D26:G26)</f>
        <v>482.09999999999997</v>
      </c>
      <c r="I26" s="262">
        <f>+I179</f>
        <v>71.599999999999994</v>
      </c>
      <c r="J26" s="262">
        <f>+J179</f>
        <v>66.8</v>
      </c>
      <c r="K26" s="262">
        <f>+K179</f>
        <v>173.67999999999998</v>
      </c>
      <c r="L26" s="223">
        <f>+L179</f>
        <v>259.5</v>
      </c>
      <c r="M26" s="224">
        <f>SUM(I26:L26)</f>
        <v>571.57999999999993</v>
      </c>
      <c r="N26" s="262">
        <f>+N179</f>
        <v>134.9</v>
      </c>
      <c r="O26" s="262">
        <f>+O179</f>
        <v>88.2</v>
      </c>
      <c r="P26" s="262">
        <f>+P179</f>
        <v>51.7</v>
      </c>
      <c r="Q26" s="262">
        <f>+Q179</f>
        <v>51.7</v>
      </c>
      <c r="R26" s="455">
        <f>SUM(N26:Q26)</f>
        <v>326.5</v>
      </c>
      <c r="S26" s="223">
        <f>+S179</f>
        <v>112.26</v>
      </c>
      <c r="T26" s="223">
        <f>+T179</f>
        <v>117.34250000000002</v>
      </c>
      <c r="U26" s="223">
        <f>+U179</f>
        <v>123.6603125</v>
      </c>
      <c r="V26" s="223">
        <f>+V179</f>
        <v>117.4078515625</v>
      </c>
      <c r="W26" s="455">
        <f>SUM(S26:V26)</f>
        <v>470.67066406250001</v>
      </c>
      <c r="X26" s="223">
        <f>+X179</f>
        <v>99.646333007812501</v>
      </c>
      <c r="Y26" s="223">
        <f>+Y179</f>
        <v>95.239624633789063</v>
      </c>
      <c r="Z26" s="223">
        <f>+Z179</f>
        <v>96.119577713012703</v>
      </c>
      <c r="AA26" s="223">
        <f>+AA179</f>
        <v>101.67202492713929</v>
      </c>
      <c r="AB26" s="224">
        <f>SUM(X26:AA26)</f>
        <v>392.67756028175359</v>
      </c>
      <c r="AC26" s="223">
        <f t="shared" ref="AC26:AF26" si="44">+AC179</f>
        <v>107.9185280430317</v>
      </c>
      <c r="AD26" s="223">
        <f t="shared" si="44"/>
        <v>107.37584404841067</v>
      </c>
      <c r="AE26" s="223">
        <f t="shared" si="44"/>
        <v>106.13001205446201</v>
      </c>
      <c r="AF26" s="223">
        <f t="shared" si="44"/>
        <v>103.93872449876974</v>
      </c>
      <c r="AG26" s="224">
        <f>SUM(AC26:AF26)</f>
        <v>425.36310864467407</v>
      </c>
      <c r="AH26" s="223">
        <f t="shared" ref="AH26:AK26" si="45">+AH179</f>
        <v>102.25508361580346</v>
      </c>
      <c r="AI26" s="223">
        <f t="shared" si="45"/>
        <v>102.58117744180232</v>
      </c>
      <c r="AJ26" s="223">
        <f t="shared" si="45"/>
        <v>103.49887154280398</v>
      </c>
      <c r="AK26" s="223">
        <f t="shared" si="45"/>
        <v>104.42128327152788</v>
      </c>
      <c r="AL26" s="224">
        <f>SUM(AH26:AK26)</f>
        <v>412.75641587193769</v>
      </c>
      <c r="AM26" s="223">
        <f t="shared" ref="AM26:AP26" si="46">+AM179</f>
        <v>104.76494056457645</v>
      </c>
      <c r="AN26" s="223">
        <f t="shared" si="46"/>
        <v>104.37074212976957</v>
      </c>
      <c r="AO26" s="223">
        <f t="shared" si="46"/>
        <v>103.99510438993943</v>
      </c>
      <c r="AP26" s="223">
        <f t="shared" si="46"/>
        <v>103.72824093187411</v>
      </c>
      <c r="AQ26" s="224">
        <f>SUM(AM26:AP26)</f>
        <v>416.85902801615953</v>
      </c>
    </row>
    <row r="27" spans="1:43" x14ac:dyDescent="0.25">
      <c r="A27" s="253"/>
      <c r="B27" s="293" t="s">
        <v>195</v>
      </c>
      <c r="C27" s="212"/>
      <c r="D27" s="263">
        <f t="shared" ref="D27:AL27" si="47">+D25+D26</f>
        <v>1153.7000000000005</v>
      </c>
      <c r="E27" s="263">
        <f t="shared" si="47"/>
        <v>999.09999999999957</v>
      </c>
      <c r="F27" s="263">
        <f t="shared" si="47"/>
        <v>1246.600000000001</v>
      </c>
      <c r="G27" s="263">
        <f t="shared" si="47"/>
        <v>1160.6000000000013</v>
      </c>
      <c r="H27" s="332">
        <f t="shared" si="47"/>
        <v>4560.0000000000055</v>
      </c>
      <c r="I27" s="263">
        <f t="shared" si="47"/>
        <v>1291.3999999999987</v>
      </c>
      <c r="J27" s="263">
        <f t="shared" si="47"/>
        <v>554.19999999999902</v>
      </c>
      <c r="K27" s="263">
        <f t="shared" si="47"/>
        <v>-530.21999999999935</v>
      </c>
      <c r="L27" s="213">
        <f t="shared" si="47"/>
        <v>817.80000000000041</v>
      </c>
      <c r="M27" s="214">
        <f t="shared" si="47"/>
        <v>2133.1800000000044</v>
      </c>
      <c r="N27" s="263">
        <f t="shared" si="47"/>
        <v>1048.4000000000003</v>
      </c>
      <c r="O27" s="263">
        <f t="shared" si="47"/>
        <v>1075.8</v>
      </c>
      <c r="P27" s="263">
        <f t="shared" si="47"/>
        <v>1540.399999999999</v>
      </c>
      <c r="Q27" s="263">
        <f t="shared" si="47"/>
        <v>1582.5545927632804</v>
      </c>
      <c r="R27" s="456">
        <f t="shared" si="47"/>
        <v>5247.1545927632806</v>
      </c>
      <c r="S27" s="213">
        <f t="shared" si="47"/>
        <v>1377.1653804456637</v>
      </c>
      <c r="T27" s="213">
        <f t="shared" si="47"/>
        <v>1249.5714583833565</v>
      </c>
      <c r="U27" s="213">
        <f t="shared" si="47"/>
        <v>1599.4103815094061</v>
      </c>
      <c r="V27" s="213">
        <f t="shared" si="47"/>
        <v>1641.1420123649098</v>
      </c>
      <c r="W27" s="456">
        <f t="shared" si="47"/>
        <v>5867.2892327033351</v>
      </c>
      <c r="X27" s="213">
        <f t="shared" si="47"/>
        <v>1554.504186666991</v>
      </c>
      <c r="Y27" s="213">
        <f t="shared" si="47"/>
        <v>1433.1271834235322</v>
      </c>
      <c r="Z27" s="213">
        <f t="shared" si="47"/>
        <v>1635.5923782477817</v>
      </c>
      <c r="AA27" s="213">
        <f t="shared" si="47"/>
        <v>1784.2731247522993</v>
      </c>
      <c r="AB27" s="214">
        <f t="shared" si="47"/>
        <v>6407.4968730905994</v>
      </c>
      <c r="AC27" s="213">
        <f t="shared" si="47"/>
        <v>1688.6035108705025</v>
      </c>
      <c r="AD27" s="213">
        <f t="shared" si="47"/>
        <v>1571.5859076208508</v>
      </c>
      <c r="AE27" s="213">
        <f t="shared" si="47"/>
        <v>1788.5993522041438</v>
      </c>
      <c r="AF27" s="213">
        <f t="shared" si="47"/>
        <v>1944.5556495880835</v>
      </c>
      <c r="AG27" s="214">
        <f t="shared" si="47"/>
        <v>6993.3444202835808</v>
      </c>
      <c r="AH27" s="213">
        <f t="shared" si="47"/>
        <v>1843.2429038082523</v>
      </c>
      <c r="AI27" s="213">
        <f t="shared" si="47"/>
        <v>1718.7267690466549</v>
      </c>
      <c r="AJ27" s="213">
        <f t="shared" si="47"/>
        <v>1947.6910736781242</v>
      </c>
      <c r="AK27" s="213">
        <f t="shared" si="47"/>
        <v>2115.7473519960672</v>
      </c>
      <c r="AL27" s="214">
        <f t="shared" si="47"/>
        <v>7625.4080985290957</v>
      </c>
      <c r="AM27" s="213">
        <f t="shared" ref="AM27:AQ27" si="48">+AM25+AM26</f>
        <v>2014.7149067097093</v>
      </c>
      <c r="AN27" s="213">
        <f t="shared" si="48"/>
        <v>1881.3329530599935</v>
      </c>
      <c r="AO27" s="213">
        <f t="shared" si="48"/>
        <v>2118.8634921533348</v>
      </c>
      <c r="AP27" s="213">
        <f t="shared" si="48"/>
        <v>2294.42918719203</v>
      </c>
      <c r="AQ27" s="214">
        <f t="shared" si="48"/>
        <v>8309.34053911507</v>
      </c>
    </row>
    <row r="28" spans="1:43" x14ac:dyDescent="0.25">
      <c r="A28" s="253"/>
      <c r="B28" s="78" t="s">
        <v>185</v>
      </c>
      <c r="C28" s="36"/>
      <c r="D28" s="260">
        <v>0</v>
      </c>
      <c r="E28" s="260">
        <v>21</v>
      </c>
      <c r="F28" s="260">
        <v>601.79999999999995</v>
      </c>
      <c r="G28" s="260">
        <f t="shared" ref="G28:G30" si="49">H28-F28-E28-D28</f>
        <v>0</v>
      </c>
      <c r="H28" s="272">
        <v>622.79999999999995</v>
      </c>
      <c r="I28" s="260">
        <v>0</v>
      </c>
      <c r="J28" s="260">
        <v>0</v>
      </c>
      <c r="K28" s="260">
        <v>0</v>
      </c>
      <c r="L28" s="260">
        <v>0</v>
      </c>
      <c r="M28" s="272">
        <f>SUM(I28:L28)</f>
        <v>0</v>
      </c>
      <c r="N28" s="260">
        <v>0</v>
      </c>
      <c r="O28" s="260">
        <v>0</v>
      </c>
      <c r="P28" s="260">
        <v>0</v>
      </c>
      <c r="Q28" s="260">
        <v>0</v>
      </c>
      <c r="R28" s="449">
        <f>SUM(N28:Q28)</f>
        <v>0</v>
      </c>
      <c r="S28" s="260">
        <v>0</v>
      </c>
      <c r="T28" s="260">
        <v>0</v>
      </c>
      <c r="U28" s="260">
        <v>0</v>
      </c>
      <c r="V28" s="260">
        <v>0</v>
      </c>
      <c r="W28" s="449">
        <f>SUM(S28:V28)</f>
        <v>0</v>
      </c>
      <c r="X28" s="260">
        <v>0</v>
      </c>
      <c r="Y28" s="260">
        <v>0</v>
      </c>
      <c r="Z28" s="260">
        <v>0</v>
      </c>
      <c r="AA28" s="260">
        <v>0</v>
      </c>
      <c r="AB28" s="272">
        <f>SUM(X28:AA28)</f>
        <v>0</v>
      </c>
      <c r="AC28" s="260">
        <v>0</v>
      </c>
      <c r="AD28" s="260">
        <v>0</v>
      </c>
      <c r="AE28" s="260">
        <v>0</v>
      </c>
      <c r="AF28" s="260">
        <v>0</v>
      </c>
      <c r="AG28" s="272">
        <f>SUM(AC28:AF28)</f>
        <v>0</v>
      </c>
      <c r="AH28" s="260">
        <v>0</v>
      </c>
      <c r="AI28" s="260">
        <v>0</v>
      </c>
      <c r="AJ28" s="260">
        <v>0</v>
      </c>
      <c r="AK28" s="260">
        <v>0</v>
      </c>
      <c r="AL28" s="272">
        <f>SUM(AH28:AK28)</f>
        <v>0</v>
      </c>
      <c r="AM28" s="260">
        <v>0</v>
      </c>
      <c r="AN28" s="260">
        <v>0</v>
      </c>
      <c r="AO28" s="260">
        <v>0</v>
      </c>
      <c r="AP28" s="260">
        <v>0</v>
      </c>
      <c r="AQ28" s="449">
        <f>SUM(AM28:AP28)</f>
        <v>0</v>
      </c>
    </row>
    <row r="29" spans="1:43" x14ac:dyDescent="0.25">
      <c r="A29" s="253"/>
      <c r="B29" s="78" t="s">
        <v>146</v>
      </c>
      <c r="C29" s="36"/>
      <c r="D29" s="260">
        <v>24.8</v>
      </c>
      <c r="E29" s="260">
        <v>15.2</v>
      </c>
      <c r="F29" s="257">
        <v>40.200000000000003</v>
      </c>
      <c r="G29" s="260">
        <f t="shared" si="49"/>
        <v>16.299999999999994</v>
      </c>
      <c r="H29" s="272">
        <v>96.5</v>
      </c>
      <c r="I29" s="260">
        <v>15.9</v>
      </c>
      <c r="J29" s="260">
        <v>2</v>
      </c>
      <c r="K29" s="260">
        <v>12.7</v>
      </c>
      <c r="L29" s="169">
        <v>9.1</v>
      </c>
      <c r="M29" s="170">
        <f t="shared" ref="M29" si="50">SUM(I29:L29)</f>
        <v>39.699999999999996</v>
      </c>
      <c r="N29" s="169">
        <v>15.5</v>
      </c>
      <c r="O29" s="260">
        <v>17.3</v>
      </c>
      <c r="P29" s="260">
        <v>36</v>
      </c>
      <c r="Q29" s="260">
        <f>(P187+P188+P193)*Q154</f>
        <v>13.802601187154938</v>
      </c>
      <c r="R29" s="449">
        <f t="shared" ref="R29" si="51">SUM(N29:Q29)</f>
        <v>82.602601187154931</v>
      </c>
      <c r="S29" s="169">
        <f>(Q187+Q188+Q193)*S154</f>
        <v>14.244234345690423</v>
      </c>
      <c r="T29" s="169">
        <f>(S187+S188+S193)*T154</f>
        <v>17.139336314918985</v>
      </c>
      <c r="U29" s="169">
        <f>(T187+T188+T193)*U154</f>
        <v>14.579573904892058</v>
      </c>
      <c r="V29" s="169">
        <f>(U187+U188+U193)*V154</f>
        <v>12.28374031036409</v>
      </c>
      <c r="W29" s="449">
        <f t="shared" ref="W29" si="52">SUM(S29:V29)</f>
        <v>58.246884875865554</v>
      </c>
      <c r="X29" s="169">
        <f>(V187+V188+V193)*X154</f>
        <v>10.155533300212063</v>
      </c>
      <c r="Y29" s="169">
        <f>(X187+X188+X193)*Y154</f>
        <v>12.388314405507659</v>
      </c>
      <c r="Z29" s="169">
        <f>(Y187+Y188+Y193)*Z154</f>
        <v>10.23385626938887</v>
      </c>
      <c r="AA29" s="169">
        <f>(Z187+Z188+Z193)*AA154</f>
        <v>10.393146658909114</v>
      </c>
      <c r="AB29" s="170">
        <f t="shared" ref="AB29" si="53">SUM(X29:AA29)</f>
        <v>43.170850634017711</v>
      </c>
      <c r="AC29" s="169">
        <f>(AA187+AA188+AA193)*AC154</f>
        <v>7.535681215912259</v>
      </c>
      <c r="AD29" s="169">
        <f>(AC187+AC188+AC193)*AD154</f>
        <v>11.023157298232089</v>
      </c>
      <c r="AE29" s="169">
        <f>(AD187+AD188+AD193)*AE154</f>
        <v>9.5852048039285282</v>
      </c>
      <c r="AF29" s="169">
        <f>(AE187+AE188+AE193)*AF154</f>
        <v>10.958882258121475</v>
      </c>
      <c r="AG29" s="170">
        <f t="shared" ref="AG29" si="54">SUM(AC29:AF29)</f>
        <v>39.102925576194352</v>
      </c>
      <c r="AH29" s="169">
        <f>(AF187+AF188+AF193)*AH154</f>
        <v>8.3125066190045906</v>
      </c>
      <c r="AI29" s="169">
        <f>(AH187+AH188+AH193)*AI154</f>
        <v>12.539700566268891</v>
      </c>
      <c r="AJ29" s="169">
        <f>(AI187+AI188+AI193)*AJ154</f>
        <v>11.635428069377507</v>
      </c>
      <c r="AK29" s="169">
        <f>(AJ187+AJ188+AJ193)*AK154</f>
        <v>13.70186448442182</v>
      </c>
      <c r="AL29" s="170">
        <f t="shared" ref="AL29" si="55">SUM(AH29:AK29)</f>
        <v>46.189499739072808</v>
      </c>
      <c r="AM29" s="169">
        <f>(AK187+AK188+AK193)*AM154</f>
        <v>11.328837136119148</v>
      </c>
      <c r="AN29" s="169">
        <f>(AM187+AM188+AM193)*AN154</f>
        <v>16.026097827635574</v>
      </c>
      <c r="AO29" s="169">
        <f>(AN187+AN188+AN193)*AO154</f>
        <v>15.22898338632873</v>
      </c>
      <c r="AP29" s="169">
        <f>(AO187+AO188+AO193)*AP154</f>
        <v>17.655528891374328</v>
      </c>
      <c r="AQ29" s="170">
        <f t="shared" ref="AQ29" si="56">SUM(AM29:AP29)</f>
        <v>60.239447241457782</v>
      </c>
    </row>
    <row r="30" spans="1:43" ht="17.25" x14ac:dyDescent="0.4">
      <c r="A30" s="253"/>
      <c r="B30" s="78" t="s">
        <v>147</v>
      </c>
      <c r="C30" s="74"/>
      <c r="D30" s="259">
        <v>-75</v>
      </c>
      <c r="E30" s="259">
        <v>-73.900000000000006</v>
      </c>
      <c r="F30" s="259">
        <v>-86.4</v>
      </c>
      <c r="G30" s="259">
        <f t="shared" si="49"/>
        <v>-95.699999999999989</v>
      </c>
      <c r="H30" s="281">
        <v>-331</v>
      </c>
      <c r="I30" s="259">
        <v>-91.9</v>
      </c>
      <c r="J30" s="259">
        <v>-99.2</v>
      </c>
      <c r="K30" s="259">
        <v>-120.8</v>
      </c>
      <c r="L30" s="173">
        <v>-125</v>
      </c>
      <c r="M30" s="452">
        <f t="shared" ref="M30" si="57">SUM(I30:L30)</f>
        <v>-436.90000000000003</v>
      </c>
      <c r="N30" s="173">
        <v>-120.7</v>
      </c>
      <c r="O30" s="259">
        <v>-115</v>
      </c>
      <c r="P30" s="259">
        <v>-113.4</v>
      </c>
      <c r="Q30" s="259">
        <f>-(P209+P212)*Q155</f>
        <v>-110.69933508563528</v>
      </c>
      <c r="R30" s="452">
        <f t="shared" ref="R30" si="58">SUM(N30:Q30)</f>
        <v>-459.79933508563533</v>
      </c>
      <c r="S30" s="173">
        <f>-(Q209+Q212)*S155</f>
        <v>-108.94299690161012</v>
      </c>
      <c r="T30" s="173">
        <f>-(S209+S212)*T155</f>
        <v>-105.49977914189195</v>
      </c>
      <c r="U30" s="173">
        <f>-(T209+T212)*U155</f>
        <v>-101.97130988636621</v>
      </c>
      <c r="V30" s="173">
        <f>-(U209+U212)*V155</f>
        <v>-97.774177650857524</v>
      </c>
      <c r="W30" s="452">
        <f t="shared" ref="W30" si="59">SUM(S30:V30)</f>
        <v>-414.18826358072579</v>
      </c>
      <c r="X30" s="173">
        <f>-(V209+V212)*X155</f>
        <v>-95.953126492885843</v>
      </c>
      <c r="Y30" s="173">
        <f>-(X209+X212)*Y155</f>
        <v>-94.11871685469815</v>
      </c>
      <c r="Z30" s="173">
        <f>-(Y209+Y212)*Z155</f>
        <v>-92.22190520477136</v>
      </c>
      <c r="AA30" s="173">
        <f>-(Z209+Z212)*AA155</f>
        <v>-90.265121060461155</v>
      </c>
      <c r="AB30" s="174">
        <f t="shared" ref="AB30" si="60">SUM(X30:AA30)</f>
        <v>-372.55886961281647</v>
      </c>
      <c r="AC30" s="173">
        <f>-(AA209+AA212)*AC155</f>
        <v>-88.385525862321401</v>
      </c>
      <c r="AD30" s="173">
        <f>-(AC209+AC212)*AD155</f>
        <v>-85.660750565389378</v>
      </c>
      <c r="AE30" s="173">
        <f>-(AD209+AD212)*AE155</f>
        <v>-82.722044781372986</v>
      </c>
      <c r="AF30" s="173">
        <f>-(AE209+AE212)*AF155</f>
        <v>-79.781465533319192</v>
      </c>
      <c r="AG30" s="174">
        <f t="shared" ref="AG30" si="61">SUM(AC30:AF30)</f>
        <v>-336.54978674240294</v>
      </c>
      <c r="AH30" s="173">
        <f>-(AF209+AF212)*AH155</f>
        <v>-76.851444427264695</v>
      </c>
      <c r="AI30" s="173">
        <f>-(AH209+AH212)*AI155</f>
        <v>-74.474825755139364</v>
      </c>
      <c r="AJ30" s="173">
        <f>-(AI209+AI212)*AJ155</f>
        <v>-72.09647244810111</v>
      </c>
      <c r="AK30" s="173">
        <f>-(AJ209+AJ212)*AK155</f>
        <v>-69.718777738457888</v>
      </c>
      <c r="AL30" s="174">
        <f t="shared" ref="AL30" si="62">SUM(AH30:AK30)</f>
        <v>-293.14152036896309</v>
      </c>
      <c r="AM30" s="173">
        <f>-(AK209+AK212)*AM155</f>
        <v>-67.342279025178229</v>
      </c>
      <c r="AN30" s="173">
        <f>-(AM209+AM212)*AN155</f>
        <v>-64.964996576024276</v>
      </c>
      <c r="AO30" s="173">
        <f>-(AN209+AN212)*AO155</f>
        <v>-62.587575235856946</v>
      </c>
      <c r="AP30" s="173">
        <f>-(AO209+AO212)*AP155</f>
        <v>-60.210350846476004</v>
      </c>
      <c r="AQ30" s="174">
        <f t="shared" ref="AQ30" si="63">SUM(AM30:AP30)</f>
        <v>-255.10520168353543</v>
      </c>
    </row>
    <row r="31" spans="1:43" x14ac:dyDescent="0.25">
      <c r="A31" s="253"/>
      <c r="B31" s="558" t="s">
        <v>67</v>
      </c>
      <c r="C31" s="559"/>
      <c r="D31" s="258">
        <f t="shared" ref="D31:AL31" si="64">D25+D29+D30+D28</f>
        <v>965.50000000000045</v>
      </c>
      <c r="E31" s="258">
        <f t="shared" si="64"/>
        <v>819.99999999999966</v>
      </c>
      <c r="F31" s="258">
        <f t="shared" si="64"/>
        <v>1676.900000000001</v>
      </c>
      <c r="G31" s="258">
        <f t="shared" si="64"/>
        <v>1003.8000000000011</v>
      </c>
      <c r="H31" s="273">
        <f t="shared" si="64"/>
        <v>4466.2000000000053</v>
      </c>
      <c r="I31" s="258">
        <f t="shared" si="64"/>
        <v>1143.7999999999988</v>
      </c>
      <c r="J31" s="258">
        <f t="shared" si="64"/>
        <v>390.19999999999908</v>
      </c>
      <c r="K31" s="258">
        <f t="shared" si="64"/>
        <v>-811.9999999999992</v>
      </c>
      <c r="L31" s="171">
        <f t="shared" si="64"/>
        <v>442.40000000000043</v>
      </c>
      <c r="M31" s="172">
        <f t="shared" si="64"/>
        <v>1164.4000000000044</v>
      </c>
      <c r="N31" s="171">
        <f t="shared" si="64"/>
        <v>808.30000000000018</v>
      </c>
      <c r="O31" s="258">
        <f t="shared" si="64"/>
        <v>889.9</v>
      </c>
      <c r="P31" s="258">
        <f t="shared" si="64"/>
        <v>1411.2999999999988</v>
      </c>
      <c r="Q31" s="258">
        <f t="shared" si="64"/>
        <v>1433.9578588648001</v>
      </c>
      <c r="R31" s="450">
        <f t="shared" si="64"/>
        <v>4543.4578588648001</v>
      </c>
      <c r="S31" s="171">
        <f t="shared" si="64"/>
        <v>1170.2066178897442</v>
      </c>
      <c r="T31" s="171">
        <f t="shared" si="64"/>
        <v>1043.8685155563837</v>
      </c>
      <c r="U31" s="171">
        <f t="shared" si="64"/>
        <v>1388.3583330279318</v>
      </c>
      <c r="V31" s="171">
        <f t="shared" si="64"/>
        <v>1438.2437234619163</v>
      </c>
      <c r="W31" s="450">
        <f t="shared" si="64"/>
        <v>5040.6771899359746</v>
      </c>
      <c r="X31" s="171">
        <f t="shared" si="64"/>
        <v>1369.0602604665048</v>
      </c>
      <c r="Y31" s="171">
        <f t="shared" si="64"/>
        <v>1256.1571563405525</v>
      </c>
      <c r="Z31" s="171">
        <f t="shared" si="64"/>
        <v>1457.4847515993865</v>
      </c>
      <c r="AA31" s="171">
        <f t="shared" si="64"/>
        <v>1602.7291254236079</v>
      </c>
      <c r="AB31" s="172">
        <f t="shared" si="64"/>
        <v>5685.4312938300473</v>
      </c>
      <c r="AC31" s="171">
        <f t="shared" si="64"/>
        <v>1499.8351381810617</v>
      </c>
      <c r="AD31" s="171">
        <f t="shared" si="64"/>
        <v>1389.5724703052826</v>
      </c>
      <c r="AE31" s="171">
        <f t="shared" si="64"/>
        <v>1609.3325001722374</v>
      </c>
      <c r="AF31" s="171">
        <f t="shared" si="64"/>
        <v>1771.7943418141163</v>
      </c>
      <c r="AG31" s="172">
        <f t="shared" si="64"/>
        <v>6270.5344504726982</v>
      </c>
      <c r="AH31" s="171">
        <f t="shared" si="64"/>
        <v>1672.4488823841889</v>
      </c>
      <c r="AI31" s="171">
        <f t="shared" si="64"/>
        <v>1554.2104664159822</v>
      </c>
      <c r="AJ31" s="171">
        <f t="shared" si="64"/>
        <v>1783.7311577565965</v>
      </c>
      <c r="AK31" s="171">
        <f t="shared" si="64"/>
        <v>1955.3091554705034</v>
      </c>
      <c r="AL31" s="172">
        <f t="shared" si="64"/>
        <v>6965.6996620272676</v>
      </c>
      <c r="AM31" s="171">
        <f t="shared" ref="AM31:AQ31" si="65">AM25+AM29+AM30+AM28</f>
        <v>1853.9365242560739</v>
      </c>
      <c r="AN31" s="171">
        <f t="shared" si="65"/>
        <v>1728.0233121818353</v>
      </c>
      <c r="AO31" s="171">
        <f t="shared" si="65"/>
        <v>1967.509795913867</v>
      </c>
      <c r="AP31" s="171">
        <f t="shared" si="65"/>
        <v>2148.1461243050539</v>
      </c>
      <c r="AQ31" s="172">
        <f t="shared" si="65"/>
        <v>7697.6157566568336</v>
      </c>
    </row>
    <row r="32" spans="1:43" ht="17.25" x14ac:dyDescent="0.4">
      <c r="A32" s="253"/>
      <c r="B32" s="560" t="s">
        <v>34</v>
      </c>
      <c r="C32" s="561"/>
      <c r="D32" s="259">
        <v>205.1</v>
      </c>
      <c r="E32" s="259">
        <v>161.19999999999999</v>
      </c>
      <c r="F32" s="259">
        <v>303.7</v>
      </c>
      <c r="G32" s="259">
        <f t="shared" ref="G32" si="66">H32-F32-E32-D32</f>
        <v>201.60000000000011</v>
      </c>
      <c r="H32" s="281">
        <v>871.6</v>
      </c>
      <c r="I32" s="259">
        <v>258.5</v>
      </c>
      <c r="J32" s="259">
        <v>65.400000000000006</v>
      </c>
      <c r="K32" s="259">
        <v>-133.9</v>
      </c>
      <c r="L32" s="173">
        <v>49.7</v>
      </c>
      <c r="M32" s="174">
        <f>SUM(I32:L32)</f>
        <v>239.7</v>
      </c>
      <c r="N32" s="173">
        <v>186.1</v>
      </c>
      <c r="O32" s="259">
        <v>230.5</v>
      </c>
      <c r="P32" s="259">
        <v>257.10000000000002</v>
      </c>
      <c r="Q32" s="259">
        <f>+Q31*Q153</f>
        <v>297.54625571444598</v>
      </c>
      <c r="R32" s="452">
        <f>SUM(N32:Q32)</f>
        <v>971.24625571444608</v>
      </c>
      <c r="S32" s="173">
        <f>+S31*S153</f>
        <v>255.19992932262002</v>
      </c>
      <c r="T32" s="173">
        <f>+T31*T153</f>
        <v>224.47586779403838</v>
      </c>
      <c r="U32" s="173">
        <f>+U31*U153</f>
        <v>283.29227680344235</v>
      </c>
      <c r="V32" s="173">
        <f>+V31*V153</f>
        <v>301.33703661676304</v>
      </c>
      <c r="W32" s="452">
        <f>SUM(S32:V32)</f>
        <v>1064.3051105368638</v>
      </c>
      <c r="X32" s="173">
        <f>+X31*X153</f>
        <v>289.79210654701279</v>
      </c>
      <c r="Y32" s="173">
        <f>+Y31*Y153</f>
        <v>263.88103236330579</v>
      </c>
      <c r="Z32" s="173">
        <f>+Z31*Z153</f>
        <v>304.36220833767368</v>
      </c>
      <c r="AA32" s="173">
        <f>+AA31*AA153</f>
        <v>336.60787624487125</v>
      </c>
      <c r="AB32" s="174">
        <f>SUM(X32:AA32)</f>
        <v>1194.6432234928634</v>
      </c>
      <c r="AC32" s="173">
        <f>+AC31*AC153</f>
        <v>315.18700730626529</v>
      </c>
      <c r="AD32" s="173">
        <f>+AD31*AD153</f>
        <v>291.48594894642116</v>
      </c>
      <c r="AE32" s="173">
        <f>+AE31*AE153</f>
        <v>337.46218904717699</v>
      </c>
      <c r="AF32" s="173">
        <f>+AF31*AF153</f>
        <v>371.91153795850272</v>
      </c>
      <c r="AG32" s="174">
        <f>SUM(AC32:AF32)</f>
        <v>1316.0466832583661</v>
      </c>
      <c r="AH32" s="173">
        <f>+AH31*AH153</f>
        <v>351.01018876639063</v>
      </c>
      <c r="AI32" s="173">
        <f>+AI31*AI153</f>
        <v>326.08972116448183</v>
      </c>
      <c r="AJ32" s="173">
        <f>+AJ31*AJ153</f>
        <v>374.2651505610213</v>
      </c>
      <c r="AK32" s="173">
        <f>+AK31*AK153</f>
        <v>410.32980363779518</v>
      </c>
      <c r="AL32" s="174">
        <f>SUM(AH32:AK32)</f>
        <v>1461.694864129689</v>
      </c>
      <c r="AM32" s="173">
        <f>+AM31*AM153</f>
        <v>389.03198277724152</v>
      </c>
      <c r="AN32" s="173">
        <f>+AN31*AN153</f>
        <v>362.59426860987935</v>
      </c>
      <c r="AO32" s="173">
        <f>+AO31*AO153</f>
        <v>412.85662221338993</v>
      </c>
      <c r="AP32" s="173">
        <f>+AP31*AP153</f>
        <v>450.76922866574529</v>
      </c>
      <c r="AQ32" s="174">
        <f>SUM(AM32:AP32)</f>
        <v>1615.2521022662561</v>
      </c>
    </row>
    <row r="33" spans="1:43" x14ac:dyDescent="0.25">
      <c r="A33" s="306"/>
      <c r="B33" s="558" t="s">
        <v>148</v>
      </c>
      <c r="C33" s="559"/>
      <c r="D33" s="258">
        <f t="shared" ref="D33:AL33" si="67">+D31-D32</f>
        <v>760.40000000000043</v>
      </c>
      <c r="E33" s="258">
        <f t="shared" si="67"/>
        <v>658.79999999999973</v>
      </c>
      <c r="F33" s="258">
        <f t="shared" si="67"/>
        <v>1373.200000000001</v>
      </c>
      <c r="G33" s="258">
        <f t="shared" si="67"/>
        <v>802.20000000000095</v>
      </c>
      <c r="H33" s="273">
        <f t="shared" si="67"/>
        <v>3594.6000000000054</v>
      </c>
      <c r="I33" s="258">
        <f t="shared" si="67"/>
        <v>885.29999999999882</v>
      </c>
      <c r="J33" s="258">
        <f t="shared" si="67"/>
        <v>324.79999999999905</v>
      </c>
      <c r="K33" s="258">
        <f t="shared" si="67"/>
        <v>-678.09999999999923</v>
      </c>
      <c r="L33" s="171">
        <f t="shared" si="67"/>
        <v>392.70000000000044</v>
      </c>
      <c r="M33" s="172">
        <f t="shared" si="67"/>
        <v>924.70000000000437</v>
      </c>
      <c r="N33" s="171">
        <f t="shared" si="67"/>
        <v>622.20000000000016</v>
      </c>
      <c r="O33" s="258">
        <f t="shared" si="67"/>
        <v>659.4</v>
      </c>
      <c r="P33" s="258">
        <f t="shared" si="67"/>
        <v>1154.1999999999989</v>
      </c>
      <c r="Q33" s="258">
        <f t="shared" si="67"/>
        <v>1136.411603150354</v>
      </c>
      <c r="R33" s="450">
        <f t="shared" si="67"/>
        <v>3572.2116031503538</v>
      </c>
      <c r="S33" s="171">
        <f t="shared" si="67"/>
        <v>915.00668856712412</v>
      </c>
      <c r="T33" s="171">
        <f t="shared" si="67"/>
        <v>819.3926477623454</v>
      </c>
      <c r="U33" s="171">
        <f t="shared" si="67"/>
        <v>1105.0660562244896</v>
      </c>
      <c r="V33" s="171">
        <f t="shared" si="67"/>
        <v>1136.9066868451532</v>
      </c>
      <c r="W33" s="450">
        <f t="shared" si="67"/>
        <v>3976.3720793991106</v>
      </c>
      <c r="X33" s="171">
        <f t="shared" si="67"/>
        <v>1079.2681539194921</v>
      </c>
      <c r="Y33" s="171">
        <f t="shared" si="67"/>
        <v>992.2761239772467</v>
      </c>
      <c r="Z33" s="171">
        <f t="shared" si="67"/>
        <v>1153.122543261713</v>
      </c>
      <c r="AA33" s="171">
        <f t="shared" si="67"/>
        <v>1266.1212491787367</v>
      </c>
      <c r="AB33" s="172">
        <f t="shared" si="67"/>
        <v>4490.7880703371839</v>
      </c>
      <c r="AC33" s="171">
        <f t="shared" si="67"/>
        <v>1184.6481308747964</v>
      </c>
      <c r="AD33" s="171">
        <f t="shared" si="67"/>
        <v>1098.0865213588615</v>
      </c>
      <c r="AE33" s="171">
        <f t="shared" si="67"/>
        <v>1271.8703111250604</v>
      </c>
      <c r="AF33" s="258">
        <f t="shared" si="67"/>
        <v>1399.8828038556135</v>
      </c>
      <c r="AG33" s="273">
        <f t="shared" si="67"/>
        <v>4954.4877672143321</v>
      </c>
      <c r="AH33" s="258">
        <f t="shared" si="67"/>
        <v>1321.4386936177982</v>
      </c>
      <c r="AI33" s="258">
        <f t="shared" si="67"/>
        <v>1228.1207452515005</v>
      </c>
      <c r="AJ33" s="258">
        <f t="shared" si="67"/>
        <v>1409.4660071955752</v>
      </c>
      <c r="AK33" s="258">
        <f t="shared" si="67"/>
        <v>1544.9793518327083</v>
      </c>
      <c r="AL33" s="172">
        <f t="shared" si="67"/>
        <v>5504.0047978975781</v>
      </c>
      <c r="AM33" s="258">
        <f t="shared" ref="AM33:AQ33" si="68">+AM31-AM32</f>
        <v>1464.9045414788325</v>
      </c>
      <c r="AN33" s="258">
        <f t="shared" si="68"/>
        <v>1365.4290435719558</v>
      </c>
      <c r="AO33" s="258">
        <f t="shared" si="68"/>
        <v>1554.6531737004771</v>
      </c>
      <c r="AP33" s="258">
        <f t="shared" si="68"/>
        <v>1697.3768956393087</v>
      </c>
      <c r="AQ33" s="172">
        <f t="shared" si="68"/>
        <v>6082.3636543905777</v>
      </c>
    </row>
    <row r="34" spans="1:43" ht="17.25" x14ac:dyDescent="0.4">
      <c r="A34" s="306"/>
      <c r="B34" s="403" t="s">
        <v>149</v>
      </c>
      <c r="C34" s="394"/>
      <c r="D34" s="259">
        <v>-0.2</v>
      </c>
      <c r="E34" s="259">
        <v>-4.4000000000000004</v>
      </c>
      <c r="F34" s="259">
        <v>0.4</v>
      </c>
      <c r="G34" s="259">
        <f t="shared" ref="G34" si="69">H34-F34-E34-D34</f>
        <v>-0.39999999999999963</v>
      </c>
      <c r="H34" s="281">
        <v>-4.5999999999999996</v>
      </c>
      <c r="I34" s="259">
        <v>-0.4</v>
      </c>
      <c r="J34" s="259">
        <v>-3.6</v>
      </c>
      <c r="K34" s="259">
        <v>0.3</v>
      </c>
      <c r="L34" s="259">
        <v>0.1</v>
      </c>
      <c r="M34" s="281">
        <f>SUM(I34:L34)</f>
        <v>-3.6</v>
      </c>
      <c r="N34" s="259">
        <v>0</v>
      </c>
      <c r="O34" s="259">
        <v>0</v>
      </c>
      <c r="P34" s="259">
        <v>0.8</v>
      </c>
      <c r="Q34" s="259">
        <f>AVERAGE(P34,O34,N34,L34)</f>
        <v>0.22500000000000001</v>
      </c>
      <c r="R34" s="452">
        <f>SUM(N34:Q34)</f>
        <v>1.0250000000000001</v>
      </c>
      <c r="S34" s="259">
        <f>AVERAGE(Q34,P34,O34,N34)</f>
        <v>0.25625000000000003</v>
      </c>
      <c r="T34" s="259">
        <f>AVERAGE(S34,Q34,P34,O34)</f>
        <v>0.3203125</v>
      </c>
      <c r="U34" s="259">
        <f>AVERAGE(T34,S34,Q34,P34)</f>
        <v>0.400390625</v>
      </c>
      <c r="V34" s="259">
        <f>AVERAGE(U34,T34,S34,Q34)</f>
        <v>0.30048828125000004</v>
      </c>
      <c r="W34" s="452">
        <f>SUM(S34:V34)</f>
        <v>1.2774414062500001</v>
      </c>
      <c r="X34" s="259">
        <f>AVERAGE(V34,U34,T34,S34)</f>
        <v>0.31936035156250003</v>
      </c>
      <c r="Y34" s="259">
        <f>AVERAGE(X34,V34,U34,T34)</f>
        <v>0.33513793945312503</v>
      </c>
      <c r="Z34" s="259">
        <f>AVERAGE(Y34,X34,V34,U34)</f>
        <v>0.33884429931640625</v>
      </c>
      <c r="AA34" s="259">
        <f>AVERAGE(Z34,Y34,X34,V34)</f>
        <v>0.32345771789550787</v>
      </c>
      <c r="AB34" s="281">
        <f>SUM(X34:AA34)</f>
        <v>1.3168003082275392</v>
      </c>
      <c r="AC34" s="259">
        <f>AVERAGE(AA34,Z34,Y34,X34)</f>
        <v>0.32920007705688481</v>
      </c>
      <c r="AD34" s="259">
        <f>AVERAGE(AC34,AA34,Z34,Y34)</f>
        <v>0.33166000843048099</v>
      </c>
      <c r="AE34" s="259">
        <f>AVERAGE(AD34,AC34,AA34,Z34)</f>
        <v>0.33079052567481998</v>
      </c>
      <c r="AF34" s="259">
        <f>AVERAGE(AE34,AD34,AC34,AA34)</f>
        <v>0.32877708226442343</v>
      </c>
      <c r="AG34" s="281">
        <f>SUM(AC34:AF34)</f>
        <v>1.3204276934266093</v>
      </c>
      <c r="AH34" s="259">
        <f>AVERAGE(AF34,AE34,AD34,AC34)</f>
        <v>0.33010692335665232</v>
      </c>
      <c r="AI34" s="259">
        <f>AVERAGE(AH34,AF34,AE34,AD34)</f>
        <v>0.33033363493159418</v>
      </c>
      <c r="AJ34" s="259">
        <f>AVERAGE(AI34,AH34,AF34,AE34)</f>
        <v>0.33000204155687246</v>
      </c>
      <c r="AK34" s="259">
        <f>AVERAGE(AJ34,AI34,AH34,AF34)</f>
        <v>0.32980492052738558</v>
      </c>
      <c r="AL34" s="174">
        <f>SUM(AH34:AK34)</f>
        <v>1.3202475203725046</v>
      </c>
      <c r="AM34" s="259">
        <f>AVERAGE(AK34,AJ34,AI34,AH34)</f>
        <v>0.33006188009312615</v>
      </c>
      <c r="AN34" s="259">
        <f>AVERAGE(AM34,AK34,AJ34,AI34)</f>
        <v>0.33005061927724461</v>
      </c>
      <c r="AO34" s="259">
        <f>AVERAGE(AN34,AM34,AK34,AJ34)</f>
        <v>0.3299798653636572</v>
      </c>
      <c r="AP34" s="259">
        <f>AVERAGE(AO34,AN34,AM34,AK34)</f>
        <v>0.32997432131535337</v>
      </c>
      <c r="AQ34" s="174">
        <f>SUM(AM34:AP34)</f>
        <v>1.3200666860493813</v>
      </c>
    </row>
    <row r="35" spans="1:43" s="20" customFormat="1" x14ac:dyDescent="0.25">
      <c r="A35" s="323"/>
      <c r="B35" s="402" t="s">
        <v>107</v>
      </c>
      <c r="C35" s="401"/>
      <c r="D35" s="258">
        <f t="shared" ref="D35:AL35" si="70">+D33-D34</f>
        <v>760.60000000000048</v>
      </c>
      <c r="E35" s="258">
        <f t="shared" si="70"/>
        <v>663.1999999999997</v>
      </c>
      <c r="F35" s="258">
        <f t="shared" si="70"/>
        <v>1372.8000000000009</v>
      </c>
      <c r="G35" s="258">
        <f t="shared" si="70"/>
        <v>802.60000000000093</v>
      </c>
      <c r="H35" s="273">
        <f t="shared" si="70"/>
        <v>3599.2000000000053</v>
      </c>
      <c r="I35" s="258">
        <f t="shared" si="70"/>
        <v>885.69999999999879</v>
      </c>
      <c r="J35" s="258">
        <f t="shared" si="70"/>
        <v>328.39999999999907</v>
      </c>
      <c r="K35" s="258">
        <f t="shared" si="70"/>
        <v>-678.39999999999918</v>
      </c>
      <c r="L35" s="171">
        <f t="shared" si="70"/>
        <v>392.60000000000042</v>
      </c>
      <c r="M35" s="172">
        <f t="shared" si="70"/>
        <v>928.30000000000439</v>
      </c>
      <c r="N35" s="171">
        <f t="shared" si="70"/>
        <v>622.20000000000016</v>
      </c>
      <c r="O35" s="258">
        <f t="shared" si="70"/>
        <v>659.4</v>
      </c>
      <c r="P35" s="258">
        <f t="shared" si="70"/>
        <v>1153.399999999999</v>
      </c>
      <c r="Q35" s="258">
        <f t="shared" si="70"/>
        <v>1136.1866031503541</v>
      </c>
      <c r="R35" s="450">
        <f t="shared" si="70"/>
        <v>3571.1866031503537</v>
      </c>
      <c r="S35" s="171">
        <f t="shared" si="70"/>
        <v>914.75043856712409</v>
      </c>
      <c r="T35" s="171">
        <f t="shared" si="70"/>
        <v>819.0723352623454</v>
      </c>
      <c r="U35" s="171">
        <f t="shared" si="70"/>
        <v>1104.6656655994896</v>
      </c>
      <c r="V35" s="171">
        <f t="shared" si="70"/>
        <v>1136.6061985639033</v>
      </c>
      <c r="W35" s="450">
        <f t="shared" si="70"/>
        <v>3975.0946379928605</v>
      </c>
      <c r="X35" s="171">
        <f t="shared" si="70"/>
        <v>1078.9487935679297</v>
      </c>
      <c r="Y35" s="171">
        <f t="shared" si="70"/>
        <v>991.94098603779355</v>
      </c>
      <c r="Z35" s="171">
        <f t="shared" si="70"/>
        <v>1152.7836989623966</v>
      </c>
      <c r="AA35" s="171">
        <f t="shared" si="70"/>
        <v>1265.7977914608412</v>
      </c>
      <c r="AB35" s="172">
        <f t="shared" si="70"/>
        <v>4489.4712700289565</v>
      </c>
      <c r="AC35" s="171">
        <f t="shared" si="70"/>
        <v>1184.3189307977395</v>
      </c>
      <c r="AD35" s="171">
        <f t="shared" si="70"/>
        <v>1097.7548613504312</v>
      </c>
      <c r="AE35" s="171">
        <f t="shared" si="70"/>
        <v>1271.5395205993857</v>
      </c>
      <c r="AF35" s="171">
        <f t="shared" si="70"/>
        <v>1399.5540267733491</v>
      </c>
      <c r="AG35" s="172">
        <f t="shared" si="70"/>
        <v>4953.1673395209054</v>
      </c>
      <c r="AH35" s="171">
        <f t="shared" si="70"/>
        <v>1321.1085866944416</v>
      </c>
      <c r="AI35" s="171">
        <f t="shared" si="70"/>
        <v>1227.7904116165689</v>
      </c>
      <c r="AJ35" s="171">
        <f t="shared" si="70"/>
        <v>1409.1360051540184</v>
      </c>
      <c r="AK35" s="171">
        <f t="shared" si="70"/>
        <v>1544.649546912181</v>
      </c>
      <c r="AL35" s="172">
        <f t="shared" si="70"/>
        <v>5502.6845503772056</v>
      </c>
      <c r="AM35" s="171">
        <f t="shared" ref="AM35:AQ35" si="71">+AM33-AM34</f>
        <v>1464.5744795987393</v>
      </c>
      <c r="AN35" s="171">
        <f t="shared" si="71"/>
        <v>1365.0989929526786</v>
      </c>
      <c r="AO35" s="171">
        <f t="shared" si="71"/>
        <v>1554.3231938351134</v>
      </c>
      <c r="AP35" s="171">
        <f t="shared" si="71"/>
        <v>1697.0469213179933</v>
      </c>
      <c r="AQ35" s="172">
        <f t="shared" si="71"/>
        <v>6081.0435877045284</v>
      </c>
    </row>
    <row r="36" spans="1:43" s="20" customFormat="1" ht="17.25" x14ac:dyDescent="0.4">
      <c r="A36" s="323"/>
      <c r="B36" s="221" t="s">
        <v>196</v>
      </c>
      <c r="C36" s="218"/>
      <c r="D36" s="264">
        <f t="shared" ref="D36:AA36" si="72">-D180-D181</f>
        <v>41.449999999998646</v>
      </c>
      <c r="E36" s="264">
        <f t="shared" si="72"/>
        <v>-54.179999999999545</v>
      </c>
      <c r="F36" s="264">
        <f t="shared" si="72"/>
        <v>-544.16000000000076</v>
      </c>
      <c r="G36" s="264">
        <f t="shared" si="72"/>
        <v>-30</v>
      </c>
      <c r="H36" s="333">
        <f>SUM(D36:G36)</f>
        <v>-586.89000000000169</v>
      </c>
      <c r="I36" s="264">
        <f t="shared" si="72"/>
        <v>-11</v>
      </c>
      <c r="J36" s="264">
        <f t="shared" si="72"/>
        <v>-23</v>
      </c>
      <c r="K36" s="264">
        <f t="shared" si="72"/>
        <v>-35.055</v>
      </c>
      <c r="L36" s="225">
        <f>-L180-L181</f>
        <v>-50.810000000000372</v>
      </c>
      <c r="M36" s="226">
        <f>SUM(I36:L36)</f>
        <v>-119.86500000000038</v>
      </c>
      <c r="N36" s="264">
        <f t="shared" si="72"/>
        <v>-35.49</v>
      </c>
      <c r="O36" s="264">
        <f t="shared" si="72"/>
        <v>-11.847999999999999</v>
      </c>
      <c r="P36" s="264">
        <f t="shared" si="72"/>
        <v>-11.862</v>
      </c>
      <c r="Q36" s="264">
        <f t="shared" si="72"/>
        <v>-12.925000000000001</v>
      </c>
      <c r="R36" s="457">
        <f>SUM(N36:Q36)</f>
        <v>-72.125</v>
      </c>
      <c r="S36" s="225">
        <f t="shared" si="72"/>
        <v>-28.065000000000001</v>
      </c>
      <c r="T36" s="225">
        <f t="shared" si="72"/>
        <v>-29.335625000000004</v>
      </c>
      <c r="U36" s="225">
        <f t="shared" si="72"/>
        <v>-30.915078125000001</v>
      </c>
      <c r="V36" s="225">
        <f t="shared" si="72"/>
        <v>-29.351962890625</v>
      </c>
      <c r="W36" s="457">
        <f>SUM(S36:V36)</f>
        <v>-117.667666015625</v>
      </c>
      <c r="X36" s="225">
        <f t="shared" si="72"/>
        <v>-24.911583251953125</v>
      </c>
      <c r="Y36" s="225">
        <f t="shared" si="72"/>
        <v>-23.809906158447266</v>
      </c>
      <c r="Z36" s="225">
        <f t="shared" si="72"/>
        <v>-24.029894428253176</v>
      </c>
      <c r="AA36" s="225">
        <f t="shared" si="72"/>
        <v>-25.418006231784823</v>
      </c>
      <c r="AB36" s="226">
        <f>SUM(X36:AA36)</f>
        <v>-98.169390070438396</v>
      </c>
      <c r="AC36" s="225">
        <f t="shared" ref="AC36:AF36" si="73">-AC180-AC181</f>
        <v>-26.979632010757925</v>
      </c>
      <c r="AD36" s="225">
        <f t="shared" si="73"/>
        <v>-26.843961012102667</v>
      </c>
      <c r="AE36" s="225">
        <f t="shared" si="73"/>
        <v>-26.532503013615504</v>
      </c>
      <c r="AF36" s="225">
        <f t="shared" si="73"/>
        <v>-25.984681124692436</v>
      </c>
      <c r="AG36" s="226">
        <f>SUM(AC36:AF36)</f>
        <v>-106.34077716116852</v>
      </c>
      <c r="AH36" s="225">
        <f t="shared" ref="AH36:AK36" si="74">-AH180-AH181</f>
        <v>-25.563770903950864</v>
      </c>
      <c r="AI36" s="225">
        <f t="shared" si="74"/>
        <v>-25.645294360450581</v>
      </c>
      <c r="AJ36" s="225">
        <f t="shared" si="74"/>
        <v>-25.874717885700996</v>
      </c>
      <c r="AK36" s="225">
        <f t="shared" si="74"/>
        <v>-26.105320817881971</v>
      </c>
      <c r="AL36" s="226">
        <f>SUM(AH36:AK36)</f>
        <v>-103.18910396798442</v>
      </c>
      <c r="AM36" s="225">
        <f t="shared" ref="AM36:AP36" si="75">-AM180-AM181</f>
        <v>-26.191235141144112</v>
      </c>
      <c r="AN36" s="225">
        <f t="shared" si="75"/>
        <v>-26.092685532442392</v>
      </c>
      <c r="AO36" s="225">
        <f t="shared" si="75"/>
        <v>-25.998776097484857</v>
      </c>
      <c r="AP36" s="225">
        <f t="shared" si="75"/>
        <v>-25.932060232968528</v>
      </c>
      <c r="AQ36" s="226">
        <f>SUM(AM36:AP36)</f>
        <v>-104.21475700403988</v>
      </c>
    </row>
    <row r="37" spans="1:43" s="20" customFormat="1" x14ac:dyDescent="0.25">
      <c r="A37" s="323"/>
      <c r="B37" s="219" t="s">
        <v>197</v>
      </c>
      <c r="C37" s="220"/>
      <c r="D37" s="263">
        <f t="shared" ref="D37:AL37" si="76">+D27+D28+D29+D30-D32-D34+D36</f>
        <v>940.04999999999916</v>
      </c>
      <c r="E37" s="263">
        <f t="shared" si="76"/>
        <v>750.42000000000007</v>
      </c>
      <c r="F37" s="263">
        <f t="shared" si="76"/>
        <v>953.94</v>
      </c>
      <c r="G37" s="263">
        <f t="shared" si="76"/>
        <v>850.00000000000102</v>
      </c>
      <c r="H37" s="332">
        <f t="shared" si="76"/>
        <v>3494.4100000000039</v>
      </c>
      <c r="I37" s="263">
        <f t="shared" si="76"/>
        <v>946.2999999999987</v>
      </c>
      <c r="J37" s="263">
        <f t="shared" si="76"/>
        <v>372.19999999999902</v>
      </c>
      <c r="K37" s="263">
        <f t="shared" si="76"/>
        <v>-539.7749999999993</v>
      </c>
      <c r="L37" s="213">
        <f>+L27+L28+L29+L30-L32-L34+L36</f>
        <v>601.29</v>
      </c>
      <c r="M37" s="214">
        <f t="shared" si="76"/>
        <v>1380.0150000000035</v>
      </c>
      <c r="N37" s="263">
        <f t="shared" si="76"/>
        <v>721.61000000000024</v>
      </c>
      <c r="O37" s="263">
        <f t="shared" si="76"/>
        <v>735.75199999999995</v>
      </c>
      <c r="P37" s="263">
        <f t="shared" si="76"/>
        <v>1193.2379999999987</v>
      </c>
      <c r="Q37" s="263">
        <f t="shared" si="76"/>
        <v>1174.9616031503542</v>
      </c>
      <c r="R37" s="456">
        <f t="shared" si="76"/>
        <v>3825.5616031503537</v>
      </c>
      <c r="S37" s="213">
        <f t="shared" si="76"/>
        <v>998.94543856712426</v>
      </c>
      <c r="T37" s="213">
        <f t="shared" si="76"/>
        <v>907.07921026234533</v>
      </c>
      <c r="U37" s="213">
        <f t="shared" si="76"/>
        <v>1197.4108999744894</v>
      </c>
      <c r="V37" s="213">
        <f t="shared" si="76"/>
        <v>1224.6620872357782</v>
      </c>
      <c r="W37" s="456">
        <f t="shared" si="76"/>
        <v>4328.0976360397353</v>
      </c>
      <c r="X37" s="213">
        <f t="shared" si="76"/>
        <v>1153.6835433237891</v>
      </c>
      <c r="Y37" s="213">
        <f t="shared" si="76"/>
        <v>1063.3707045131355</v>
      </c>
      <c r="Z37" s="213">
        <f t="shared" si="76"/>
        <v>1224.8733822471563</v>
      </c>
      <c r="AA37" s="213">
        <f t="shared" si="76"/>
        <v>1342.0518101561956</v>
      </c>
      <c r="AB37" s="214">
        <f t="shared" si="76"/>
        <v>4783.9794402402713</v>
      </c>
      <c r="AC37" s="213">
        <f t="shared" si="76"/>
        <v>1265.2578268300133</v>
      </c>
      <c r="AD37" s="213">
        <f t="shared" si="76"/>
        <v>1178.2867443867392</v>
      </c>
      <c r="AE37" s="213">
        <f t="shared" si="76"/>
        <v>1351.1370296402322</v>
      </c>
      <c r="AF37" s="213">
        <f t="shared" si="76"/>
        <v>1477.5080701474262</v>
      </c>
      <c r="AG37" s="214">
        <f t="shared" si="76"/>
        <v>5272.1896710044111</v>
      </c>
      <c r="AH37" s="213">
        <f t="shared" si="76"/>
        <v>1397.7998994062941</v>
      </c>
      <c r="AI37" s="213">
        <f t="shared" si="76"/>
        <v>1304.7262946979204</v>
      </c>
      <c r="AJ37" s="213">
        <f t="shared" si="76"/>
        <v>1486.7601588111213</v>
      </c>
      <c r="AK37" s="213">
        <f t="shared" si="76"/>
        <v>1622.9655093658271</v>
      </c>
      <c r="AL37" s="214">
        <f t="shared" si="76"/>
        <v>5812.2518622811594</v>
      </c>
      <c r="AM37" s="213">
        <f t="shared" ref="AM37:AQ37" si="77">+AM27+AM28+AM29+AM30-AM32-AM34+AM36</f>
        <v>1543.1481850221714</v>
      </c>
      <c r="AN37" s="213">
        <f t="shared" si="77"/>
        <v>1443.3770495500057</v>
      </c>
      <c r="AO37" s="213">
        <f t="shared" si="77"/>
        <v>1632.3195221275682</v>
      </c>
      <c r="AP37" s="213">
        <f t="shared" si="77"/>
        <v>1774.8431020168989</v>
      </c>
      <c r="AQ37" s="214">
        <f t="shared" si="77"/>
        <v>6393.6878587166475</v>
      </c>
    </row>
    <row r="38" spans="1:43" x14ac:dyDescent="0.25">
      <c r="A38" s="253"/>
      <c r="B38" s="562" t="s">
        <v>0</v>
      </c>
      <c r="C38" s="563"/>
      <c r="D38" s="255">
        <v>1242</v>
      </c>
      <c r="E38" s="255">
        <v>1239.2</v>
      </c>
      <c r="F38" s="255">
        <v>1211</v>
      </c>
      <c r="G38" s="255">
        <v>1210.7904210526317</v>
      </c>
      <c r="H38" s="256">
        <v>1221.2</v>
      </c>
      <c r="I38" s="255">
        <v>1180.4000000000001</v>
      </c>
      <c r="J38" s="255">
        <v>1171.8</v>
      </c>
      <c r="K38" s="255">
        <v>1168.5</v>
      </c>
      <c r="L38" s="63">
        <v>1167.3874645009873</v>
      </c>
      <c r="M38" s="35">
        <f>+(I35/M35*I38)+(J35/M35*J38)+(K35/M35*K38)+(L35/M35*L38)</f>
        <v>1180.550811766758</v>
      </c>
      <c r="N38" s="255">
        <v>1175</v>
      </c>
      <c r="O38" s="255">
        <v>1177.5</v>
      </c>
      <c r="P38" s="255">
        <v>1178.5</v>
      </c>
      <c r="Q38" s="255">
        <f>P38*(1+Q160)-Q164-Q167-Q170</f>
        <v>1179.5008492569002</v>
      </c>
      <c r="R38" s="448">
        <f>+(N35/R35*N38)+(O35/R35*O38)+(P35/R35*P38)+(Q35/R35*Q38)</f>
        <v>1178.0239821741495</v>
      </c>
      <c r="S38" s="34">
        <f>Q38*(1+S160)-S164-S167-S170</f>
        <v>1176.3358818252711</v>
      </c>
      <c r="T38" s="34">
        <f>S38*(1+T160)-T164-T167-T170</f>
        <v>1173.1682265232118</v>
      </c>
      <c r="U38" s="34">
        <f>T38*(1+U160)-U164-U167-U170</f>
        <v>1169.9978810680298</v>
      </c>
      <c r="V38" s="34">
        <f>U38*(1+V160)-V164-V167-V170</f>
        <v>1166.8248431750937</v>
      </c>
      <c r="W38" s="448">
        <f>+(S35/W35*S38)+(T35/W35*T38)+(U35/W35*U38)+(V35/W35*V38)</f>
        <v>1171.2023647662897</v>
      </c>
      <c r="X38" s="34">
        <f>V38*(1+X160)-X164-X167-X170</f>
        <v>1163.6491105578325</v>
      </c>
      <c r="Y38" s="34">
        <f>X38*(1+Y160)-Y164-Y167-Y170</f>
        <v>1160.4706809277329</v>
      </c>
      <c r="Z38" s="34">
        <f>Y38*(1+Z160)-Z164-Z167-Z170</f>
        <v>1157.2895519943381</v>
      </c>
      <c r="AA38" s="34">
        <f>Z38*(1+AA160)-AA164-AA167-AA170</f>
        <v>1154.1057214652462</v>
      </c>
      <c r="AB38" s="35">
        <f>+(X35/AB35*X38)+(Y35/AB35*Y38)+(Z35/AB35*Z38)+(AA35/AB35*AA38)</f>
        <v>1158.6231265287104</v>
      </c>
      <c r="AC38" s="34">
        <f>AA38*(1+AC160)-AC164-AC167-AC170</f>
        <v>1153.0025203794419</v>
      </c>
      <c r="AD38" s="34">
        <f>AC38*(1+AD160)-AD164-AD167-AD170</f>
        <v>1151.898382392503</v>
      </c>
      <c r="AE38" s="34">
        <f>AD38*(1+AE160)-AE164-AE167-AE170</f>
        <v>1150.7933067087599</v>
      </c>
      <c r="AF38" s="34">
        <f>AE38*(1+AF160)-AF164-AF167-AF170</f>
        <v>1149.6872925318673</v>
      </c>
      <c r="AG38" s="35">
        <f>+(AC35/AG35*AC38)+(AD35/AG35*AD38)+(AE35/AG35*AE38)+(AF35/AG35*AF38)</f>
        <v>1151.2539390728659</v>
      </c>
      <c r="AH38" s="34">
        <f>AF38*(1+AH160)-AH164-AH167-AH170</f>
        <v>1148.5803390648032</v>
      </c>
      <c r="AI38" s="34">
        <f>AH38*(1+AI160)-AI164-AI167-AI170</f>
        <v>1147.472445509869</v>
      </c>
      <c r="AJ38" s="34">
        <f>AI38*(1+AJ160)-AJ164-AJ167-AJ170</f>
        <v>1146.3636110686884</v>
      </c>
      <c r="AK38" s="34">
        <f>AJ38*(1+AK160)-AK164-AK167-AK170</f>
        <v>1145.2538349422075</v>
      </c>
      <c r="AL38" s="35">
        <f>+(AH35/AL35*AH38)+(AI35/AL35*AI38)+(AJ35/AL35*AJ38)+(AK35/AL35*AK38)</f>
        <v>1146.831698866647</v>
      </c>
      <c r="AM38" s="34">
        <f>AK38*(1+AM160)-AM164-AM167-AM170</f>
        <v>1144.1431163306936</v>
      </c>
      <c r="AN38" s="34">
        <f>AM38*(1+AN160)-AN164-AN167-AN170</f>
        <v>1143.0314544337346</v>
      </c>
      <c r="AO38" s="34">
        <f>AN38*(1+AO160)-AO164-AO167-AO170</f>
        <v>1141.9188484502388</v>
      </c>
      <c r="AP38" s="34">
        <f>AO38*(1+AP160)-AP164-AP167-AP170</f>
        <v>1140.8052975784344</v>
      </c>
      <c r="AQ38" s="35">
        <f>+(AM35/AQ35*AM38)+(AN35/AQ35*AN38)+(AO35/AQ35*AO38)+(AP35/AQ35*AP38)</f>
        <v>1142.393549076992</v>
      </c>
    </row>
    <row r="39" spans="1:43" ht="15.75" customHeight="1" x14ac:dyDescent="0.25">
      <c r="A39" s="253"/>
      <c r="B39" s="562" t="s">
        <v>1</v>
      </c>
      <c r="C39" s="563"/>
      <c r="D39" s="255">
        <v>1253.4000000000001</v>
      </c>
      <c r="E39" s="255">
        <v>1250.7</v>
      </c>
      <c r="F39" s="255">
        <v>1223</v>
      </c>
      <c r="G39" s="255">
        <v>1222.8144210526316</v>
      </c>
      <c r="H39" s="256">
        <v>1233.2</v>
      </c>
      <c r="I39" s="255">
        <v>1191</v>
      </c>
      <c r="J39" s="255">
        <v>1180.7</v>
      </c>
      <c r="K39" s="255">
        <v>1168.5</v>
      </c>
      <c r="L39" s="255">
        <v>1179</v>
      </c>
      <c r="M39" s="35">
        <f>+(I35/M35*I39)+(J35/M35*J39)+(K35/M35*K39)+(L35/M35*L39)</f>
        <v>1198.7240978132002</v>
      </c>
      <c r="N39" s="255">
        <v>1183</v>
      </c>
      <c r="O39" s="255">
        <v>1184.8</v>
      </c>
      <c r="P39" s="255">
        <v>1186.2</v>
      </c>
      <c r="Q39" s="255">
        <f>P39*(1+Q161)-Q164-Q167-Q170</f>
        <v>1187.6016542876437</v>
      </c>
      <c r="R39" s="448">
        <f>+(N35/R35*N39)+(O35/R35*O39)+(P35/R35*P39)+(Q35/R35*Q39)</f>
        <v>1185.829910356696</v>
      </c>
      <c r="S39" s="34">
        <f>Q39*(1+S161)-S164-S167-S170</f>
        <v>1184.8382981510265</v>
      </c>
      <c r="T39" s="34">
        <f>S39*(1+T161)-T164-T167-T170</f>
        <v>1182.0716767387585</v>
      </c>
      <c r="U39" s="34">
        <f>T39*(1+U161)-U164-U167-U170</f>
        <v>1179.3017861924786</v>
      </c>
      <c r="V39" s="34">
        <f>U39*(1+V161)-V164-V167-V170</f>
        <v>1176.5286226492669</v>
      </c>
      <c r="W39" s="448">
        <f>+(S35/W35*S39)+(T35/W35*T39)+(U35/W35*U39)+(V35/W35*V39)</f>
        <v>1180.353653624154</v>
      </c>
      <c r="X39" s="34">
        <f>V39*(1+X161)-X164-X167-X170</f>
        <v>1173.752182241639</v>
      </c>
      <c r="Y39" s="34">
        <f>X39*(1+Y161)-Y164-Y167-Y170</f>
        <v>1170.9724610975402</v>
      </c>
      <c r="Z39" s="34">
        <f>Y39*(1+Z161)-Z164-Z167-Z170</f>
        <v>1168.1894553403406</v>
      </c>
      <c r="AA39" s="34">
        <f>Z39*(1+AA161)-AA164-AA167-AA170</f>
        <v>1165.4031610888296</v>
      </c>
      <c r="AB39" s="35">
        <f>+(X35/AB35*X39)+(Y35/AB35*Y39)+(Z35/AB35*Z39)+(AA35/AB35*AA39)</f>
        <v>1169.3556483125697</v>
      </c>
      <c r="AC39" s="34">
        <f>AA39*(1+AC161)-AC164-AC167-AC170</f>
        <v>1164.6969077905439</v>
      </c>
      <c r="AD39" s="34">
        <f>AC39*(1+AD161)-AD164-AD167-AD170</f>
        <v>1163.9898199593265</v>
      </c>
      <c r="AE39" s="34">
        <f>AD39*(1+AE161)-AE164-AE167-AE170</f>
        <v>1163.2818966090649</v>
      </c>
      <c r="AF39" s="34">
        <f>AE39*(1+AF161)-AF164-AF167-AF170</f>
        <v>1162.5731367524811</v>
      </c>
      <c r="AG39" s="35">
        <f>+(AC35/AG35*AC39)+(AD35/AG35*AD39)+(AE35/AG35*AE39)+(AF35/AG35*AF39)</f>
        <v>1163.5768600167767</v>
      </c>
      <c r="AH39" s="34">
        <f>AF39*(1+AH161)-AH164-AH167-AH170</f>
        <v>1161.863539401131</v>
      </c>
      <c r="AI39" s="34">
        <f>AH39*(1+AI161)-AI164-AI167-AI170</f>
        <v>1161.1531035654023</v>
      </c>
      <c r="AJ39" s="34">
        <f>AI39*(1+AJ161)-AJ164-AJ167-AJ170</f>
        <v>1160.441828254513</v>
      </c>
      <c r="AK39" s="34">
        <f>AJ39*(1+AK161)-AK164-AK167-AK170</f>
        <v>1159.7297124765109</v>
      </c>
      <c r="AL39" s="35">
        <f>+(AH35/AL35*AH39)+(AI35/AL35*AI39)+(AJ35/AL35*AJ39)+(AK35/AL35*AK39)</f>
        <v>1160.7419658476042</v>
      </c>
      <c r="AM39" s="34">
        <f>AK39*(1+AM161)-AM164-AM167-AM170</f>
        <v>1159.0167552382716</v>
      </c>
      <c r="AN39" s="34">
        <f>AM39*(1+AN161)-AN164-AN167-AN170</f>
        <v>1158.3029555454968</v>
      </c>
      <c r="AO39" s="34">
        <f>AN39*(1+AO161)-AO164-AO167-AO170</f>
        <v>1157.5883124027137</v>
      </c>
      <c r="AP39" s="34">
        <f>AO39*(1+AP161)-AP164-AP167-AP170</f>
        <v>1156.8728248132729</v>
      </c>
      <c r="AQ39" s="35">
        <f>+(AM35/AQ35*AM39)+(AN35/AQ35*AN39)+(AO35/AQ35*AO39)+(AP35/AQ35*AP39)</f>
        <v>1157.8930961983601</v>
      </c>
    </row>
    <row r="40" spans="1:43" ht="15.75" customHeight="1" x14ac:dyDescent="0.25">
      <c r="A40" s="253"/>
      <c r="B40" s="552" t="s">
        <v>44</v>
      </c>
      <c r="C40" s="553"/>
      <c r="D40" s="265">
        <f t="shared" ref="D40:AL40" si="78">D35/D38</f>
        <v>0.61239935587761718</v>
      </c>
      <c r="E40" s="265">
        <f t="shared" si="78"/>
        <v>0.53518398967075509</v>
      </c>
      <c r="F40" s="265">
        <f t="shared" si="78"/>
        <v>1.1336085879438487</v>
      </c>
      <c r="G40" s="265">
        <f t="shared" si="78"/>
        <v>0.66287276975832043</v>
      </c>
      <c r="H40" s="294">
        <f t="shared" si="78"/>
        <v>2.947264985260404</v>
      </c>
      <c r="I40" s="265">
        <f t="shared" si="78"/>
        <v>0.75033886818027684</v>
      </c>
      <c r="J40" s="265">
        <f t="shared" si="78"/>
        <v>0.28025260283324721</v>
      </c>
      <c r="K40" s="265">
        <f t="shared" si="78"/>
        <v>-0.58057338468121455</v>
      </c>
      <c r="L40" s="265">
        <f t="shared" si="78"/>
        <v>0.3363065065700544</v>
      </c>
      <c r="M40" s="45">
        <f t="shared" si="78"/>
        <v>0.78632786555858059</v>
      </c>
      <c r="N40" s="265">
        <f t="shared" si="78"/>
        <v>0.52953191489361717</v>
      </c>
      <c r="O40" s="265">
        <f t="shared" si="78"/>
        <v>0.55999999999999994</v>
      </c>
      <c r="P40" s="265">
        <f t="shared" si="78"/>
        <v>0.97870173949936268</v>
      </c>
      <c r="Q40" s="265">
        <f t="shared" si="78"/>
        <v>0.96327747781289463</v>
      </c>
      <c r="R40" s="453">
        <f t="shared" si="78"/>
        <v>3.0315058582758279</v>
      </c>
      <c r="S40" s="44">
        <f t="shared" si="78"/>
        <v>0.77762691141219298</v>
      </c>
      <c r="T40" s="44">
        <f t="shared" si="78"/>
        <v>0.69817125689615633</v>
      </c>
      <c r="U40" s="44">
        <f t="shared" si="78"/>
        <v>0.94416039847106237</v>
      </c>
      <c r="V40" s="44">
        <f t="shared" si="78"/>
        <v>0.97410181589126832</v>
      </c>
      <c r="W40" s="453">
        <f t="shared" si="78"/>
        <v>3.3940288694567995</v>
      </c>
      <c r="X40" s="44">
        <f t="shared" si="78"/>
        <v>0.92721146244051267</v>
      </c>
      <c r="Y40" s="44">
        <f t="shared" si="78"/>
        <v>0.8547747067980993</v>
      </c>
      <c r="Z40" s="44">
        <f t="shared" si="78"/>
        <v>0.99610654652141573</v>
      </c>
      <c r="AA40" s="44">
        <f t="shared" si="78"/>
        <v>1.0967780229473183</v>
      </c>
      <c r="AB40" s="45">
        <f t="shared" si="78"/>
        <v>3.8748331249693111</v>
      </c>
      <c r="AC40" s="44">
        <f t="shared" si="78"/>
        <v>1.0271607475827476</v>
      </c>
      <c r="AD40" s="44">
        <f t="shared" si="78"/>
        <v>0.95299626957578043</v>
      </c>
      <c r="AE40" s="44">
        <f t="shared" si="78"/>
        <v>1.10492432758056</v>
      </c>
      <c r="AF40" s="44">
        <f t="shared" si="78"/>
        <v>1.2173345185813262</v>
      </c>
      <c r="AG40" s="45">
        <f t="shared" si="78"/>
        <v>4.3024107639621345</v>
      </c>
      <c r="AH40" s="44">
        <f t="shared" si="78"/>
        <v>1.1502099955586165</v>
      </c>
      <c r="AI40" s="44">
        <f t="shared" si="78"/>
        <v>1.069995551022588</v>
      </c>
      <c r="AJ40" s="44">
        <f t="shared" si="78"/>
        <v>1.2292225534273218</v>
      </c>
      <c r="AK40" s="44">
        <f t="shared" si="78"/>
        <v>1.3487399035779069</v>
      </c>
      <c r="AL40" s="45">
        <f t="shared" si="78"/>
        <v>4.7981622375935524</v>
      </c>
      <c r="AM40" s="44">
        <f t="shared" ref="AM40:AQ40" si="79">AM35/AM38</f>
        <v>1.2800623092464867</v>
      </c>
      <c r="AN40" s="44">
        <f t="shared" si="79"/>
        <v>1.1942794641893366</v>
      </c>
      <c r="AO40" s="44">
        <f t="shared" si="79"/>
        <v>1.3611503093626762</v>
      </c>
      <c r="AP40" s="44">
        <f t="shared" si="79"/>
        <v>1.487586816891789</v>
      </c>
      <c r="AQ40" s="45">
        <f t="shared" si="79"/>
        <v>5.3230724145963242</v>
      </c>
    </row>
    <row r="41" spans="1:43" x14ac:dyDescent="0.25">
      <c r="A41" s="253"/>
      <c r="B41" s="552" t="s">
        <v>45</v>
      </c>
      <c r="C41" s="553"/>
      <c r="D41" s="265">
        <f t="shared" ref="D41:AL41" si="80">D35/D39</f>
        <v>0.60682942396681061</v>
      </c>
      <c r="E41" s="265">
        <f t="shared" si="80"/>
        <v>0.53026305269049312</v>
      </c>
      <c r="F41" s="265">
        <f t="shared" si="80"/>
        <v>1.1224856909239582</v>
      </c>
      <c r="G41" s="265">
        <f t="shared" si="80"/>
        <v>0.65635470614510849</v>
      </c>
      <c r="H41" s="294">
        <f t="shared" si="80"/>
        <v>2.9185857930587131</v>
      </c>
      <c r="I41" s="265">
        <f t="shared" si="80"/>
        <v>0.74366078925272783</v>
      </c>
      <c r="J41" s="265">
        <f t="shared" si="80"/>
        <v>0.27814008638942922</v>
      </c>
      <c r="K41" s="265">
        <f t="shared" si="80"/>
        <v>-0.58057338468121455</v>
      </c>
      <c r="L41" s="265">
        <f t="shared" si="80"/>
        <v>0.3329940627650555</v>
      </c>
      <c r="M41" s="453">
        <f t="shared" si="80"/>
        <v>0.7744067226924668</v>
      </c>
      <c r="N41" s="265">
        <f t="shared" si="80"/>
        <v>0.52595097210481845</v>
      </c>
      <c r="O41" s="265">
        <f t="shared" si="80"/>
        <v>0.55654962862930457</v>
      </c>
      <c r="P41" s="265">
        <f t="shared" si="80"/>
        <v>0.97234867644579237</v>
      </c>
      <c r="Q41" s="265">
        <f t="shared" si="80"/>
        <v>0.95670682088420489</v>
      </c>
      <c r="R41" s="490">
        <f t="shared" si="80"/>
        <v>3.0115504525232843</v>
      </c>
      <c r="S41" s="265">
        <f t="shared" si="80"/>
        <v>0.77204664973660786</v>
      </c>
      <c r="T41" s="265">
        <f t="shared" si="80"/>
        <v>0.69291257999015821</v>
      </c>
      <c r="U41" s="265">
        <f t="shared" si="80"/>
        <v>0.93671160218118465</v>
      </c>
      <c r="V41" s="265">
        <f t="shared" si="80"/>
        <v>0.9660676133866869</v>
      </c>
      <c r="W41" s="453">
        <f t="shared" si="80"/>
        <v>3.3677149435575879</v>
      </c>
      <c r="X41" s="44">
        <f t="shared" si="80"/>
        <v>0.9192304899551681</v>
      </c>
      <c r="Y41" s="44">
        <f t="shared" si="80"/>
        <v>0.84710872287129424</v>
      </c>
      <c r="Z41" s="44">
        <f t="shared" si="80"/>
        <v>0.98681227920050374</v>
      </c>
      <c r="AA41" s="44">
        <f t="shared" si="80"/>
        <v>1.0861458366718462</v>
      </c>
      <c r="AB41" s="45">
        <f t="shared" si="80"/>
        <v>3.8392693245271068</v>
      </c>
      <c r="AC41" s="44">
        <f t="shared" si="80"/>
        <v>1.0168473212867191</v>
      </c>
      <c r="AD41" s="44">
        <f t="shared" si="80"/>
        <v>0.94309661693500912</v>
      </c>
      <c r="AE41" s="44">
        <f t="shared" si="80"/>
        <v>1.0930622442469782</v>
      </c>
      <c r="AF41" s="44">
        <f t="shared" si="80"/>
        <v>1.2038417046886596</v>
      </c>
      <c r="AG41" s="45">
        <f t="shared" si="80"/>
        <v>4.2568458601432564</v>
      </c>
      <c r="AH41" s="44">
        <f t="shared" si="80"/>
        <v>1.1370600263223609</v>
      </c>
      <c r="AI41" s="44">
        <f t="shared" si="80"/>
        <v>1.0573889074976868</v>
      </c>
      <c r="AJ41" s="44">
        <f t="shared" si="80"/>
        <v>1.2143099040764331</v>
      </c>
      <c r="AK41" s="44">
        <f t="shared" si="80"/>
        <v>1.3319047794452936</v>
      </c>
      <c r="AL41" s="45">
        <f t="shared" si="80"/>
        <v>4.7406613289448885</v>
      </c>
      <c r="AM41" s="44">
        <f t="shared" ref="AM41:AQ41" si="81">AM35/AM39</f>
        <v>1.2636352951581369</v>
      </c>
      <c r="AN41" s="44">
        <f t="shared" si="81"/>
        <v>1.1785336352783389</v>
      </c>
      <c r="AO41" s="44">
        <f t="shared" si="81"/>
        <v>1.3427253689257874</v>
      </c>
      <c r="AP41" s="44">
        <f t="shared" si="81"/>
        <v>1.4669260829010382</v>
      </c>
      <c r="AQ41" s="45">
        <f t="shared" si="81"/>
        <v>5.2518178126029493</v>
      </c>
    </row>
    <row r="42" spans="1:43" x14ac:dyDescent="0.25">
      <c r="A42" s="253"/>
      <c r="B42" s="227" t="s">
        <v>198</v>
      </c>
      <c r="C42" s="254"/>
      <c r="D42" s="266">
        <f t="shared" ref="D42:AL42" si="82">+D37/D39</f>
        <v>0.74999999999999922</v>
      </c>
      <c r="E42" s="266">
        <f t="shared" si="82"/>
        <v>0.60000000000000009</v>
      </c>
      <c r="F42" s="280">
        <f t="shared" si="82"/>
        <v>0.78</v>
      </c>
      <c r="G42" s="280">
        <f t="shared" si="82"/>
        <v>0.69511774261567683</v>
      </c>
      <c r="H42" s="279">
        <f t="shared" si="82"/>
        <v>2.8336117418099285</v>
      </c>
      <c r="I42" s="266">
        <f t="shared" si="82"/>
        <v>0.79454240134340781</v>
      </c>
      <c r="J42" s="266">
        <f t="shared" si="82"/>
        <v>0.31523672397730074</v>
      </c>
      <c r="K42" s="266">
        <f t="shared" si="82"/>
        <v>-0.46193838254171954</v>
      </c>
      <c r="L42" s="266">
        <f t="shared" si="82"/>
        <v>0.51</v>
      </c>
      <c r="M42" s="451">
        <f t="shared" si="82"/>
        <v>1.1512365543643674</v>
      </c>
      <c r="N42" s="266">
        <f t="shared" si="82"/>
        <v>0.60998309382924787</v>
      </c>
      <c r="O42" s="266">
        <f t="shared" si="82"/>
        <v>0.62099257258609042</v>
      </c>
      <c r="P42" s="266">
        <f t="shared" si="82"/>
        <v>1.0059332321699532</v>
      </c>
      <c r="Q42" s="266">
        <f t="shared" si="82"/>
        <v>0.98935665751924928</v>
      </c>
      <c r="R42" s="491">
        <f t="shared" si="82"/>
        <v>3.2260626669465857</v>
      </c>
      <c r="S42" s="266">
        <f t="shared" si="82"/>
        <v>0.84310697934562606</v>
      </c>
      <c r="T42" s="266">
        <f t="shared" si="82"/>
        <v>0.76736396625702474</v>
      </c>
      <c r="U42" s="266">
        <f t="shared" si="82"/>
        <v>1.0153557927190786</v>
      </c>
      <c r="V42" s="266">
        <f t="shared" si="82"/>
        <v>1.0409114267684589</v>
      </c>
      <c r="W42" s="451">
        <f t="shared" si="82"/>
        <v>3.6667803948001163</v>
      </c>
      <c r="X42" s="215">
        <f t="shared" si="82"/>
        <v>0.98290214985626456</v>
      </c>
      <c r="Y42" s="215">
        <f t="shared" si="82"/>
        <v>0.90810906305725525</v>
      </c>
      <c r="Z42" s="215">
        <f t="shared" si="82"/>
        <v>1.0485228886870079</v>
      </c>
      <c r="AA42" s="215">
        <f t="shared" si="82"/>
        <v>1.1515772866982137</v>
      </c>
      <c r="AB42" s="216">
        <f t="shared" si="82"/>
        <v>4.0911244129566215</v>
      </c>
      <c r="AC42" s="215">
        <f t="shared" si="82"/>
        <v>1.0863408483072525</v>
      </c>
      <c r="AD42" s="215">
        <f t="shared" si="82"/>
        <v>1.0122826885444001</v>
      </c>
      <c r="AE42" s="215">
        <f t="shared" si="82"/>
        <v>1.1614871971950735</v>
      </c>
      <c r="AF42" s="215">
        <f t="shared" si="82"/>
        <v>1.2708947277714338</v>
      </c>
      <c r="AG42" s="216">
        <f t="shared" si="82"/>
        <v>4.5310196963940959</v>
      </c>
      <c r="AH42" s="215">
        <f t="shared" si="82"/>
        <v>1.2030671864673315</v>
      </c>
      <c r="AI42" s="215">
        <f t="shared" si="82"/>
        <v>1.1236470803821361</v>
      </c>
      <c r="AJ42" s="215">
        <f t="shared" si="82"/>
        <v>1.2812017997036891</v>
      </c>
      <c r="AK42" s="215">
        <f t="shared" si="82"/>
        <v>1.3994342749916382</v>
      </c>
      <c r="AL42" s="216">
        <f t="shared" si="82"/>
        <v>5.0073591145099163</v>
      </c>
      <c r="AM42" s="215">
        <f t="shared" ref="AM42:AQ42" si="83">+AM37/AM39</f>
        <v>1.3314287114899646</v>
      </c>
      <c r="AN42" s="215">
        <f t="shared" si="83"/>
        <v>1.2461135859488977</v>
      </c>
      <c r="AO42" s="215">
        <f t="shared" si="83"/>
        <v>1.4101036652136656</v>
      </c>
      <c r="AP42" s="215">
        <f t="shared" si="83"/>
        <v>1.5341730430078782</v>
      </c>
      <c r="AQ42" s="216">
        <f t="shared" si="83"/>
        <v>5.5218291565159632</v>
      </c>
    </row>
    <row r="43" spans="1:43" x14ac:dyDescent="0.25">
      <c r="A43" s="253"/>
      <c r="B43" s="350" t="s">
        <v>150</v>
      </c>
      <c r="C43" s="351"/>
      <c r="D43" s="267">
        <v>0.36</v>
      </c>
      <c r="E43" s="267">
        <v>0.36</v>
      </c>
      <c r="F43" s="267">
        <v>0.36</v>
      </c>
      <c r="G43" s="267">
        <v>0.41</v>
      </c>
      <c r="H43" s="334">
        <f>+SUM(D43:G43)</f>
        <v>1.49</v>
      </c>
      <c r="I43" s="267">
        <v>0.41</v>
      </c>
      <c r="J43" s="267">
        <v>0.41</v>
      </c>
      <c r="K43" s="267">
        <v>0.41</v>
      </c>
      <c r="L43" s="267">
        <f>K43*1.1</f>
        <v>0.45100000000000001</v>
      </c>
      <c r="M43" s="145">
        <f>+SUM(I43:L43)</f>
        <v>1.681</v>
      </c>
      <c r="N43" s="267">
        <f>+L43</f>
        <v>0.45100000000000001</v>
      </c>
      <c r="O43" s="267">
        <v>0.45</v>
      </c>
      <c r="P43" s="267">
        <v>0.45</v>
      </c>
      <c r="Q43" s="217">
        <v>0.49</v>
      </c>
      <c r="R43" s="145">
        <f>+SUM(N43:Q43)</f>
        <v>1.841</v>
      </c>
      <c r="S43" s="217">
        <f>+Q43</f>
        <v>0.49</v>
      </c>
      <c r="T43" s="217">
        <f>+S43</f>
        <v>0.49</v>
      </c>
      <c r="U43" s="217">
        <f>+T43</f>
        <v>0.49</v>
      </c>
      <c r="V43" s="217">
        <f>1.05*U43</f>
        <v>0.51449999999999996</v>
      </c>
      <c r="W43" s="145">
        <f>+SUM(S43:V43)</f>
        <v>1.9844999999999999</v>
      </c>
      <c r="X43" s="217">
        <f>+V43</f>
        <v>0.51449999999999996</v>
      </c>
      <c r="Y43" s="217">
        <f>+X43</f>
        <v>0.51449999999999996</v>
      </c>
      <c r="Z43" s="217">
        <f>+Y43</f>
        <v>0.51449999999999996</v>
      </c>
      <c r="AA43" s="217">
        <f>1.05*Z43</f>
        <v>0.54022499999999996</v>
      </c>
      <c r="AB43" s="145">
        <f>+SUM(X43:AA43)</f>
        <v>2.0837249999999998</v>
      </c>
      <c r="AC43" s="217">
        <f>+AA43</f>
        <v>0.54022499999999996</v>
      </c>
      <c r="AD43" s="217">
        <f>+AC43</f>
        <v>0.54022499999999996</v>
      </c>
      <c r="AE43" s="217">
        <f>+AD43</f>
        <v>0.54022499999999996</v>
      </c>
      <c r="AF43" s="217">
        <f>1*AE43</f>
        <v>0.54022499999999996</v>
      </c>
      <c r="AG43" s="145">
        <f>+SUM(AC43:AF43)</f>
        <v>2.1608999999999998</v>
      </c>
      <c r="AH43" s="217">
        <f>+AF43</f>
        <v>0.54022499999999996</v>
      </c>
      <c r="AI43" s="217">
        <f>+AH43</f>
        <v>0.54022499999999996</v>
      </c>
      <c r="AJ43" s="217">
        <f>+AI43</f>
        <v>0.54022499999999996</v>
      </c>
      <c r="AK43" s="217">
        <f>1.1*AJ43</f>
        <v>0.59424750000000004</v>
      </c>
      <c r="AL43" s="145">
        <f>+SUM(AH43:AK43)</f>
        <v>2.2149225000000001</v>
      </c>
      <c r="AM43" s="217">
        <f>+AK43</f>
        <v>0.59424750000000004</v>
      </c>
      <c r="AN43" s="217">
        <f>+AM43</f>
        <v>0.59424750000000004</v>
      </c>
      <c r="AO43" s="217">
        <f>+AN43</f>
        <v>0.59424750000000004</v>
      </c>
      <c r="AP43" s="217">
        <f>1.07*AO43</f>
        <v>0.63584482500000006</v>
      </c>
      <c r="AQ43" s="145">
        <f>+SUM(AM43:AP43)</f>
        <v>2.4185873250000003</v>
      </c>
    </row>
    <row r="44" spans="1:43" s="185" customFormat="1" x14ac:dyDescent="0.25">
      <c r="A44" s="271"/>
      <c r="B44" s="504"/>
      <c r="C44" s="503" t="s">
        <v>362</v>
      </c>
      <c r="D44" s="505"/>
      <c r="E44" s="506"/>
      <c r="F44" s="507"/>
      <c r="G44" s="506"/>
      <c r="H44" s="508">
        <f>H43/H41</f>
        <v>0.51052122693931912</v>
      </c>
      <c r="I44" s="506"/>
      <c r="J44" s="509"/>
      <c r="K44" s="509"/>
      <c r="L44" s="505"/>
      <c r="M44" s="508">
        <f>M43/M41</f>
        <v>2.1706939657696651</v>
      </c>
      <c r="N44" s="510"/>
      <c r="O44" s="503"/>
      <c r="P44" s="503"/>
      <c r="Q44" s="511"/>
      <c r="R44" s="508">
        <f>R43/R41</f>
        <v>0.61131301933111681</v>
      </c>
      <c r="S44" s="503"/>
      <c r="T44" s="503"/>
      <c r="U44" s="503"/>
      <c r="V44" s="511"/>
      <c r="W44" s="508">
        <f>W43/W41</f>
        <v>0.58927196430218443</v>
      </c>
      <c r="X44" s="503"/>
      <c r="Y44" s="503"/>
      <c r="Z44" s="503"/>
      <c r="AA44" s="512"/>
      <c r="AB44" s="508">
        <f>AB43/AB41</f>
        <v>0.5427399913541251</v>
      </c>
      <c r="AC44" s="503"/>
      <c r="AD44" s="503"/>
      <c r="AE44" s="503"/>
      <c r="AF44" s="511"/>
      <c r="AG44" s="513">
        <f>AG43/AG41</f>
        <v>0.50762937418816445</v>
      </c>
      <c r="AH44" s="503"/>
      <c r="AI44" s="503"/>
      <c r="AJ44" s="503"/>
      <c r="AK44" s="511"/>
      <c r="AL44" s="508">
        <f>AL43/AL41</f>
        <v>0.46721804117843768</v>
      </c>
      <c r="AM44" s="503"/>
      <c r="AN44" s="503"/>
      <c r="AO44" s="503"/>
      <c r="AP44" s="511"/>
      <c r="AQ44" s="508">
        <f>AQ43/AQ41</f>
        <v>0.46052384361011944</v>
      </c>
    </row>
    <row r="45" spans="1:43" ht="15.75" x14ac:dyDescent="0.25">
      <c r="A45" s="253"/>
      <c r="B45" s="532" t="s">
        <v>98</v>
      </c>
      <c r="C45" s="533"/>
      <c r="D45" s="31" t="s">
        <v>106</v>
      </c>
      <c r="E45" s="31" t="s">
        <v>244</v>
      </c>
      <c r="F45" s="31" t="s">
        <v>246</v>
      </c>
      <c r="G45" s="31" t="s">
        <v>337</v>
      </c>
      <c r="H45" s="85" t="s">
        <v>337</v>
      </c>
      <c r="I45" s="31" t="s">
        <v>336</v>
      </c>
      <c r="J45" s="31" t="s">
        <v>335</v>
      </c>
      <c r="K45" s="31" t="s">
        <v>334</v>
      </c>
      <c r="L45" s="31" t="s">
        <v>321</v>
      </c>
      <c r="M45" s="85" t="s">
        <v>321</v>
      </c>
      <c r="N45" s="31" t="s">
        <v>338</v>
      </c>
      <c r="O45" s="31" t="s">
        <v>346</v>
      </c>
      <c r="P45" s="31" t="s">
        <v>348</v>
      </c>
      <c r="Q45" s="33" t="s">
        <v>120</v>
      </c>
      <c r="R45" s="88" t="s">
        <v>120</v>
      </c>
      <c r="S45" s="33" t="s">
        <v>121</v>
      </c>
      <c r="T45" s="33" t="s">
        <v>122</v>
      </c>
      <c r="U45" s="33" t="s">
        <v>123</v>
      </c>
      <c r="V45" s="33" t="s">
        <v>124</v>
      </c>
      <c r="W45" s="88" t="s">
        <v>124</v>
      </c>
      <c r="X45" s="33" t="s">
        <v>125</v>
      </c>
      <c r="Y45" s="33" t="s">
        <v>126</v>
      </c>
      <c r="Z45" s="33" t="s">
        <v>127</v>
      </c>
      <c r="AA45" s="33" t="s">
        <v>128</v>
      </c>
      <c r="AB45" s="88" t="s">
        <v>128</v>
      </c>
      <c r="AC45" s="33" t="s">
        <v>248</v>
      </c>
      <c r="AD45" s="33" t="s">
        <v>249</v>
      </c>
      <c r="AE45" s="33" t="s">
        <v>250</v>
      </c>
      <c r="AF45" s="33" t="s">
        <v>251</v>
      </c>
      <c r="AG45" s="88" t="s">
        <v>251</v>
      </c>
      <c r="AH45" s="33" t="s">
        <v>281</v>
      </c>
      <c r="AI45" s="33" t="s">
        <v>282</v>
      </c>
      <c r="AJ45" s="33" t="s">
        <v>283</v>
      </c>
      <c r="AK45" s="33" t="s">
        <v>284</v>
      </c>
      <c r="AL45" s="88" t="s">
        <v>284</v>
      </c>
      <c r="AM45" s="33" t="s">
        <v>352</v>
      </c>
      <c r="AN45" s="33" t="s">
        <v>353</v>
      </c>
      <c r="AO45" s="33" t="s">
        <v>354</v>
      </c>
      <c r="AP45" s="33" t="s">
        <v>355</v>
      </c>
      <c r="AQ45" s="88" t="s">
        <v>355</v>
      </c>
    </row>
    <row r="46" spans="1:43" ht="17.25" x14ac:dyDescent="0.4">
      <c r="A46" s="253"/>
      <c r="B46" s="534"/>
      <c r="C46" s="535"/>
      <c r="D46" s="32" t="s">
        <v>119</v>
      </c>
      <c r="E46" s="32" t="s">
        <v>243</v>
      </c>
      <c r="F46" s="32" t="s">
        <v>247</v>
      </c>
      <c r="G46" s="32" t="s">
        <v>257</v>
      </c>
      <c r="H46" s="86" t="s">
        <v>258</v>
      </c>
      <c r="I46" s="32" t="s">
        <v>259</v>
      </c>
      <c r="J46" s="32" t="s">
        <v>260</v>
      </c>
      <c r="K46" s="32" t="s">
        <v>261</v>
      </c>
      <c r="L46" s="32" t="s">
        <v>322</v>
      </c>
      <c r="M46" s="86" t="s">
        <v>333</v>
      </c>
      <c r="N46" s="32" t="s">
        <v>339</v>
      </c>
      <c r="O46" s="32" t="s">
        <v>347</v>
      </c>
      <c r="P46" s="32" t="s">
        <v>349</v>
      </c>
      <c r="Q46" s="30" t="s">
        <v>129</v>
      </c>
      <c r="R46" s="89" t="s">
        <v>130</v>
      </c>
      <c r="S46" s="30" t="s">
        <v>131</v>
      </c>
      <c r="T46" s="30" t="s">
        <v>132</v>
      </c>
      <c r="U46" s="30" t="s">
        <v>133</v>
      </c>
      <c r="V46" s="30" t="s">
        <v>134</v>
      </c>
      <c r="W46" s="89" t="s">
        <v>135</v>
      </c>
      <c r="X46" s="30" t="s">
        <v>136</v>
      </c>
      <c r="Y46" s="30" t="s">
        <v>137</v>
      </c>
      <c r="Z46" s="30" t="s">
        <v>138</v>
      </c>
      <c r="AA46" s="30" t="s">
        <v>139</v>
      </c>
      <c r="AB46" s="89" t="s">
        <v>140</v>
      </c>
      <c r="AC46" s="30" t="s">
        <v>252</v>
      </c>
      <c r="AD46" s="30" t="s">
        <v>253</v>
      </c>
      <c r="AE46" s="30" t="s">
        <v>254</v>
      </c>
      <c r="AF46" s="30" t="s">
        <v>255</v>
      </c>
      <c r="AG46" s="89" t="s">
        <v>256</v>
      </c>
      <c r="AH46" s="30" t="s">
        <v>285</v>
      </c>
      <c r="AI46" s="30" t="s">
        <v>286</v>
      </c>
      <c r="AJ46" s="30" t="s">
        <v>287</v>
      </c>
      <c r="AK46" s="30" t="s">
        <v>288</v>
      </c>
      <c r="AL46" s="89" t="s">
        <v>289</v>
      </c>
      <c r="AM46" s="30" t="s">
        <v>356</v>
      </c>
      <c r="AN46" s="30" t="s">
        <v>357</v>
      </c>
      <c r="AO46" s="30" t="s">
        <v>358</v>
      </c>
      <c r="AP46" s="30" t="s">
        <v>359</v>
      </c>
      <c r="AQ46" s="89" t="s">
        <v>360</v>
      </c>
    </row>
    <row r="47" spans="1:43" ht="18" x14ac:dyDescent="0.4">
      <c r="A47" s="253"/>
      <c r="B47" s="554" t="s">
        <v>151</v>
      </c>
      <c r="C47" s="555"/>
      <c r="D47" s="32"/>
      <c r="E47" s="32"/>
      <c r="F47" s="32"/>
      <c r="G47" s="32"/>
      <c r="H47" s="86"/>
      <c r="I47" s="32"/>
      <c r="J47" s="32"/>
      <c r="K47" s="32"/>
      <c r="L47" s="32"/>
      <c r="M47" s="86"/>
      <c r="N47" s="32"/>
      <c r="O47" s="32"/>
      <c r="P47" s="32"/>
      <c r="Q47" s="30"/>
      <c r="R47" s="89"/>
      <c r="S47" s="30"/>
      <c r="T47" s="30"/>
      <c r="U47" s="30"/>
      <c r="V47" s="30"/>
      <c r="W47" s="89"/>
      <c r="X47" s="30"/>
      <c r="Y47" s="30"/>
      <c r="Z47" s="30"/>
      <c r="AA47" s="30"/>
      <c r="AB47" s="89"/>
      <c r="AC47" s="30"/>
      <c r="AD47" s="30"/>
      <c r="AE47" s="30"/>
      <c r="AF47" s="30"/>
      <c r="AG47" s="89"/>
      <c r="AH47" s="30"/>
      <c r="AI47" s="30"/>
      <c r="AJ47" s="30"/>
      <c r="AK47" s="30"/>
      <c r="AL47" s="89"/>
      <c r="AM47" s="30"/>
      <c r="AN47" s="30"/>
      <c r="AO47" s="30"/>
      <c r="AP47" s="30"/>
      <c r="AQ47" s="89"/>
    </row>
    <row r="48" spans="1:43" s="20" customFormat="1" outlineLevel="1" x14ac:dyDescent="0.25">
      <c r="A48" s="268"/>
      <c r="B48" s="556" t="s">
        <v>153</v>
      </c>
      <c r="C48" s="557"/>
      <c r="D48" s="41">
        <v>9777</v>
      </c>
      <c r="E48" s="41">
        <v>9776</v>
      </c>
      <c r="F48" s="282">
        <v>9857</v>
      </c>
      <c r="G48" s="41">
        <v>9974</v>
      </c>
      <c r="H48" s="178"/>
      <c r="I48" s="41">
        <v>10020</v>
      </c>
      <c r="J48" s="41">
        <v>10051</v>
      </c>
      <c r="K48" s="41">
        <v>10017</v>
      </c>
      <c r="L48" s="41">
        <v>10109</v>
      </c>
      <c r="M48" s="178"/>
      <c r="N48" s="41">
        <v>10029</v>
      </c>
      <c r="O48" s="41">
        <f>+N48+O49</f>
        <v>9820</v>
      </c>
      <c r="P48" s="41">
        <f t="shared" ref="P48:Q48" si="84">+O48+P49</f>
        <v>9860</v>
      </c>
      <c r="Q48" s="41">
        <f t="shared" si="84"/>
        <v>9985</v>
      </c>
      <c r="R48" s="478">
        <f>Q48</f>
        <v>9985</v>
      </c>
      <c r="S48" s="41">
        <f>+Q48+S49</f>
        <v>9954</v>
      </c>
      <c r="T48" s="41">
        <f>+S48+T49</f>
        <v>9935.25</v>
      </c>
      <c r="U48" s="41">
        <f t="shared" ref="U48:V48" si="85">+T48+U49</f>
        <v>9964.0625</v>
      </c>
      <c r="V48" s="41">
        <f t="shared" si="85"/>
        <v>9990.078125</v>
      </c>
      <c r="W48" s="478">
        <f>V48</f>
        <v>9990.078125</v>
      </c>
      <c r="X48" s="41">
        <f>+V48+X49</f>
        <v>10064.784482421876</v>
      </c>
      <c r="Y48" s="41">
        <f>+X48+Y49</f>
        <v>10139.490839843751</v>
      </c>
      <c r="Z48" s="41">
        <f t="shared" ref="Z48:AA48" si="86">+Y48+Z49</f>
        <v>10214.197197265627</v>
      </c>
      <c r="AA48" s="41">
        <f t="shared" si="86"/>
        <v>10288.903554687502</v>
      </c>
      <c r="AB48" s="478">
        <f>AA48</f>
        <v>10288.903554687502</v>
      </c>
      <c r="AC48" s="41">
        <f>+AA48+AC49</f>
        <v>10365.229884826662</v>
      </c>
      <c r="AD48" s="41">
        <f>+AC48+AD49</f>
        <v>10441.556214965822</v>
      </c>
      <c r="AE48" s="41">
        <f t="shared" ref="AE48:AF48" si="87">+AD48+AE49</f>
        <v>10517.882545104982</v>
      </c>
      <c r="AF48" s="41">
        <f t="shared" si="87"/>
        <v>10594.208875244141</v>
      </c>
      <c r="AG48" s="478">
        <f>AF48</f>
        <v>10594.208875244141</v>
      </c>
      <c r="AH48" s="41">
        <f>+AF48+AH49</f>
        <v>10670.535205383301</v>
      </c>
      <c r="AI48" s="41">
        <f>+AH48+AI49</f>
        <v>10746.861535522461</v>
      </c>
      <c r="AJ48" s="41">
        <f t="shared" ref="AJ48:AK48" si="88">+AI48+AJ49</f>
        <v>10823.187865661621</v>
      </c>
      <c r="AK48" s="41">
        <f t="shared" si="88"/>
        <v>10899.514195800781</v>
      </c>
      <c r="AL48" s="478">
        <f>AK48</f>
        <v>10899.514195800781</v>
      </c>
      <c r="AM48" s="41">
        <f>+AK48+AM49</f>
        <v>10975.840525939941</v>
      </c>
      <c r="AN48" s="41">
        <f>+AM48+AN49</f>
        <v>11052.1668560791</v>
      </c>
      <c r="AO48" s="41">
        <f t="shared" ref="AO48" si="89">+AN48+AO49</f>
        <v>11128.49318621826</v>
      </c>
      <c r="AP48" s="41">
        <f t="shared" ref="AP48" si="90">+AO48+AP49</f>
        <v>11204.81951635742</v>
      </c>
      <c r="AQ48" s="478">
        <f>AP48</f>
        <v>11204.81951635742</v>
      </c>
    </row>
    <row r="49" spans="1:43" outlineLevel="1" x14ac:dyDescent="0.25">
      <c r="A49" s="253"/>
      <c r="B49" s="465" t="s">
        <v>158</v>
      </c>
      <c r="C49" s="459"/>
      <c r="D49" s="255">
        <f>+D48-9690</f>
        <v>87</v>
      </c>
      <c r="E49" s="255">
        <f>E48-D48</f>
        <v>-1</v>
      </c>
      <c r="F49" s="255">
        <f t="shared" ref="F49:G49" si="91">F48-E48</f>
        <v>81</v>
      </c>
      <c r="G49" s="255">
        <f t="shared" si="91"/>
        <v>117</v>
      </c>
      <c r="H49" s="290">
        <f>+SUM(D49:G49)</f>
        <v>284</v>
      </c>
      <c r="I49" s="255">
        <f>I48-G48</f>
        <v>46</v>
      </c>
      <c r="J49" s="255">
        <f t="shared" ref="J49" si="92">J48-I48</f>
        <v>31</v>
      </c>
      <c r="K49" s="255">
        <f>K48-J48</f>
        <v>-34</v>
      </c>
      <c r="L49" s="255">
        <f>L48-K48</f>
        <v>92</v>
      </c>
      <c r="M49" s="290">
        <f>+SUM(I49:L49)</f>
        <v>135</v>
      </c>
      <c r="N49" s="255">
        <v>-80</v>
      </c>
      <c r="O49" s="255">
        <v>-209</v>
      </c>
      <c r="P49" s="255">
        <v>40</v>
      </c>
      <c r="Q49" s="63">
        <v>125</v>
      </c>
      <c r="R49" s="50">
        <f>+SUM(N49:Q49)</f>
        <v>-124</v>
      </c>
      <c r="S49" s="63">
        <f>AVERAGE(N49,O49,P49,Q49)</f>
        <v>-31</v>
      </c>
      <c r="T49" s="63">
        <f>AVERAGE(O49,P49,Q49,S49)</f>
        <v>-18.75</v>
      </c>
      <c r="U49" s="63">
        <f>AVERAGE(P49,Q49,S49,T49)</f>
        <v>28.8125</v>
      </c>
      <c r="V49" s="63">
        <f>AVERAGE(Q49,S49,T49,U49)</f>
        <v>26.015625</v>
      </c>
      <c r="W49" s="50">
        <f>+SUM(S49:V49)</f>
        <v>5.078125</v>
      </c>
      <c r="X49" s="63">
        <f>0.03/4*AVERAGE(S48:V48)</f>
        <v>74.706357421874998</v>
      </c>
      <c r="Y49" s="63">
        <f>0.03/4*AVERAGE(S48:V48)</f>
        <v>74.706357421874998</v>
      </c>
      <c r="Z49" s="63">
        <f>0.03/4*AVERAGE(S48:V48)</f>
        <v>74.706357421874998</v>
      </c>
      <c r="AA49" s="63">
        <f>0.03/4*AVERAGE(S48:V48)</f>
        <v>74.706357421874998</v>
      </c>
      <c r="AB49" s="50">
        <f>+SUM(X49:AA49)</f>
        <v>298.82542968749999</v>
      </c>
      <c r="AC49" s="63">
        <f>0.03/4*AVERAGE(X48:AA48)</f>
        <v>76.326330139160163</v>
      </c>
      <c r="AD49" s="63">
        <f>0.03/4*AVERAGE(X48:AA48)</f>
        <v>76.326330139160163</v>
      </c>
      <c r="AE49" s="63">
        <f>0.03/4*AVERAGE(X48:AA48)</f>
        <v>76.326330139160163</v>
      </c>
      <c r="AF49" s="63">
        <f>0.03/4*AVERAGE(X48:AA48)</f>
        <v>76.326330139160163</v>
      </c>
      <c r="AG49" s="50">
        <f>+SUM(AC49:AF49)</f>
        <v>305.30532055664065</v>
      </c>
      <c r="AH49" s="63">
        <f>AVERAGE(AC49,AD49,AE49,AF49)</f>
        <v>76.326330139160163</v>
      </c>
      <c r="AI49" s="63">
        <f>AVERAGE(AD49,AE49,AF49,AH49)</f>
        <v>76.326330139160163</v>
      </c>
      <c r="AJ49" s="63">
        <f>AVERAGE(AE49,AF49,AH49,AI49)</f>
        <v>76.326330139160163</v>
      </c>
      <c r="AK49" s="63">
        <f>AVERAGE(AF49,AH49,AI49,AJ49)</f>
        <v>76.326330139160163</v>
      </c>
      <c r="AL49" s="50">
        <f>+SUM(AH49:AK49)</f>
        <v>305.30532055664065</v>
      </c>
      <c r="AM49" s="63">
        <f>AVERAGE(AH49,AI49,AJ49,AK49)</f>
        <v>76.326330139160163</v>
      </c>
      <c r="AN49" s="63">
        <f>AVERAGE(AI49,AJ49,AK49,AM49)</f>
        <v>76.326330139160163</v>
      </c>
      <c r="AO49" s="63">
        <f>AVERAGE(AJ49,AK49,AM49,AN49)</f>
        <v>76.326330139160163</v>
      </c>
      <c r="AP49" s="63">
        <f>AVERAGE(AK49,AM49,AN49,AO49)</f>
        <v>76.326330139160163</v>
      </c>
      <c r="AQ49" s="50">
        <f>+SUM(AM49:AP49)</f>
        <v>305.30532055664065</v>
      </c>
    </row>
    <row r="50" spans="1:43" s="185" customFormat="1" outlineLevel="1" x14ac:dyDescent="0.25">
      <c r="A50" s="271"/>
      <c r="B50" s="186" t="s">
        <v>159</v>
      </c>
      <c r="C50" s="187"/>
      <c r="D50" s="189">
        <v>9527</v>
      </c>
      <c r="E50" s="189">
        <v>9499</v>
      </c>
      <c r="F50" s="189">
        <v>9594</v>
      </c>
      <c r="G50" s="189">
        <v>9690</v>
      </c>
      <c r="H50" s="190"/>
      <c r="I50" s="189">
        <f>D48</f>
        <v>9777</v>
      </c>
      <c r="J50" s="189">
        <f>E48</f>
        <v>9776</v>
      </c>
      <c r="K50" s="189">
        <f>F48</f>
        <v>9857</v>
      </c>
      <c r="L50" s="189">
        <f>G48</f>
        <v>9974</v>
      </c>
      <c r="M50" s="315"/>
      <c r="N50" s="189">
        <f>I48</f>
        <v>10020</v>
      </c>
      <c r="O50" s="189">
        <f>J48</f>
        <v>10051</v>
      </c>
      <c r="P50" s="189">
        <f>K48</f>
        <v>10017</v>
      </c>
      <c r="Q50" s="189">
        <f>L48</f>
        <v>10109</v>
      </c>
      <c r="R50" s="190"/>
      <c r="S50" s="189">
        <f>N48</f>
        <v>10029</v>
      </c>
      <c r="T50" s="189">
        <f>O48</f>
        <v>9820</v>
      </c>
      <c r="U50" s="189">
        <f>P48</f>
        <v>9860</v>
      </c>
      <c r="V50" s="189">
        <f>Q48</f>
        <v>9985</v>
      </c>
      <c r="W50" s="190"/>
      <c r="X50" s="189">
        <f>+AVERAGE(X48,V48,U48,T48)</f>
        <v>9988.5437768554693</v>
      </c>
      <c r="Y50" s="189">
        <f>+AVERAGE(Y48,X48,V48,U48)</f>
        <v>10039.603986816406</v>
      </c>
      <c r="Z50" s="189">
        <f>+AVERAGE(Z48,Y48,X48,V48)</f>
        <v>10102.137661132814</v>
      </c>
      <c r="AA50" s="189">
        <f>+AVERAGE(AA48,Z48,Y48,X48)</f>
        <v>10176.844018554688</v>
      </c>
      <c r="AB50" s="190"/>
      <c r="AC50" s="189">
        <f>+AVERAGE(AC48,AA48,Z48,Y48)</f>
        <v>10251.955369155887</v>
      </c>
      <c r="AD50" s="189">
        <f>+AVERAGE(AD48,AC48,AA48,Z48)</f>
        <v>10327.471712936403</v>
      </c>
      <c r="AE50" s="189">
        <f>+AVERAGE(AE48,AD48,AC48,AA48)</f>
        <v>10403.393049896242</v>
      </c>
      <c r="AF50" s="189">
        <f>+AVERAGE(AF48,AE48,AD48,AC48)</f>
        <v>10479.719380035402</v>
      </c>
      <c r="AG50" s="190"/>
      <c r="AH50" s="189">
        <f>+AVERAGE(AH48,AF48,AE48,AD48)</f>
        <v>10556.045710174561</v>
      </c>
      <c r="AI50" s="189">
        <f>+AVERAGE(AI48,AH48,AF48,AE48)</f>
        <v>10632.372040313721</v>
      </c>
      <c r="AJ50" s="189">
        <f>+AVERAGE(AJ48,AI48,AH48,AF48)</f>
        <v>10708.698370452881</v>
      </c>
      <c r="AK50" s="189">
        <f>+AVERAGE(AK48,AJ48,AI48,AH48)</f>
        <v>10785.024700592041</v>
      </c>
      <c r="AL50" s="190"/>
      <c r="AM50" s="189">
        <f>+AVERAGE(AM48,AK48,AJ48,AI48)</f>
        <v>10861.351030731201</v>
      </c>
      <c r="AN50" s="189">
        <f>+AVERAGE(AN48,AM48,AK48,AJ48)</f>
        <v>10937.677360870359</v>
      </c>
      <c r="AO50" s="189">
        <f>+AVERAGE(AO48,AN48,AM48,AK48)</f>
        <v>11014.00369100952</v>
      </c>
      <c r="AP50" s="189">
        <f>+AVERAGE(AP48,AO48,AN48,AM48)</f>
        <v>11090.330021148682</v>
      </c>
      <c r="AQ50" s="190"/>
    </row>
    <row r="51" spans="1:43" s="185" customFormat="1" outlineLevel="1" x14ac:dyDescent="0.25">
      <c r="A51" s="271"/>
      <c r="B51" s="186" t="s">
        <v>160</v>
      </c>
      <c r="C51" s="187"/>
      <c r="D51" s="191">
        <v>0.42069471068107506</v>
      </c>
      <c r="E51" s="191">
        <v>0.39562181698744753</v>
      </c>
      <c r="F51" s="191">
        <v>0.42259741164000009</v>
      </c>
      <c r="G51" s="191">
        <v>0.4146794606933184</v>
      </c>
      <c r="H51" s="344"/>
      <c r="I51" s="191">
        <v>0.44327906252530785</v>
      </c>
      <c r="J51" s="191">
        <v>0.37960289685783705</v>
      </c>
      <c r="K51" s="191">
        <v>0.26042101009888236</v>
      </c>
      <c r="L51" s="191">
        <f>+G51*(1+L54)</f>
        <v>0.37735830923091979</v>
      </c>
      <c r="M51" s="345"/>
      <c r="N51" s="191">
        <f>+I51*(1+N54)</f>
        <v>0.41668231877378936</v>
      </c>
      <c r="O51" s="191">
        <f>+J51*(1+O54)</f>
        <v>0.4137671575750424</v>
      </c>
      <c r="P51" s="191">
        <f t="shared" ref="P51" si="93">+K51*(1+P54)</f>
        <v>0.47917465858194347</v>
      </c>
      <c r="Q51" s="191">
        <f>+L51*(1+Q54)</f>
        <v>0.46037713726172214</v>
      </c>
      <c r="R51" s="190"/>
      <c r="S51" s="191">
        <f>+N51*(1+S54)</f>
        <v>0.43751643471247886</v>
      </c>
      <c r="T51" s="191">
        <f>+O51*(1+T54)</f>
        <v>0.43445551545379452</v>
      </c>
      <c r="U51" s="191">
        <f t="shared" ref="U51:V51" si="94">+P51*(1+U54)</f>
        <v>0.517508631268499</v>
      </c>
      <c r="V51" s="191">
        <f t="shared" si="94"/>
        <v>0.49260353687004271</v>
      </c>
      <c r="W51" s="190"/>
      <c r="X51" s="191">
        <f>+S51*(1+X54)</f>
        <v>0.45501709210097802</v>
      </c>
      <c r="Y51" s="191">
        <f>+T51*(1+Y54)</f>
        <v>0.45183373607194632</v>
      </c>
      <c r="Z51" s="191">
        <f t="shared" ref="Z51:AA51" si="95">+U51*(1+Z54)</f>
        <v>0.53820897651923894</v>
      </c>
      <c r="AA51" s="191">
        <f t="shared" si="95"/>
        <v>0.51230767834484447</v>
      </c>
      <c r="AB51" s="190"/>
      <c r="AC51" s="191">
        <f>+X51*(1+AC54)</f>
        <v>0.47321777578501717</v>
      </c>
      <c r="AD51" s="191">
        <f>+Y51*(1+AD54)</f>
        <v>0.46990708551482419</v>
      </c>
      <c r="AE51" s="191">
        <f t="shared" ref="AE51:AF51" si="96">+Z51*(1+AE54)</f>
        <v>0.55973733558000849</v>
      </c>
      <c r="AF51" s="191">
        <f t="shared" si="96"/>
        <v>0.53279998547863827</v>
      </c>
      <c r="AG51" s="190"/>
      <c r="AH51" s="191">
        <f>+AC51*(1+AH54)</f>
        <v>0.49214648681641787</v>
      </c>
      <c r="AI51" s="191">
        <f>+AD51*(1+AI54)</f>
        <v>0.48870336893541716</v>
      </c>
      <c r="AJ51" s="191">
        <f t="shared" ref="AJ51:AK51" si="97">+AE51*(1+AJ54)</f>
        <v>0.58212682900320889</v>
      </c>
      <c r="AK51" s="191">
        <f t="shared" si="97"/>
        <v>0.55411198489778379</v>
      </c>
      <c r="AL51" s="190"/>
      <c r="AM51" s="191">
        <f>+AH51*(1+AM54)</f>
        <v>0.51183234628907459</v>
      </c>
      <c r="AN51" s="191">
        <f>+AI51*(1+AN54)</f>
        <v>0.50825150369283389</v>
      </c>
      <c r="AO51" s="191">
        <f t="shared" ref="AO51" si="98">+AJ51*(1+AO54)</f>
        <v>0.60541190216333729</v>
      </c>
      <c r="AP51" s="191">
        <f t="shared" ref="AP51" si="99">+AK51*(1+AP54)</f>
        <v>0.57627646429369517</v>
      </c>
      <c r="AQ51" s="190"/>
    </row>
    <row r="52" spans="1:43" outlineLevel="1" x14ac:dyDescent="0.25">
      <c r="A52" s="253"/>
      <c r="B52" s="407" t="s">
        <v>156</v>
      </c>
      <c r="C52" s="408"/>
      <c r="D52" s="284">
        <v>0.04</v>
      </c>
      <c r="E52" s="284">
        <v>0</v>
      </c>
      <c r="F52" s="284">
        <v>0.03</v>
      </c>
      <c r="G52" s="284">
        <v>0.03</v>
      </c>
      <c r="H52" s="310"/>
      <c r="I52" s="284">
        <v>0.02</v>
      </c>
      <c r="J52" s="284">
        <v>-7.0000000000000007E-2</v>
      </c>
      <c r="K52" s="284">
        <v>-0.53</v>
      </c>
      <c r="L52" s="56">
        <v>-0.25</v>
      </c>
      <c r="M52" s="310"/>
      <c r="N52" s="284">
        <v>-0.21</v>
      </c>
      <c r="O52" s="284">
        <v>-0.1</v>
      </c>
      <c r="P52" s="284">
        <v>0.82</v>
      </c>
      <c r="Q52" s="56"/>
      <c r="R52" s="54"/>
      <c r="S52" s="56"/>
      <c r="T52" s="56"/>
      <c r="U52" s="56"/>
      <c r="V52" s="56"/>
      <c r="W52" s="54"/>
      <c r="X52" s="56"/>
      <c r="Y52" s="56"/>
      <c r="Z52" s="56"/>
      <c r="AA52" s="56"/>
      <c r="AB52" s="54"/>
      <c r="AC52" s="56"/>
      <c r="AD52" s="56"/>
      <c r="AE52" s="56"/>
      <c r="AF52" s="56"/>
      <c r="AG52" s="54"/>
      <c r="AH52" s="56"/>
      <c r="AI52" s="56"/>
      <c r="AJ52" s="56"/>
      <c r="AK52" s="56"/>
      <c r="AL52" s="54"/>
      <c r="AM52" s="56"/>
      <c r="AN52" s="56"/>
      <c r="AO52" s="56"/>
      <c r="AP52" s="56"/>
      <c r="AQ52" s="54"/>
    </row>
    <row r="53" spans="1:43" outlineLevel="1" x14ac:dyDescent="0.25">
      <c r="A53" s="253"/>
      <c r="B53" s="407" t="s">
        <v>155</v>
      </c>
      <c r="C53" s="408"/>
      <c r="D53" s="358">
        <v>0</v>
      </c>
      <c r="E53" s="358">
        <v>0.04</v>
      </c>
      <c r="F53" s="358">
        <v>0.04</v>
      </c>
      <c r="G53" s="358">
        <v>0.03</v>
      </c>
      <c r="H53" s="346"/>
      <c r="I53" s="358">
        <v>0.03</v>
      </c>
      <c r="J53" s="358">
        <v>0.05</v>
      </c>
      <c r="K53" s="358">
        <v>0.27</v>
      </c>
      <c r="L53" s="180">
        <v>0.21</v>
      </c>
      <c r="M53" s="346"/>
      <c r="N53" s="358">
        <v>0.2</v>
      </c>
      <c r="O53" s="358">
        <v>0.22</v>
      </c>
      <c r="P53" s="358">
        <v>0.01</v>
      </c>
      <c r="Q53" s="180"/>
      <c r="R53" s="181"/>
      <c r="S53" s="180"/>
      <c r="T53" s="180"/>
      <c r="U53" s="180"/>
      <c r="V53" s="180"/>
      <c r="W53" s="181"/>
      <c r="X53" s="180"/>
      <c r="Y53" s="180"/>
      <c r="Z53" s="180"/>
      <c r="AA53" s="180"/>
      <c r="AB53" s="181"/>
      <c r="AC53" s="180"/>
      <c r="AD53" s="180"/>
      <c r="AE53" s="180"/>
      <c r="AF53" s="180"/>
      <c r="AG53" s="181"/>
      <c r="AH53" s="180"/>
      <c r="AI53" s="180"/>
      <c r="AJ53" s="180"/>
      <c r="AK53" s="180"/>
      <c r="AL53" s="181"/>
      <c r="AM53" s="180"/>
      <c r="AN53" s="180"/>
      <c r="AO53" s="180"/>
      <c r="AP53" s="180"/>
      <c r="AQ53" s="181"/>
    </row>
    <row r="54" spans="1:43" s="20" customFormat="1" outlineLevel="1" x14ac:dyDescent="0.25">
      <c r="A54" s="268"/>
      <c r="B54" s="409" t="s">
        <v>157</v>
      </c>
      <c r="C54" s="390"/>
      <c r="D54" s="359">
        <v>0.04</v>
      </c>
      <c r="E54" s="359">
        <v>4.2999999999999997E-2</v>
      </c>
      <c r="F54" s="360">
        <v>7.0000000000000007E-2</v>
      </c>
      <c r="G54" s="359">
        <v>0.06</v>
      </c>
      <c r="H54" s="321"/>
      <c r="I54" s="359">
        <v>0.06</v>
      </c>
      <c r="J54" s="359">
        <v>-0.03</v>
      </c>
      <c r="K54" s="359">
        <v>-0.41</v>
      </c>
      <c r="L54" s="365">
        <v>-0.09</v>
      </c>
      <c r="M54" s="347"/>
      <c r="N54" s="365">
        <v>-0.06</v>
      </c>
      <c r="O54" s="365">
        <v>0.09</v>
      </c>
      <c r="P54" s="359">
        <v>0.84</v>
      </c>
      <c r="Q54" s="528">
        <v>0.22</v>
      </c>
      <c r="R54" s="182"/>
      <c r="S54" s="530">
        <v>0.05</v>
      </c>
      <c r="T54" s="530">
        <v>0.05</v>
      </c>
      <c r="U54" s="530">
        <v>0.08</v>
      </c>
      <c r="V54" s="530">
        <v>7.0000000000000007E-2</v>
      </c>
      <c r="W54" s="182"/>
      <c r="X54" s="529">
        <v>0.04</v>
      </c>
      <c r="Y54" s="529">
        <v>0.04</v>
      </c>
      <c r="Z54" s="529">
        <v>0.04</v>
      </c>
      <c r="AA54" s="529">
        <v>0.04</v>
      </c>
      <c r="AB54" s="182"/>
      <c r="AC54" s="529">
        <v>0.04</v>
      </c>
      <c r="AD54" s="529">
        <v>0.04</v>
      </c>
      <c r="AE54" s="529">
        <v>0.04</v>
      </c>
      <c r="AF54" s="529">
        <v>0.04</v>
      </c>
      <c r="AG54" s="182"/>
      <c r="AH54" s="530">
        <v>0.04</v>
      </c>
      <c r="AI54" s="530">
        <v>0.04</v>
      </c>
      <c r="AJ54" s="530">
        <v>0.04</v>
      </c>
      <c r="AK54" s="530">
        <v>0.04</v>
      </c>
      <c r="AL54" s="182"/>
      <c r="AM54" s="530">
        <v>0.04</v>
      </c>
      <c r="AN54" s="530">
        <v>0.04</v>
      </c>
      <c r="AO54" s="530">
        <v>0.04</v>
      </c>
      <c r="AP54" s="530">
        <v>0.04</v>
      </c>
      <c r="AQ54" s="182"/>
    </row>
    <row r="55" spans="1:43" ht="17.25" outlineLevel="1" x14ac:dyDescent="0.4">
      <c r="A55" s="253"/>
      <c r="B55" s="166" t="s">
        <v>186</v>
      </c>
      <c r="C55" s="408"/>
      <c r="D55" s="61">
        <v>84</v>
      </c>
      <c r="E55" s="61">
        <v>92</v>
      </c>
      <c r="F55" s="61">
        <v>128</v>
      </c>
      <c r="G55" s="61">
        <v>146</v>
      </c>
      <c r="H55" s="18"/>
      <c r="I55" s="61">
        <v>137</v>
      </c>
      <c r="J55" s="61">
        <v>153</v>
      </c>
      <c r="K55" s="61">
        <v>2</v>
      </c>
      <c r="L55" s="61">
        <v>112</v>
      </c>
      <c r="M55" s="18"/>
      <c r="N55" s="61">
        <v>110</v>
      </c>
      <c r="O55" s="61">
        <v>110</v>
      </c>
      <c r="P55" s="61">
        <v>130</v>
      </c>
      <c r="Q55" s="487">
        <f>P55+(500*0.8)</f>
        <v>530</v>
      </c>
      <c r="R55" s="18"/>
      <c r="S55" s="61">
        <v>125</v>
      </c>
      <c r="T55" s="61">
        <v>125</v>
      </c>
      <c r="U55" s="61">
        <v>125</v>
      </c>
      <c r="V55" s="61">
        <v>125</v>
      </c>
      <c r="W55" s="18"/>
      <c r="X55" s="61">
        <v>200</v>
      </c>
      <c r="Y55" s="61">
        <v>200</v>
      </c>
      <c r="Z55" s="61">
        <v>200</v>
      </c>
      <c r="AA55" s="61">
        <v>200</v>
      </c>
      <c r="AB55" s="18"/>
      <c r="AC55" s="61">
        <f>AVERAGE(AA55,Z55,Y55,X55)</f>
        <v>200</v>
      </c>
      <c r="AD55" s="61">
        <f>AVERAGE(AC55,AA55,Z55,Y55)</f>
        <v>200</v>
      </c>
      <c r="AE55" s="61">
        <f>AVERAGE(AD55,AC55,AA55,Z55)</f>
        <v>200</v>
      </c>
      <c r="AF55" s="61">
        <f>AVERAGE(AE55,AD55,AC55,AA55)</f>
        <v>200</v>
      </c>
      <c r="AG55" s="18"/>
      <c r="AH55" s="61">
        <f>AVERAGE(AF55,AE55,AD55,AC55)</f>
        <v>200</v>
      </c>
      <c r="AI55" s="61">
        <f>AVERAGE(AH55,AF55,AE55,AD55)</f>
        <v>200</v>
      </c>
      <c r="AJ55" s="61">
        <f>AVERAGE(AI55,AH55,AF55,AE55)</f>
        <v>200</v>
      </c>
      <c r="AK55" s="61">
        <f>AVERAGE(AJ55,AI55,AH55,AF55)</f>
        <v>200</v>
      </c>
      <c r="AL55" s="18"/>
      <c r="AM55" s="61">
        <f>AVERAGE(AK55,AJ55,AI55,AH55)</f>
        <v>200</v>
      </c>
      <c r="AN55" s="61">
        <f>AVERAGE(AM55,AK55,AJ55,AI55)</f>
        <v>200</v>
      </c>
      <c r="AO55" s="61">
        <f>AVERAGE(AN55,AM55,AK55,AJ55)</f>
        <v>200</v>
      </c>
      <c r="AP55" s="61">
        <f>AVERAGE(AO55,AN55,AM55,AK55)</f>
        <v>200</v>
      </c>
      <c r="AQ55" s="18"/>
    </row>
    <row r="56" spans="1:43" s="20" customFormat="1" outlineLevel="1" x14ac:dyDescent="0.25">
      <c r="A56" s="268"/>
      <c r="B56" s="552" t="s">
        <v>168</v>
      </c>
      <c r="C56" s="553"/>
      <c r="D56" s="171">
        <v>4092.2</v>
      </c>
      <c r="E56" s="171">
        <v>3849.6</v>
      </c>
      <c r="F56" s="171">
        <v>4182.2</v>
      </c>
      <c r="G56" s="171">
        <v>4164.2</v>
      </c>
      <c r="H56" s="238">
        <f>SUM(D56:G56)</f>
        <v>16288.2</v>
      </c>
      <c r="I56" s="171">
        <v>4471</v>
      </c>
      <c r="J56" s="171">
        <v>3863.6</v>
      </c>
      <c r="K56" s="258">
        <v>2568.9</v>
      </c>
      <c r="L56" s="171">
        <v>3875.3</v>
      </c>
      <c r="M56" s="238">
        <f>SUM(I56:L56)</f>
        <v>14778.8</v>
      </c>
      <c r="N56" s="171">
        <v>4284.8</v>
      </c>
      <c r="O56" s="171">
        <v>4268.3999999999996</v>
      </c>
      <c r="P56" s="171">
        <v>4929.8</v>
      </c>
      <c r="Q56" s="171">
        <f>+Q50*Q51+Q55</f>
        <v>5183.9524805787487</v>
      </c>
      <c r="R56" s="238">
        <f>SUM(N56:Q56)</f>
        <v>18666.952480578748</v>
      </c>
      <c r="S56" s="171">
        <f>+S50*S51+S55</f>
        <v>4512.8523237314503</v>
      </c>
      <c r="T56" s="171">
        <f>+T50*T51+T55</f>
        <v>4391.3531617562621</v>
      </c>
      <c r="U56" s="171">
        <f t="shared" ref="U56:V56" si="100">+U50*U51+U55</f>
        <v>5227.6351043074001</v>
      </c>
      <c r="V56" s="171">
        <f t="shared" si="100"/>
        <v>5043.6463156473765</v>
      </c>
      <c r="W56" s="238">
        <f>SUM(S56:V56)</f>
        <v>19175.486905442489</v>
      </c>
      <c r="X56" s="171">
        <f>+X50*X51+X55</f>
        <v>4744.9581436680955</v>
      </c>
      <c r="Y56" s="171">
        <f>+Y50*Y51+Y55</f>
        <v>4736.2317780460644</v>
      </c>
      <c r="Z56" s="171">
        <f t="shared" ref="Z56:AA56" si="101">+Z50*Z51+Z55</f>
        <v>5637.0611712547498</v>
      </c>
      <c r="AA56" s="171">
        <f t="shared" si="101"/>
        <v>5413.6753320233693</v>
      </c>
      <c r="AB56" s="238">
        <f>SUM(X56:AA56)</f>
        <v>20531.926424992278</v>
      </c>
      <c r="AC56" s="171">
        <f>+AC50*AC51+AC55</f>
        <v>5051.4075172392131</v>
      </c>
      <c r="AD56" s="171">
        <f>+AD50*AD51+AD55</f>
        <v>5052.9521333627345</v>
      </c>
      <c r="AE56" s="171">
        <f t="shared" ref="AE56:AF56" si="102">+AE50*AE51+AE55</f>
        <v>6023.1675067405004</v>
      </c>
      <c r="AF56" s="171">
        <f t="shared" si="102"/>
        <v>5783.5943335030661</v>
      </c>
      <c r="AG56" s="238">
        <f>SUM(AC56:AF56)</f>
        <v>21911.121490845515</v>
      </c>
      <c r="AH56" s="171">
        <f>+AH50*AH51+AH55</f>
        <v>5395.1208109359295</v>
      </c>
      <c r="AI56" s="171">
        <f>+AI50*AI51+AI55</f>
        <v>5396.0760358760508</v>
      </c>
      <c r="AJ56" s="171">
        <f t="shared" ref="AJ56:AK56" si="103">+AJ50*AJ51+AJ55</f>
        <v>6433.8206251435658</v>
      </c>
      <c r="AK56" s="171">
        <f t="shared" si="103"/>
        <v>6176.1114440166821</v>
      </c>
      <c r="AL56" s="238">
        <f>SUM(AH56:AK56)</f>
        <v>23401.128915972229</v>
      </c>
      <c r="AM56" s="171">
        <f>+AM50*AM51+AM55</f>
        <v>5759.1907819284088</v>
      </c>
      <c r="AN56" s="171">
        <f>+AN50*AN51+AN55</f>
        <v>5759.0909655694268</v>
      </c>
      <c r="AO56" s="171">
        <f t="shared" ref="AO56:AP56" si="104">+AO50*AO51+AO55</f>
        <v>6868.0089250080919</v>
      </c>
      <c r="AP56" s="171">
        <f t="shared" si="104"/>
        <v>6591.0961724377839</v>
      </c>
      <c r="AQ56" s="238">
        <f>SUM(AM56:AP56)</f>
        <v>24977.386844943714</v>
      </c>
    </row>
    <row r="57" spans="1:43" s="20" customFormat="1" outlineLevel="1" x14ac:dyDescent="0.25">
      <c r="A57" s="268"/>
      <c r="B57" s="192" t="s">
        <v>163</v>
      </c>
      <c r="C57" s="390"/>
      <c r="D57" s="196">
        <f>+D56/D48</f>
        <v>0.41855374859363809</v>
      </c>
      <c r="E57" s="196">
        <f t="shared" ref="E57:G57" si="105">+E56/E48</f>
        <v>0.39378068739770866</v>
      </c>
      <c r="F57" s="196">
        <f t="shared" si="105"/>
        <v>0.42428730851171753</v>
      </c>
      <c r="G57" s="196">
        <f t="shared" si="105"/>
        <v>0.4175055143372769</v>
      </c>
      <c r="H57" s="183"/>
      <c r="I57" s="196">
        <f t="shared" ref="I57:L57" si="106">+I56/I48</f>
        <v>0.44620758483033934</v>
      </c>
      <c r="J57" s="196">
        <f t="shared" si="106"/>
        <v>0.38439956223261368</v>
      </c>
      <c r="K57" s="196">
        <f>+K56/K48</f>
        <v>0.25645402815214136</v>
      </c>
      <c r="L57" s="196">
        <f t="shared" si="106"/>
        <v>0.38335146898803046</v>
      </c>
      <c r="M57" s="183"/>
      <c r="N57" s="196">
        <f t="shared" ref="N57:Q57" si="107">+N56/N48</f>
        <v>0.42724100109681923</v>
      </c>
      <c r="O57" s="196">
        <f>+O56/O48</f>
        <v>0.43466395112016287</v>
      </c>
      <c r="P57" s="196">
        <f t="shared" si="107"/>
        <v>0.49997971602434077</v>
      </c>
      <c r="Q57" s="196">
        <f t="shared" si="107"/>
        <v>0.51917400907148215</v>
      </c>
      <c r="R57" s="183"/>
      <c r="S57" s="196">
        <f t="shared" ref="S57:V57" si="108">+S56/S48</f>
        <v>0.45337073776687264</v>
      </c>
      <c r="T57" s="196">
        <f t="shared" si="108"/>
        <v>0.4419972483587491</v>
      </c>
      <c r="U57" s="196">
        <f t="shared" si="108"/>
        <v>0.52464896765826186</v>
      </c>
      <c r="V57" s="196">
        <f t="shared" si="108"/>
        <v>0.50486555285546142</v>
      </c>
      <c r="W57" s="183"/>
      <c r="X57" s="196">
        <f t="shared" ref="X57:AA57" si="109">+X56/X48</f>
        <v>0.47144160433391841</v>
      </c>
      <c r="Y57" s="196">
        <f t="shared" si="109"/>
        <v>0.46710745666190173</v>
      </c>
      <c r="Z57" s="196">
        <f t="shared" si="109"/>
        <v>0.55188489730390256</v>
      </c>
      <c r="AA57" s="196">
        <f t="shared" si="109"/>
        <v>0.52616639890233619</v>
      </c>
      <c r="AB57" s="183"/>
      <c r="AC57" s="196">
        <f t="shared" ref="AC57:AF57" si="110">+AC56/AC48</f>
        <v>0.48734158078189965</v>
      </c>
      <c r="AD57" s="196">
        <f t="shared" si="110"/>
        <v>0.48392711099140256</v>
      </c>
      <c r="AE57" s="196">
        <f t="shared" si="110"/>
        <v>0.57265970416675549</v>
      </c>
      <c r="AF57" s="196">
        <f t="shared" si="110"/>
        <v>0.54592036098304553</v>
      </c>
      <c r="AG57" s="183"/>
      <c r="AH57" s="196">
        <f t="shared" ref="AH57:AK57" si="111">+AH56/AH48</f>
        <v>0.50560920395202702</v>
      </c>
      <c r="AI57" s="196">
        <f t="shared" si="111"/>
        <v>0.50210715175216214</v>
      </c>
      <c r="AJ57" s="196">
        <f t="shared" si="111"/>
        <v>0.59444783782751676</v>
      </c>
      <c r="AK57" s="196">
        <f t="shared" si="111"/>
        <v>0.56664098353999404</v>
      </c>
      <c r="AL57" s="183"/>
      <c r="AM57" s="196">
        <f t="shared" ref="AM57:AP57" si="112">+AM56/AM48</f>
        <v>0.52471523873887627</v>
      </c>
      <c r="AN57" s="196">
        <f t="shared" si="112"/>
        <v>0.52108252079108941</v>
      </c>
      <c r="AO57" s="196">
        <f t="shared" si="112"/>
        <v>0.61715533361817265</v>
      </c>
      <c r="AP57" s="196">
        <f t="shared" si="112"/>
        <v>0.58823760282936588</v>
      </c>
      <c r="AQ57" s="183"/>
    </row>
    <row r="58" spans="1:43" s="185" customFormat="1" outlineLevel="1" x14ac:dyDescent="0.25">
      <c r="A58" s="271"/>
      <c r="B58" s="192" t="s">
        <v>161</v>
      </c>
      <c r="C58" s="193"/>
      <c r="D58" s="188">
        <f>ROUND((+D56-D55-(D50*D51)),0)</f>
        <v>0</v>
      </c>
      <c r="E58" s="194">
        <f>ROUND((+E56-E55-(E50*E51)),0)</f>
        <v>0</v>
      </c>
      <c r="F58" s="274">
        <f>ROUND((+F56-F55-(F50*F51)),0)</f>
        <v>0</v>
      </c>
      <c r="G58" s="194">
        <f>ROUND((+G56-G55-(G50*G51)),0)</f>
        <v>0</v>
      </c>
      <c r="H58" s="195"/>
      <c r="I58" s="194">
        <f>ROUND((+I56-I55-(I50*I51)),0)</f>
        <v>0</v>
      </c>
      <c r="J58" s="194">
        <f>ROUND((+J56-J55-(J50*J51)),0)</f>
        <v>0</v>
      </c>
      <c r="K58" s="194">
        <f>ROUND((+K56-K55-(K50*K51)),0)</f>
        <v>0</v>
      </c>
      <c r="L58" s="194">
        <f>ROUND((+L56-L55-(L50*L51)),0)</f>
        <v>0</v>
      </c>
      <c r="M58" s="195"/>
      <c r="N58" s="194">
        <f>ROUND((+N56-N55-(N50*N51)),0)</f>
        <v>0</v>
      </c>
      <c r="O58" s="194">
        <f>ROUND((+O56-O55-(O50*O51)),0)</f>
        <v>0</v>
      </c>
      <c r="P58" s="194">
        <f>ROUND((+P56-P55-(P50*P51)),0)</f>
        <v>0</v>
      </c>
      <c r="Q58" s="194">
        <f>ROUND((+Q56-Q55-(Q50*Q51)),0)</f>
        <v>0</v>
      </c>
      <c r="R58" s="195"/>
      <c r="S58" s="194">
        <f>ROUND((+S56-S55-(S50*S51)),0)</f>
        <v>0</v>
      </c>
      <c r="T58" s="194">
        <f>ROUND((+T56-T55-(T50*T51)),0)</f>
        <v>0</v>
      </c>
      <c r="U58" s="194">
        <f>ROUND((+U56-U55-(U50*U51)),0)</f>
        <v>0</v>
      </c>
      <c r="V58" s="194">
        <f>ROUND((+V56-V55-(V50*V51)),0)</f>
        <v>0</v>
      </c>
      <c r="W58" s="195"/>
      <c r="X58" s="194">
        <f>ROUND((+X56-X55-(X50*X51)),0)</f>
        <v>0</v>
      </c>
      <c r="Y58" s="194">
        <f>ROUND((+Y56-Y55-(Y50*Y51)),0)</f>
        <v>0</v>
      </c>
      <c r="Z58" s="194">
        <f>ROUND((+Z56-Z55-(Z50*Z51)),0)</f>
        <v>0</v>
      </c>
      <c r="AA58" s="194">
        <f>ROUND((+AA56-AA55-(AA50*AA51)),0)</f>
        <v>0</v>
      </c>
      <c r="AB58" s="195"/>
      <c r="AC58" s="194">
        <f>ROUND((+AC56-AC55-(AC50*AC51)),0)</f>
        <v>0</v>
      </c>
      <c r="AD58" s="194">
        <f>ROUND((+AD56-AD55-(AD50*AD51)),0)</f>
        <v>0</v>
      </c>
      <c r="AE58" s="194">
        <f>ROUND((+AE56-AE55-(AE50*AE51)),0)</f>
        <v>0</v>
      </c>
      <c r="AF58" s="194">
        <f>ROUND((+AF56-AF55-(AF50*AF51)),0)</f>
        <v>0</v>
      </c>
      <c r="AG58" s="195"/>
      <c r="AH58" s="194">
        <f>ROUND((+AH56-AH55-(AH50*AH51)),0)</f>
        <v>0</v>
      </c>
      <c r="AI58" s="194">
        <f>ROUND((+AI56-AI55-(AI50*AI51)),0)</f>
        <v>0</v>
      </c>
      <c r="AJ58" s="194">
        <f>ROUND((+AJ56-AJ55-(AJ50*AJ51)),0)</f>
        <v>0</v>
      </c>
      <c r="AK58" s="194">
        <f>ROUND((+AK56-AK55-(AK50*AK51)),0)</f>
        <v>0</v>
      </c>
      <c r="AL58" s="195"/>
      <c r="AM58" s="194">
        <f>ROUND((+AM56-AM55-(AM50*AM51)),0)</f>
        <v>0</v>
      </c>
      <c r="AN58" s="194">
        <f>ROUND((+AN56-AN55-(AN50*AN51)),0)</f>
        <v>0</v>
      </c>
      <c r="AO58" s="194">
        <f>ROUND((+AO56-AO55-(AO50*AO51)),0)</f>
        <v>0</v>
      </c>
      <c r="AP58" s="194">
        <f>ROUND((+AP56-AP55-(AP50*AP51)),0)</f>
        <v>0</v>
      </c>
      <c r="AQ58" s="195"/>
    </row>
    <row r="59" spans="1:43" s="20" customFormat="1" outlineLevel="1" x14ac:dyDescent="0.25">
      <c r="A59" s="268"/>
      <c r="B59" s="570" t="s">
        <v>154</v>
      </c>
      <c r="C59" s="571"/>
      <c r="D59" s="197">
        <v>7876</v>
      </c>
      <c r="E59" s="197">
        <v>7943</v>
      </c>
      <c r="F59" s="283">
        <v>7996</v>
      </c>
      <c r="G59" s="197">
        <v>8093</v>
      </c>
      <c r="H59" s="198"/>
      <c r="I59" s="197">
        <v>8183</v>
      </c>
      <c r="J59" s="197">
        <v>8220</v>
      </c>
      <c r="K59" s="197">
        <v>8218</v>
      </c>
      <c r="L59" s="197">
        <v>8245</v>
      </c>
      <c r="M59" s="198"/>
      <c r="N59" s="197">
        <v>8279</v>
      </c>
      <c r="O59" s="197">
        <f>+N59+O60</f>
        <v>8300</v>
      </c>
      <c r="P59" s="197">
        <f t="shared" ref="P59:Q59" si="113">+O59+P60</f>
        <v>8315</v>
      </c>
      <c r="Q59" s="197">
        <f t="shared" si="113"/>
        <v>8369</v>
      </c>
      <c r="R59" s="479">
        <f>Q59</f>
        <v>8369</v>
      </c>
      <c r="S59" s="197">
        <f>+Q59+S60</f>
        <v>8400</v>
      </c>
      <c r="T59" s="197">
        <f>+S59+T60</f>
        <v>8430.25</v>
      </c>
      <c r="U59" s="197">
        <f t="shared" ref="U59:V59" si="114">+T59+U60</f>
        <v>8462.8125</v>
      </c>
      <c r="V59" s="197">
        <f t="shared" si="114"/>
        <v>8499.765625</v>
      </c>
      <c r="W59" s="479">
        <f>V59</f>
        <v>8499.765625</v>
      </c>
      <c r="X59" s="197">
        <f>+V59+X60</f>
        <v>8563.1271777343754</v>
      </c>
      <c r="Y59" s="197">
        <f>+X59+Y60</f>
        <v>8626.4887304687509</v>
      </c>
      <c r="Z59" s="197">
        <f t="shared" ref="Z59:AA59" si="115">+Y59+Z60</f>
        <v>8689.8502832031263</v>
      </c>
      <c r="AA59" s="197">
        <f t="shared" si="115"/>
        <v>8753.2118359375017</v>
      </c>
      <c r="AB59" s="479">
        <f>AA59</f>
        <v>8753.2118359375017</v>
      </c>
      <c r="AC59" s="197">
        <f>+AA59+AC60</f>
        <v>8818.1481072387705</v>
      </c>
      <c r="AD59" s="197">
        <f>+AC59+AD60</f>
        <v>8883.0843785400393</v>
      </c>
      <c r="AE59" s="197">
        <f t="shared" ref="AE59:AF59" si="116">+AD59+AE60</f>
        <v>8948.0206498413081</v>
      </c>
      <c r="AF59" s="197">
        <f t="shared" si="116"/>
        <v>9012.9569211425769</v>
      </c>
      <c r="AG59" s="479">
        <f>AF59</f>
        <v>9012.9569211425769</v>
      </c>
      <c r="AH59" s="197">
        <f>+AF59+AH60</f>
        <v>9077.8931924438457</v>
      </c>
      <c r="AI59" s="197">
        <f>+AH59+AI60</f>
        <v>9142.8294637451145</v>
      </c>
      <c r="AJ59" s="197">
        <f t="shared" ref="AJ59:AK59" si="117">+AI59+AJ60</f>
        <v>9207.7657350463833</v>
      </c>
      <c r="AK59" s="197">
        <f t="shared" si="117"/>
        <v>9272.7020063476521</v>
      </c>
      <c r="AL59" s="479">
        <f>AK59</f>
        <v>9272.7020063476521</v>
      </c>
      <c r="AM59" s="197">
        <f>+AK59+AM60</f>
        <v>9337.6382776489208</v>
      </c>
      <c r="AN59" s="197">
        <f>+AM59+AN60</f>
        <v>9402.5745489501896</v>
      </c>
      <c r="AO59" s="197">
        <f t="shared" ref="AO59" si="118">+AN59+AO60</f>
        <v>9467.5108202514584</v>
      </c>
      <c r="AP59" s="197">
        <f t="shared" ref="AP59" si="119">+AO59+AP60</f>
        <v>9532.4470915527272</v>
      </c>
      <c r="AQ59" s="479">
        <f>AP59</f>
        <v>9532.4470915527272</v>
      </c>
    </row>
    <row r="60" spans="1:43" outlineLevel="1" x14ac:dyDescent="0.25">
      <c r="A60" s="253"/>
      <c r="B60" s="465" t="s">
        <v>162</v>
      </c>
      <c r="C60" s="459"/>
      <c r="D60" s="255">
        <f>+D59-7770</f>
        <v>106</v>
      </c>
      <c r="E60" s="255">
        <f>E59-D59</f>
        <v>67</v>
      </c>
      <c r="F60" s="255">
        <f t="shared" ref="F60:G60" si="120">F59-E59</f>
        <v>53</v>
      </c>
      <c r="G60" s="255">
        <f t="shared" si="120"/>
        <v>97</v>
      </c>
      <c r="H60" s="290">
        <f>+SUM(D60:G60)</f>
        <v>323</v>
      </c>
      <c r="I60" s="255">
        <f>I59-G59</f>
        <v>90</v>
      </c>
      <c r="J60" s="255">
        <f t="shared" ref="J60:L60" si="121">J59-I59</f>
        <v>37</v>
      </c>
      <c r="K60" s="255">
        <f t="shared" si="121"/>
        <v>-2</v>
      </c>
      <c r="L60" s="255">
        <f t="shared" si="121"/>
        <v>27</v>
      </c>
      <c r="M60" s="290">
        <f>+SUM(I60:L60)</f>
        <v>152</v>
      </c>
      <c r="N60" s="255">
        <v>34</v>
      </c>
      <c r="O60" s="255">
        <v>21</v>
      </c>
      <c r="P60" s="255">
        <v>15</v>
      </c>
      <c r="Q60" s="63">
        <v>54</v>
      </c>
      <c r="R60" s="50">
        <f>+SUM(N60:Q60)</f>
        <v>124</v>
      </c>
      <c r="S60" s="63">
        <f>AVERAGE(N60,O60,P60,Q60)</f>
        <v>31</v>
      </c>
      <c r="T60" s="63">
        <f>AVERAGE(O60,P60,Q60,S60)</f>
        <v>30.25</v>
      </c>
      <c r="U60" s="63">
        <f>AVERAGE(P60,Q60,S60,T60)</f>
        <v>32.5625</v>
      </c>
      <c r="V60" s="63">
        <f>AVERAGE(Q60,S60,T60,U60)</f>
        <v>36.953125</v>
      </c>
      <c r="W60" s="50">
        <f>+SUM(S60:V60)</f>
        <v>130.765625</v>
      </c>
      <c r="X60" s="63">
        <f>0.03/4*AVERAGE(S59:V59)</f>
        <v>63.361552734374996</v>
      </c>
      <c r="Y60" s="63">
        <f>0.03/4*AVERAGE(S59:V59)</f>
        <v>63.361552734374996</v>
      </c>
      <c r="Z60" s="63">
        <f>0.03/4*AVERAGE(S59:V59)</f>
        <v>63.361552734374996</v>
      </c>
      <c r="AA60" s="63">
        <f>0.03/4*AVERAGE(S59:V59)</f>
        <v>63.361552734374996</v>
      </c>
      <c r="AB60" s="50">
        <f>+SUM(X60:AA60)</f>
        <v>253.44621093749998</v>
      </c>
      <c r="AC60" s="63">
        <f>0.03/4*AVERAGE(X59:AA59)</f>
        <v>64.936271301269542</v>
      </c>
      <c r="AD60" s="63">
        <f>0.03/4*AVERAGE(X59:AA59)</f>
        <v>64.936271301269542</v>
      </c>
      <c r="AE60" s="63">
        <f>0.03/4*AVERAGE(X59:AA59)</f>
        <v>64.936271301269542</v>
      </c>
      <c r="AF60" s="63">
        <f>0.03/4*AVERAGE(X59:AA59)</f>
        <v>64.936271301269542</v>
      </c>
      <c r="AG60" s="50">
        <f>+SUM(AC60:AF60)</f>
        <v>259.74508520507817</v>
      </c>
      <c r="AH60" s="63">
        <f>AVERAGE(AC60,AD60,AE60,AF60)</f>
        <v>64.936271301269542</v>
      </c>
      <c r="AI60" s="63">
        <f>AVERAGE(AD60,AE60,AF60,AH60)</f>
        <v>64.936271301269542</v>
      </c>
      <c r="AJ60" s="63">
        <f>AVERAGE(AE60,AF60,AH60,AI60)</f>
        <v>64.936271301269542</v>
      </c>
      <c r="AK60" s="63">
        <f>AVERAGE(AF60,AH60,AI60,AJ60)</f>
        <v>64.936271301269542</v>
      </c>
      <c r="AL60" s="50">
        <f>+SUM(AH60:AK60)</f>
        <v>259.74508520507817</v>
      </c>
      <c r="AM60" s="63">
        <f>AVERAGE(AH60,AI60,AJ60,AK60)</f>
        <v>64.936271301269542</v>
      </c>
      <c r="AN60" s="63">
        <f>AVERAGE(AI60,AJ60,AK60,AM60)</f>
        <v>64.936271301269542</v>
      </c>
      <c r="AO60" s="63">
        <f>AVERAGE(AJ60,AK60,AM60,AN60)</f>
        <v>64.936271301269542</v>
      </c>
      <c r="AP60" s="63">
        <f>AVERAGE(AK60,AM60,AN60,AO60)</f>
        <v>64.936271301269542</v>
      </c>
      <c r="AQ60" s="50">
        <f>+SUM(AM60:AP60)</f>
        <v>259.74508520507817</v>
      </c>
    </row>
    <row r="61" spans="1:43" outlineLevel="1" x14ac:dyDescent="0.25">
      <c r="A61" s="253"/>
      <c r="B61" s="407" t="s">
        <v>165</v>
      </c>
      <c r="C61" s="394"/>
      <c r="D61" s="34">
        <f>AVERAGE(D59,7770)</f>
        <v>7823</v>
      </c>
      <c r="E61" s="34">
        <f>AVERAGE(E59,D59)</f>
        <v>7909.5</v>
      </c>
      <c r="F61" s="34">
        <f t="shared" ref="F61:G61" si="122">AVERAGE(F59,E59)</f>
        <v>7969.5</v>
      </c>
      <c r="G61" s="34">
        <f t="shared" si="122"/>
        <v>8044.5</v>
      </c>
      <c r="H61" s="50"/>
      <c r="I61" s="34">
        <f>AVERAGE(I59,G59)</f>
        <v>8138</v>
      </c>
      <c r="J61" s="34">
        <f>AVERAGE(J59,I59)</f>
        <v>8201.5</v>
      </c>
      <c r="K61" s="34">
        <f t="shared" ref="K61:L61" si="123">AVERAGE(K59,J59)</f>
        <v>8219</v>
      </c>
      <c r="L61" s="34">
        <f t="shared" si="123"/>
        <v>8231.5</v>
      </c>
      <c r="M61" s="18"/>
      <c r="N61" s="34">
        <f>AVERAGE(N59,L59)</f>
        <v>8262</v>
      </c>
      <c r="O61" s="34">
        <f>AVERAGE(O59,N59)</f>
        <v>8289.5</v>
      </c>
      <c r="P61" s="34">
        <f t="shared" ref="P61:Q61" si="124">AVERAGE(P59,O59)</f>
        <v>8307.5</v>
      </c>
      <c r="Q61" s="34">
        <f t="shared" si="124"/>
        <v>8342</v>
      </c>
      <c r="R61" s="18"/>
      <c r="S61" s="34">
        <f>AVERAGE(S59,Q59)</f>
        <v>8384.5</v>
      </c>
      <c r="T61" s="34">
        <f>AVERAGE(T59,S59)</f>
        <v>8415.125</v>
      </c>
      <c r="U61" s="34">
        <f t="shared" ref="U61:V61" si="125">AVERAGE(U59,T59)</f>
        <v>8446.53125</v>
      </c>
      <c r="V61" s="34">
        <f t="shared" si="125"/>
        <v>8481.2890625</v>
      </c>
      <c r="W61" s="18"/>
      <c r="X61" s="34">
        <f>AVERAGE(X59,V59)</f>
        <v>8531.4464013671877</v>
      </c>
      <c r="Y61" s="34">
        <f>AVERAGE(Y59,X59)</f>
        <v>8594.8079541015632</v>
      </c>
      <c r="Z61" s="34">
        <f t="shared" ref="Z61:AA61" si="126">AVERAGE(Z59,Y59)</f>
        <v>8658.1695068359386</v>
      </c>
      <c r="AA61" s="34">
        <f t="shared" si="126"/>
        <v>8721.531059570314</v>
      </c>
      <c r="AB61" s="18"/>
      <c r="AC61" s="34">
        <f>AVERAGE(AC59,AA59)</f>
        <v>8785.6799715881352</v>
      </c>
      <c r="AD61" s="34">
        <f>AVERAGE(AD59,AC59)</f>
        <v>8850.6162428894058</v>
      </c>
      <c r="AE61" s="34">
        <f t="shared" ref="AE61:AF61" si="127">AVERAGE(AE59,AD59)</f>
        <v>8915.5525141906728</v>
      </c>
      <c r="AF61" s="34">
        <f t="shared" si="127"/>
        <v>8980.4887854919434</v>
      </c>
      <c r="AG61" s="18"/>
      <c r="AH61" s="34">
        <f>AVERAGE(AH59,AF59)</f>
        <v>9045.4250567932104</v>
      </c>
      <c r="AI61" s="34">
        <f>AVERAGE(AI59,AH59)</f>
        <v>9110.361328094481</v>
      </c>
      <c r="AJ61" s="34">
        <f t="shared" ref="AJ61:AK61" si="128">AVERAGE(AJ59,AI59)</f>
        <v>9175.297599395748</v>
      </c>
      <c r="AK61" s="34">
        <f t="shared" si="128"/>
        <v>9240.2338706970186</v>
      </c>
      <c r="AL61" s="18"/>
      <c r="AM61" s="34">
        <f>AVERAGE(AM59,AK59)</f>
        <v>9305.1701419982855</v>
      </c>
      <c r="AN61" s="34">
        <f>AVERAGE(AN59,AM59)</f>
        <v>9370.1064132995562</v>
      </c>
      <c r="AO61" s="34">
        <f t="shared" ref="AO61" si="129">AVERAGE(AO59,AN59)</f>
        <v>9435.0426846008231</v>
      </c>
      <c r="AP61" s="34">
        <f t="shared" ref="AP61" si="130">AVERAGE(AP59,AO59)</f>
        <v>9499.9789559020937</v>
      </c>
      <c r="AQ61" s="18"/>
    </row>
    <row r="62" spans="1:43" outlineLevel="1" x14ac:dyDescent="0.25">
      <c r="A62" s="253"/>
      <c r="B62" s="407" t="s">
        <v>164</v>
      </c>
      <c r="C62" s="394"/>
      <c r="D62" s="107">
        <f>+D63/D61</f>
        <v>6.5780391154288645E-2</v>
      </c>
      <c r="E62" s="107">
        <f>+E63/E61</f>
        <v>5.8549845122953414E-2</v>
      </c>
      <c r="F62" s="107">
        <f>+F63/F61</f>
        <v>6.2274923144488362E-2</v>
      </c>
      <c r="G62" s="277">
        <f t="shared" ref="G62:P62" si="131">+G63/G61</f>
        <v>6.016533034992852E-2</v>
      </c>
      <c r="H62" s="309"/>
      <c r="I62" s="277">
        <f t="shared" si="131"/>
        <v>6.6023593020398133E-2</v>
      </c>
      <c r="J62" s="277">
        <f t="shared" si="131"/>
        <v>5.6599402548314331E-2</v>
      </c>
      <c r="K62" s="277">
        <f t="shared" si="131"/>
        <v>2.8653120817617714E-2</v>
      </c>
      <c r="L62" s="277">
        <f t="shared" si="131"/>
        <v>4.3236348174694766E-2</v>
      </c>
      <c r="M62" s="18"/>
      <c r="N62" s="277">
        <f t="shared" si="131"/>
        <v>5.037521181312031E-2</v>
      </c>
      <c r="O62" s="277">
        <f t="shared" si="131"/>
        <v>4.7554134748778572E-2</v>
      </c>
      <c r="P62" s="277">
        <f t="shared" si="131"/>
        <v>5.6394823954258204E-2</v>
      </c>
      <c r="Q62" s="184">
        <v>7.0000000000000007E-2</v>
      </c>
      <c r="R62" s="18"/>
      <c r="S62" s="184">
        <v>6.5000000000000002E-2</v>
      </c>
      <c r="T62" s="184">
        <v>0.06</v>
      </c>
      <c r="U62" s="184">
        <v>0.06</v>
      </c>
      <c r="V62" s="184">
        <v>7.0000000000000007E-2</v>
      </c>
      <c r="W62" s="18"/>
      <c r="X62" s="184">
        <f>+S62*(1+2.25%)</f>
        <v>6.6462499999999994E-2</v>
      </c>
      <c r="Y62" s="184">
        <f>+T62*(1+2.25%)</f>
        <v>6.1349999999999995E-2</v>
      </c>
      <c r="Z62" s="184">
        <f>+U62*(1+2.25%)</f>
        <v>6.1349999999999995E-2</v>
      </c>
      <c r="AA62" s="184">
        <f>+V62*(1+2.25%)</f>
        <v>7.1575E-2</v>
      </c>
      <c r="AB62" s="18"/>
      <c r="AC62" s="184">
        <f>+X62*(1+2.25%)</f>
        <v>6.7957906249999991E-2</v>
      </c>
      <c r="AD62" s="184">
        <f>+Y62*(1+2.25%)</f>
        <v>6.2730374999999991E-2</v>
      </c>
      <c r="AE62" s="184">
        <f>+Z62*(1+2.25%)</f>
        <v>6.2730374999999991E-2</v>
      </c>
      <c r="AF62" s="184">
        <f>+AA62*(1+2.25%)</f>
        <v>7.3185437499999992E-2</v>
      </c>
      <c r="AG62" s="18"/>
      <c r="AH62" s="184">
        <f>+AC62*(1+2.25%)</f>
        <v>6.9486959140624985E-2</v>
      </c>
      <c r="AI62" s="184">
        <f>+AD62*(1+2.25%)</f>
        <v>6.4141808437499989E-2</v>
      </c>
      <c r="AJ62" s="184">
        <f>+AE62*(1+2.25%)</f>
        <v>6.4141808437499989E-2</v>
      </c>
      <c r="AK62" s="184">
        <f>+AF62*(1+2.25%)</f>
        <v>7.4832109843749994E-2</v>
      </c>
      <c r="AL62" s="18"/>
      <c r="AM62" s="184">
        <f>+AH62*(1+2.25%)</f>
        <v>7.1050415721289048E-2</v>
      </c>
      <c r="AN62" s="184">
        <f>+AI62*(1+2.25%)</f>
        <v>6.5584999127343738E-2</v>
      </c>
      <c r="AO62" s="184">
        <f>+AJ62*(1+2.25%)</f>
        <v>6.5584999127343738E-2</v>
      </c>
      <c r="AP62" s="184">
        <f>+AK62*(1+2.25%)</f>
        <v>7.6515832315234372E-2</v>
      </c>
      <c r="AQ62" s="18"/>
    </row>
    <row r="63" spans="1:43" s="20" customFormat="1" outlineLevel="1" x14ac:dyDescent="0.25">
      <c r="A63" s="268"/>
      <c r="B63" s="566" t="s">
        <v>167</v>
      </c>
      <c r="C63" s="567"/>
      <c r="D63" s="278">
        <v>514.6</v>
      </c>
      <c r="E63" s="278">
        <v>463.1</v>
      </c>
      <c r="F63" s="278">
        <v>496.3</v>
      </c>
      <c r="G63" s="278">
        <v>484</v>
      </c>
      <c r="H63" s="361"/>
      <c r="I63" s="278">
        <v>537.29999999999995</v>
      </c>
      <c r="J63" s="278">
        <v>464.2</v>
      </c>
      <c r="K63" s="278">
        <v>235.5</v>
      </c>
      <c r="L63" s="202">
        <v>355.9</v>
      </c>
      <c r="M63" s="203">
        <v>416.2</v>
      </c>
      <c r="N63" s="202">
        <v>416.2</v>
      </c>
      <c r="O63" s="202">
        <v>394.2</v>
      </c>
      <c r="P63" s="202">
        <v>468.5</v>
      </c>
      <c r="Q63" s="202">
        <f t="shared" ref="Q63" si="132">+Q61*Q62</f>
        <v>583.94000000000005</v>
      </c>
      <c r="R63" s="203">
        <f>SUM(N63:Q63)</f>
        <v>1862.8400000000001</v>
      </c>
      <c r="S63" s="202">
        <f>+S61*S62</f>
        <v>544.99250000000006</v>
      </c>
      <c r="T63" s="202">
        <f>+T61*T62</f>
        <v>504.90749999999997</v>
      </c>
      <c r="U63" s="202">
        <f t="shared" ref="U63:V63" si="133">+U61*U62</f>
        <v>506.791875</v>
      </c>
      <c r="V63" s="202">
        <f t="shared" si="133"/>
        <v>593.69023437500005</v>
      </c>
      <c r="W63" s="203">
        <f>SUM(S63:V63)</f>
        <v>2150.3821093750003</v>
      </c>
      <c r="X63" s="202">
        <f>+X61*X62</f>
        <v>567.02125645086664</v>
      </c>
      <c r="Y63" s="202">
        <f>+Y61*Y62</f>
        <v>527.2914679841308</v>
      </c>
      <c r="Z63" s="202">
        <f t="shared" ref="Z63:AA63" si="134">+Z61*Z62</f>
        <v>531.1786992443848</v>
      </c>
      <c r="AA63" s="202">
        <f t="shared" si="134"/>
        <v>624.24358558874519</v>
      </c>
      <c r="AB63" s="203">
        <f>SUM(X63:AA63)</f>
        <v>2249.7350092681277</v>
      </c>
      <c r="AC63" s="202">
        <f>+AC61*AC62</f>
        <v>597.05641585168905</v>
      </c>
      <c r="AD63" s="202">
        <f>+AD61*AD62</f>
        <v>555.20247589754342</v>
      </c>
      <c r="AE63" s="202">
        <f t="shared" ref="AE63:AF63" si="135">+AE61*AE62</f>
        <v>559.27595254737366</v>
      </c>
      <c r="AF63" s="202">
        <f t="shared" si="135"/>
        <v>657.24100073007151</v>
      </c>
      <c r="AG63" s="203">
        <f>SUM(AC63:AF63)</f>
        <v>2368.7758450266779</v>
      </c>
      <c r="AH63" s="202">
        <f>+AH61*AH62</f>
        <v>628.53908133097525</v>
      </c>
      <c r="AI63" s="202">
        <f>+AI61*AI62</f>
        <v>584.35505110304416</v>
      </c>
      <c r="AJ63" s="202">
        <f t="shared" ref="AJ63:AK63" si="136">+AJ61*AJ62</f>
        <v>588.52018097749556</v>
      </c>
      <c r="AK63" s="202">
        <f t="shared" si="136"/>
        <v>691.46619599393853</v>
      </c>
      <c r="AL63" s="203">
        <f>SUM(AH63:AK63)</f>
        <v>2492.8805094054533</v>
      </c>
      <c r="AM63" s="202">
        <f>+AM61*AM62</f>
        <v>661.13620694630447</v>
      </c>
      <c r="AN63" s="202">
        <f>+AN61*AN62</f>
        <v>614.5384209393693</v>
      </c>
      <c r="AO63" s="202">
        <f t="shared" ref="AO63:AP63" si="137">+AO61*AO62</f>
        <v>618.79726623599595</v>
      </c>
      <c r="AP63" s="202">
        <f t="shared" si="137"/>
        <v>726.89879678805994</v>
      </c>
      <c r="AQ63" s="203">
        <f>SUM(AM63:AP63)</f>
        <v>2621.3706909097295</v>
      </c>
    </row>
    <row r="64" spans="1:43" s="20" customFormat="1" outlineLevel="1" x14ac:dyDescent="0.25">
      <c r="A64" s="268"/>
      <c r="B64" s="552" t="s">
        <v>166</v>
      </c>
      <c r="C64" s="553"/>
      <c r="D64" s="258">
        <v>5.7</v>
      </c>
      <c r="E64" s="258">
        <v>1.4</v>
      </c>
      <c r="F64" s="258">
        <v>2.6</v>
      </c>
      <c r="G64" s="258">
        <v>3.2</v>
      </c>
      <c r="H64" s="362"/>
      <c r="I64" s="258">
        <v>2.6</v>
      </c>
      <c r="J64" s="258">
        <v>2.2000000000000002</v>
      </c>
      <c r="K64" s="258">
        <v>1.1000000000000001</v>
      </c>
      <c r="L64" s="171">
        <v>1.7</v>
      </c>
      <c r="M64" s="238">
        <v>2.2000000000000002</v>
      </c>
      <c r="N64" s="171">
        <v>2.2000000000000002</v>
      </c>
      <c r="O64" s="171">
        <v>2</v>
      </c>
      <c r="P64" s="171">
        <v>2</v>
      </c>
      <c r="Q64" s="171">
        <f>+L64*(1+Q65)</f>
        <v>2.5499999999999998</v>
      </c>
      <c r="R64" s="478">
        <f>SUM(N64:Q64)</f>
        <v>8.75</v>
      </c>
      <c r="S64" s="171">
        <f>+N64*(1+S65)</f>
        <v>2.4200000000000004</v>
      </c>
      <c r="T64" s="171">
        <f>+O64*(1+T65)</f>
        <v>2.2000000000000002</v>
      </c>
      <c r="U64" s="171">
        <f>+P64*(1+U65)</f>
        <v>2.2000000000000002</v>
      </c>
      <c r="V64" s="171">
        <f t="shared" ref="V64" si="138">+Q64*(1+V65)</f>
        <v>2.8050000000000002</v>
      </c>
      <c r="W64" s="478">
        <f>SUM(S64:V64)</f>
        <v>9.6250000000000018</v>
      </c>
      <c r="X64" s="171">
        <f>+S64*(1+X65)</f>
        <v>2.6620000000000008</v>
      </c>
      <c r="Y64" s="171">
        <f>+T64*(1+Y65)</f>
        <v>2.4200000000000004</v>
      </c>
      <c r="Z64" s="171">
        <f>+U64*(1+Z65)</f>
        <v>2.4200000000000004</v>
      </c>
      <c r="AA64" s="171">
        <f t="shared" ref="AA64" si="139">+V64*(1+AA65)</f>
        <v>3.0855000000000006</v>
      </c>
      <c r="AB64" s="478">
        <f>SUM(X64:AA64)</f>
        <v>10.587500000000002</v>
      </c>
      <c r="AC64" s="171">
        <f>+X64*(1+AC65)</f>
        <v>2.9282000000000012</v>
      </c>
      <c r="AD64" s="171">
        <f>+Y64*(1+AD65)</f>
        <v>2.6620000000000008</v>
      </c>
      <c r="AE64" s="171">
        <f>+Z64*(1+AE65)</f>
        <v>2.6620000000000008</v>
      </c>
      <c r="AF64" s="171">
        <f t="shared" ref="AF64" si="140">+AA64*(1+AF65)</f>
        <v>3.3940500000000009</v>
      </c>
      <c r="AG64" s="478">
        <f>SUM(AC64:AF64)</f>
        <v>11.646250000000002</v>
      </c>
      <c r="AH64" s="171">
        <f>+AC64*(1+AH65)</f>
        <v>3.2210200000000015</v>
      </c>
      <c r="AI64" s="171">
        <f>+AD64*(1+AI65)</f>
        <v>2.9282000000000012</v>
      </c>
      <c r="AJ64" s="171">
        <f>+AE64*(1+AJ65)</f>
        <v>2.9282000000000012</v>
      </c>
      <c r="AK64" s="171">
        <f t="shared" ref="AK64" si="141">+AF64*(1+AK65)</f>
        <v>3.7334550000000011</v>
      </c>
      <c r="AL64" s="478">
        <f>SUM(AH64:AK64)</f>
        <v>12.810875000000005</v>
      </c>
      <c r="AM64" s="171">
        <f>+AH64*(1+AM65)</f>
        <v>3.5431220000000021</v>
      </c>
      <c r="AN64" s="171">
        <f>+AI64*(1+AN65)</f>
        <v>3.2210200000000015</v>
      </c>
      <c r="AO64" s="171">
        <f>+AJ64*(1+AO65)</f>
        <v>3.2210200000000015</v>
      </c>
      <c r="AP64" s="171">
        <f t="shared" ref="AP64" si="142">+AK64*(1+AP65)</f>
        <v>4.1068005000000012</v>
      </c>
      <c r="AQ64" s="478">
        <f>SUM(AM64:AP64)</f>
        <v>14.091962500000005</v>
      </c>
    </row>
    <row r="65" spans="1:43" outlineLevel="1" x14ac:dyDescent="0.25">
      <c r="A65" s="253"/>
      <c r="B65" s="199" t="s">
        <v>169</v>
      </c>
      <c r="C65" s="200"/>
      <c r="D65" s="288"/>
      <c r="E65" s="288"/>
      <c r="F65" s="288"/>
      <c r="G65" s="288"/>
      <c r="H65" s="363"/>
      <c r="I65" s="288">
        <f>I64/D64-1</f>
        <v>-0.54385964912280704</v>
      </c>
      <c r="J65" s="288">
        <f t="shared" ref="J65" si="143">J64/E64-1</f>
        <v>0.57142857142857162</v>
      </c>
      <c r="K65" s="288">
        <f>K64/F64-1</f>
        <v>-0.57692307692307687</v>
      </c>
      <c r="L65" s="288">
        <f>L64/G64-1</f>
        <v>-0.46875</v>
      </c>
      <c r="M65" s="179"/>
      <c r="N65" s="288">
        <f>N64/I64-1</f>
        <v>-0.15384615384615385</v>
      </c>
      <c r="O65" s="288">
        <f t="shared" ref="O65" si="144">O64/J64-1</f>
        <v>-9.0909090909090939E-2</v>
      </c>
      <c r="P65" s="288">
        <f>P64/K64-1</f>
        <v>0.81818181818181812</v>
      </c>
      <c r="Q65" s="201">
        <v>0.5</v>
      </c>
      <c r="R65" s="179"/>
      <c r="S65" s="201">
        <v>0.1</v>
      </c>
      <c r="T65" s="201">
        <v>0.1</v>
      </c>
      <c r="U65" s="201">
        <v>0.1</v>
      </c>
      <c r="V65" s="201">
        <v>0.1</v>
      </c>
      <c r="W65" s="179"/>
      <c r="X65" s="201">
        <v>0.1</v>
      </c>
      <c r="Y65" s="201">
        <v>0.1</v>
      </c>
      <c r="Z65" s="201">
        <v>0.1</v>
      </c>
      <c r="AA65" s="201">
        <v>0.1</v>
      </c>
      <c r="AB65" s="179"/>
      <c r="AC65" s="201">
        <v>0.1</v>
      </c>
      <c r="AD65" s="201">
        <v>0.1</v>
      </c>
      <c r="AE65" s="201">
        <v>0.1</v>
      </c>
      <c r="AF65" s="201">
        <v>0.1</v>
      </c>
      <c r="AG65" s="179"/>
      <c r="AH65" s="201">
        <v>0.1</v>
      </c>
      <c r="AI65" s="201">
        <v>0.1</v>
      </c>
      <c r="AJ65" s="201">
        <v>0.1</v>
      </c>
      <c r="AK65" s="201">
        <v>0.1</v>
      </c>
      <c r="AL65" s="179"/>
      <c r="AM65" s="201">
        <v>0.1</v>
      </c>
      <c r="AN65" s="201">
        <v>0.1</v>
      </c>
      <c r="AO65" s="201">
        <v>0.1</v>
      </c>
      <c r="AP65" s="201">
        <v>0.1</v>
      </c>
      <c r="AQ65" s="179"/>
    </row>
    <row r="66" spans="1:43" outlineLevel="1" x14ac:dyDescent="0.25">
      <c r="A66" s="253"/>
      <c r="B66" s="407" t="s">
        <v>171</v>
      </c>
      <c r="C66" s="408"/>
      <c r="D66" s="255">
        <f t="shared" ref="D66:G67" si="145">+D59+D48</f>
        <v>17653</v>
      </c>
      <c r="E66" s="255">
        <f>+E59+E48</f>
        <v>17719</v>
      </c>
      <c r="F66" s="255">
        <f t="shared" si="145"/>
        <v>17853</v>
      </c>
      <c r="G66" s="255">
        <f t="shared" si="145"/>
        <v>18067</v>
      </c>
      <c r="H66" s="290"/>
      <c r="I66" s="255">
        <f>+I59+I48</f>
        <v>18203</v>
      </c>
      <c r="J66" s="255">
        <f t="shared" ref="J66:L67" si="146">+J59+J48</f>
        <v>18271</v>
      </c>
      <c r="K66" s="255">
        <f t="shared" si="146"/>
        <v>18235</v>
      </c>
      <c r="L66" s="34">
        <f t="shared" si="146"/>
        <v>18354</v>
      </c>
      <c r="M66" s="18"/>
      <c r="N66" s="34">
        <f>+N59+N48</f>
        <v>18308</v>
      </c>
      <c r="O66" s="34">
        <f t="shared" ref="O66:Q67" si="147">+O59+O48</f>
        <v>18120</v>
      </c>
      <c r="P66" s="34">
        <f t="shared" si="147"/>
        <v>18175</v>
      </c>
      <c r="Q66" s="34">
        <f t="shared" si="147"/>
        <v>18354</v>
      </c>
      <c r="R66" s="18"/>
      <c r="S66" s="34">
        <f>+S59+S48</f>
        <v>18354</v>
      </c>
      <c r="T66" s="34">
        <f t="shared" ref="T66:V67" si="148">+T59+T48</f>
        <v>18365.5</v>
      </c>
      <c r="U66" s="34">
        <f t="shared" si="148"/>
        <v>18426.875</v>
      </c>
      <c r="V66" s="34">
        <f t="shared" si="148"/>
        <v>18489.84375</v>
      </c>
      <c r="W66" s="493">
        <f>W67/(AVERAGE(N66:Q66))</f>
        <v>7.4478802582343025E-3</v>
      </c>
      <c r="X66" s="34">
        <f>+X59+X48</f>
        <v>18627.911660156249</v>
      </c>
      <c r="Y66" s="34">
        <f t="shared" ref="Y66:AA67" si="149">+Y59+Y48</f>
        <v>18765.979570312502</v>
      </c>
      <c r="Z66" s="34">
        <f t="shared" si="149"/>
        <v>18904.047480468755</v>
      </c>
      <c r="AA66" s="34">
        <f t="shared" si="149"/>
        <v>19042.115390625004</v>
      </c>
      <c r="AB66" s="494">
        <f>AB67/(AVERAGE(S66:V66))</f>
        <v>2.9999999999999995E-2</v>
      </c>
      <c r="AC66" s="34">
        <f>+AC59+AC48</f>
        <v>19183.377992065434</v>
      </c>
      <c r="AD66" s="34">
        <f t="shared" ref="AD66:AF67" si="150">+AD59+AD48</f>
        <v>19324.640593505861</v>
      </c>
      <c r="AE66" s="34">
        <f t="shared" si="150"/>
        <v>19465.903194946288</v>
      </c>
      <c r="AF66" s="34">
        <f t="shared" si="150"/>
        <v>19607.165796386718</v>
      </c>
      <c r="AG66" s="494">
        <f>AG67/(AVERAGE(X66:AA66))</f>
        <v>3.0000000000000002E-2</v>
      </c>
      <c r="AH66" s="34">
        <f>+AH59+AH48</f>
        <v>19748.428397827149</v>
      </c>
      <c r="AI66" s="34">
        <f t="shared" ref="AI66:AK67" si="151">+AI59+AI48</f>
        <v>19889.690999267576</v>
      </c>
      <c r="AJ66" s="34">
        <f t="shared" si="151"/>
        <v>20030.953600708002</v>
      </c>
      <c r="AK66" s="34">
        <f t="shared" si="151"/>
        <v>20172.216202148433</v>
      </c>
      <c r="AL66" s="493">
        <f>AL67/(AVERAGE(AC66:AF66))</f>
        <v>2.9133409876555168E-2</v>
      </c>
      <c r="AM66" s="34">
        <f>+AM59+AM48</f>
        <v>20313.478803588863</v>
      </c>
      <c r="AN66" s="34">
        <f t="shared" ref="AN66:AP66" si="152">+AN59+AN48</f>
        <v>20454.74140502929</v>
      </c>
      <c r="AO66" s="34">
        <f t="shared" si="152"/>
        <v>20596.004006469717</v>
      </c>
      <c r="AP66" s="34">
        <f t="shared" si="152"/>
        <v>20737.266607910147</v>
      </c>
      <c r="AQ66" s="493">
        <f>AQ67/(AVERAGE(AH66:AK66))</f>
        <v>2.8308681456614779E-2</v>
      </c>
    </row>
    <row r="67" spans="1:43" outlineLevel="1" x14ac:dyDescent="0.25">
      <c r="A67" s="253"/>
      <c r="B67" s="407" t="s">
        <v>172</v>
      </c>
      <c r="C67" s="408"/>
      <c r="D67" s="255">
        <f t="shared" si="145"/>
        <v>193</v>
      </c>
      <c r="E67" s="255">
        <f>+E60+E49</f>
        <v>66</v>
      </c>
      <c r="F67" s="255">
        <f t="shared" si="145"/>
        <v>134</v>
      </c>
      <c r="G67" s="255">
        <f t="shared" si="145"/>
        <v>214</v>
      </c>
      <c r="H67" s="290">
        <f>+H60+H49</f>
        <v>607</v>
      </c>
      <c r="I67" s="255">
        <f>+I60+I49</f>
        <v>136</v>
      </c>
      <c r="J67" s="255">
        <f t="shared" si="146"/>
        <v>68</v>
      </c>
      <c r="K67" s="255">
        <f t="shared" si="146"/>
        <v>-36</v>
      </c>
      <c r="L67" s="34">
        <f t="shared" si="146"/>
        <v>119</v>
      </c>
      <c r="M67" s="290">
        <f>+M60+M49</f>
        <v>287</v>
      </c>
      <c r="N67" s="34">
        <f>+N60+N49</f>
        <v>-46</v>
      </c>
      <c r="O67" s="34">
        <f t="shared" si="147"/>
        <v>-188</v>
      </c>
      <c r="P67" s="34">
        <f t="shared" si="147"/>
        <v>55</v>
      </c>
      <c r="Q67" s="34">
        <f t="shared" si="147"/>
        <v>179</v>
      </c>
      <c r="R67" s="348">
        <f>+R60+R49</f>
        <v>0</v>
      </c>
      <c r="S67" s="34">
        <f>+S60+S49</f>
        <v>0</v>
      </c>
      <c r="T67" s="34">
        <f t="shared" si="148"/>
        <v>11.5</v>
      </c>
      <c r="U67" s="34">
        <f t="shared" si="148"/>
        <v>61.375</v>
      </c>
      <c r="V67" s="34">
        <f t="shared" si="148"/>
        <v>62.96875</v>
      </c>
      <c r="W67" s="290">
        <f>+W60+W49</f>
        <v>135.84375</v>
      </c>
      <c r="X67" s="34">
        <f>+X60+X49</f>
        <v>138.06791015624998</v>
      </c>
      <c r="Y67" s="34">
        <f t="shared" si="149"/>
        <v>138.06791015624998</v>
      </c>
      <c r="Z67" s="34">
        <f t="shared" si="149"/>
        <v>138.06791015624998</v>
      </c>
      <c r="AA67" s="34">
        <f t="shared" si="149"/>
        <v>138.06791015624998</v>
      </c>
      <c r="AB67" s="290">
        <f>+AB60+AB49</f>
        <v>552.27164062499992</v>
      </c>
      <c r="AC67" s="34">
        <f>+AC60+AC49</f>
        <v>141.26260144042971</v>
      </c>
      <c r="AD67" s="34">
        <f t="shared" si="150"/>
        <v>141.26260144042971</v>
      </c>
      <c r="AE67" s="34">
        <f t="shared" si="150"/>
        <v>141.26260144042971</v>
      </c>
      <c r="AF67" s="34">
        <f t="shared" si="150"/>
        <v>141.26260144042971</v>
      </c>
      <c r="AG67" s="290">
        <f>+AG60+AG49</f>
        <v>565.05040576171882</v>
      </c>
      <c r="AH67" s="34">
        <f>+AH60+AH49</f>
        <v>141.26260144042971</v>
      </c>
      <c r="AI67" s="34">
        <f t="shared" si="151"/>
        <v>141.26260144042971</v>
      </c>
      <c r="AJ67" s="34">
        <f t="shared" si="151"/>
        <v>141.26260144042971</v>
      </c>
      <c r="AK67" s="34">
        <f t="shared" si="151"/>
        <v>141.26260144042971</v>
      </c>
      <c r="AL67" s="290">
        <f>+AL60+AL49</f>
        <v>565.05040576171882</v>
      </c>
      <c r="AM67" s="34">
        <f>+AM60+AM49</f>
        <v>141.26260144042971</v>
      </c>
      <c r="AN67" s="34">
        <f t="shared" ref="AN67:AP67" si="153">+AN60+AN49</f>
        <v>141.26260144042971</v>
      </c>
      <c r="AO67" s="34">
        <f t="shared" si="153"/>
        <v>141.26260144042971</v>
      </c>
      <c r="AP67" s="34">
        <f t="shared" si="153"/>
        <v>141.26260144042971</v>
      </c>
      <c r="AQ67" s="290">
        <f>+AQ60+AQ49</f>
        <v>565.05040576171882</v>
      </c>
    </row>
    <row r="68" spans="1:43" outlineLevel="1" x14ac:dyDescent="0.25">
      <c r="A68" s="253"/>
      <c r="B68" s="568" t="s">
        <v>170</v>
      </c>
      <c r="C68" s="569"/>
      <c r="D68" s="278">
        <f t="shared" ref="D68:G68" si="154">+D64+D63+D56</f>
        <v>4612.5</v>
      </c>
      <c r="E68" s="278">
        <f t="shared" si="154"/>
        <v>4314.1000000000004</v>
      </c>
      <c r="F68" s="278">
        <f t="shared" si="154"/>
        <v>4681.0999999999995</v>
      </c>
      <c r="G68" s="278">
        <f t="shared" si="154"/>
        <v>4651.3999999999996</v>
      </c>
      <c r="H68" s="319">
        <f>SUM(D68:G68)</f>
        <v>18259.099999999999</v>
      </c>
      <c r="I68" s="278">
        <f>+I64+I63+I56</f>
        <v>5010.8999999999996</v>
      </c>
      <c r="J68" s="278">
        <f t="shared" ref="J68:L68" si="155">+J64+J63+J56</f>
        <v>4330</v>
      </c>
      <c r="K68" s="278">
        <f t="shared" si="155"/>
        <v>2805.5</v>
      </c>
      <c r="L68" s="202">
        <f t="shared" si="155"/>
        <v>4232.9000000000005</v>
      </c>
      <c r="M68" s="238">
        <f>SUM(I68:L68)</f>
        <v>16379.3</v>
      </c>
      <c r="N68" s="202">
        <f>+N64+N63+N56</f>
        <v>4703.2</v>
      </c>
      <c r="O68" s="202">
        <f t="shared" ref="O68:Q68" si="156">+O64+O63+O56</f>
        <v>4664.5999999999995</v>
      </c>
      <c r="P68" s="202">
        <f t="shared" si="156"/>
        <v>5400.3</v>
      </c>
      <c r="Q68" s="202">
        <f t="shared" si="156"/>
        <v>5770.4424805787485</v>
      </c>
      <c r="R68" s="238">
        <f>SUM(N68:Q68)</f>
        <v>20538.542480578748</v>
      </c>
      <c r="S68" s="202">
        <f>+S64+S63+S56</f>
        <v>5060.2648237314506</v>
      </c>
      <c r="T68" s="202">
        <f t="shared" ref="T68:V68" si="157">+T64+T63+T56</f>
        <v>4898.4606617562622</v>
      </c>
      <c r="U68" s="202">
        <f t="shared" si="157"/>
        <v>5736.6269793073998</v>
      </c>
      <c r="V68" s="202">
        <f t="shared" si="157"/>
        <v>5640.1415500223766</v>
      </c>
      <c r="W68" s="238">
        <f>SUM(S68:V68)</f>
        <v>21335.49401481749</v>
      </c>
      <c r="X68" s="202">
        <f>+X64+X63+X56</f>
        <v>5314.6414001189623</v>
      </c>
      <c r="Y68" s="202">
        <f t="shared" ref="Y68:AA68" si="158">+Y64+Y63+Y56</f>
        <v>5265.943246030195</v>
      </c>
      <c r="Z68" s="202">
        <f t="shared" si="158"/>
        <v>6170.6598704991347</v>
      </c>
      <c r="AA68" s="202">
        <f t="shared" si="158"/>
        <v>6041.0044176121146</v>
      </c>
      <c r="AB68" s="238">
        <f>SUM(X68:AA68)</f>
        <v>22792.248934260406</v>
      </c>
      <c r="AC68" s="202">
        <f>+AC64+AC63+AC56</f>
        <v>5651.3921330909025</v>
      </c>
      <c r="AD68" s="202">
        <f t="shared" ref="AD68:AF68" si="159">+AD64+AD63+AD56</f>
        <v>5610.8166092602778</v>
      </c>
      <c r="AE68" s="202">
        <f t="shared" si="159"/>
        <v>6585.1054592878736</v>
      </c>
      <c r="AF68" s="202">
        <f t="shared" si="159"/>
        <v>6444.2293842331374</v>
      </c>
      <c r="AG68" s="238">
        <f>SUM(AC68:AF68)</f>
        <v>24291.543585872194</v>
      </c>
      <c r="AH68" s="202">
        <f>+AH64+AH63+AH56</f>
        <v>6026.8809122669045</v>
      </c>
      <c r="AI68" s="202">
        <f t="shared" ref="AI68:AK68" si="160">+AI64+AI63+AI56</f>
        <v>5983.3592869790946</v>
      </c>
      <c r="AJ68" s="202">
        <f t="shared" si="160"/>
        <v>7025.2690061210615</v>
      </c>
      <c r="AK68" s="202">
        <f t="shared" si="160"/>
        <v>6871.3110950106202</v>
      </c>
      <c r="AL68" s="238">
        <f>SUM(AH68:AK68)</f>
        <v>25906.82030037768</v>
      </c>
      <c r="AM68" s="202">
        <f>+AM64+AM63+AM56</f>
        <v>6423.8701108747136</v>
      </c>
      <c r="AN68" s="202">
        <f t="shared" ref="AN68:AP68" si="161">+AN64+AN63+AN56</f>
        <v>6376.8504065087964</v>
      </c>
      <c r="AO68" s="202">
        <f t="shared" si="161"/>
        <v>7490.027211244088</v>
      </c>
      <c r="AP68" s="202">
        <f t="shared" si="161"/>
        <v>7322.101769725844</v>
      </c>
      <c r="AQ68" s="238">
        <f>SUM(AM68:AP68)</f>
        <v>27612.84949835344</v>
      </c>
    </row>
    <row r="69" spans="1:43" outlineLevel="1" x14ac:dyDescent="0.25">
      <c r="A69" s="253"/>
      <c r="B69" s="572" t="s">
        <v>262</v>
      </c>
      <c r="C69" s="573"/>
      <c r="D69" s="260">
        <v>1351.3</v>
      </c>
      <c r="E69" s="260">
        <v>1220.5</v>
      </c>
      <c r="F69" s="260">
        <v>1324</v>
      </c>
      <c r="G69" s="260">
        <v>1278.9000000000001</v>
      </c>
      <c r="H69" s="316"/>
      <c r="I69" s="260">
        <v>1388.4</v>
      </c>
      <c r="J69" s="260">
        <v>1248.2</v>
      </c>
      <c r="K69" s="260">
        <v>805.6</v>
      </c>
      <c r="L69" s="169">
        <v>1169.4000000000001</v>
      </c>
      <c r="M69" s="208"/>
      <c r="N69" s="169">
        <v>1276.2</v>
      </c>
      <c r="O69" s="169">
        <v>1227.5999999999999</v>
      </c>
      <c r="P69" s="169">
        <v>1416.2</v>
      </c>
      <c r="Q69" s="169">
        <f t="shared" ref="Q69:AK69" si="162">Q70*Q68</f>
        <v>1575.9537122950742</v>
      </c>
      <c r="R69" s="208">
        <f>SUM(N69:Q69)</f>
        <v>5495.9537122950742</v>
      </c>
      <c r="S69" s="169">
        <f>S70*S68</f>
        <v>1407.2998729294113</v>
      </c>
      <c r="T69" s="169">
        <f t="shared" si="162"/>
        <v>1411.2854558754775</v>
      </c>
      <c r="U69" s="169">
        <f t="shared" si="162"/>
        <v>1595.4015649855999</v>
      </c>
      <c r="V69" s="169">
        <f t="shared" si="162"/>
        <v>1568.5682001119753</v>
      </c>
      <c r="W69" s="208">
        <f>SUM(S69:V69)</f>
        <v>5982.5550939024633</v>
      </c>
      <c r="X69" s="169">
        <f t="shared" si="162"/>
        <v>1466.1980241413098</v>
      </c>
      <c r="Y69" s="169">
        <f t="shared" si="162"/>
        <v>1505.4226579145957</v>
      </c>
      <c r="Z69" s="169">
        <f t="shared" si="162"/>
        <v>1764.0621536012043</v>
      </c>
      <c r="AA69" s="169">
        <f t="shared" si="162"/>
        <v>1666.5863365181226</v>
      </c>
      <c r="AB69" s="208">
        <f>SUM(X69:AA69)</f>
        <v>6402.2691721752326</v>
      </c>
      <c r="AC69" s="169">
        <f t="shared" si="162"/>
        <v>1559.7574507954353</v>
      </c>
      <c r="AD69" s="169">
        <f t="shared" si="162"/>
        <v>1604.6669645694049</v>
      </c>
      <c r="AE69" s="169">
        <f t="shared" si="162"/>
        <v>1883.3089592136953</v>
      </c>
      <c r="AF69" s="169">
        <f t="shared" si="162"/>
        <v>1778.5767754174774</v>
      </c>
      <c r="AG69" s="208">
        <f>SUM(AC69:AF69)</f>
        <v>6826.310149996013</v>
      </c>
      <c r="AH69" s="169">
        <f t="shared" si="162"/>
        <v>1664.4549567230247</v>
      </c>
      <c r="AI69" s="169">
        <f t="shared" si="162"/>
        <v>1712.2691010605747</v>
      </c>
      <c r="AJ69" s="169">
        <f t="shared" si="162"/>
        <v>2010.4343511507495</v>
      </c>
      <c r="AK69" s="169">
        <f t="shared" si="162"/>
        <v>1897.6628172622247</v>
      </c>
      <c r="AL69" s="208">
        <f>SUM(AH69:AK69)</f>
        <v>7284.8212261965737</v>
      </c>
      <c r="AM69" s="169">
        <f t="shared" ref="AM69:AP69" si="163">AM70*AM68</f>
        <v>1775.421997474099</v>
      </c>
      <c r="AN69" s="169">
        <f t="shared" si="163"/>
        <v>1826.1952485211259</v>
      </c>
      <c r="AO69" s="169">
        <f t="shared" si="163"/>
        <v>2144.9855700718049</v>
      </c>
      <c r="AP69" s="169">
        <f t="shared" si="163"/>
        <v>2023.6742532680441</v>
      </c>
      <c r="AQ69" s="208">
        <f>SUM(AM69:AP69)</f>
        <v>7770.277069335074</v>
      </c>
    </row>
    <row r="70" spans="1:43" s="472" customFormat="1" outlineLevel="1" x14ac:dyDescent="0.25">
      <c r="A70" s="470"/>
      <c r="B70" s="466" t="s">
        <v>341</v>
      </c>
      <c r="C70" s="471"/>
      <c r="D70" s="414">
        <f>D69/D68</f>
        <v>0.29296476964769647</v>
      </c>
      <c r="E70" s="414">
        <f t="shared" ref="E70:P70" si="164">E69/E68</f>
        <v>0.28290952921814511</v>
      </c>
      <c r="F70" s="414">
        <f t="shared" si="164"/>
        <v>0.28283950353549381</v>
      </c>
      <c r="G70" s="414">
        <f t="shared" si="164"/>
        <v>0.27494947757664362</v>
      </c>
      <c r="H70" s="473"/>
      <c r="I70" s="414">
        <f t="shared" si="164"/>
        <v>0.27707597437586068</v>
      </c>
      <c r="J70" s="414">
        <f t="shared" si="164"/>
        <v>0.28826789838337186</v>
      </c>
      <c r="K70" s="414">
        <f t="shared" si="164"/>
        <v>0.28715024059882377</v>
      </c>
      <c r="L70" s="474">
        <f t="shared" si="164"/>
        <v>0.27626449951569843</v>
      </c>
      <c r="M70" s="475"/>
      <c r="N70" s="474">
        <f t="shared" si="164"/>
        <v>0.27134716788569485</v>
      </c>
      <c r="O70" s="414">
        <f t="shared" si="164"/>
        <v>0.26317369120610556</v>
      </c>
      <c r="P70" s="414">
        <f t="shared" si="164"/>
        <v>0.26224469010980872</v>
      </c>
      <c r="Q70" s="476">
        <f>AVERAGE(D70:P70)-0.5%</f>
        <v>0.27310794927757659</v>
      </c>
      <c r="R70" s="475">
        <f t="shared" ref="R70" si="165">R69/R68</f>
        <v>0.26759219732812345</v>
      </c>
      <c r="S70" s="476">
        <f>AVERAGE(D70:P70)+0.5%-0.5%</f>
        <v>0.27810794927757659</v>
      </c>
      <c r="T70" s="476">
        <f>AVERAGE(D70:P70)+0.5%+0.5%</f>
        <v>0.2881079492775766</v>
      </c>
      <c r="U70" s="476">
        <f>AVERAGE(D70:P70)+0.5%+0.5%-1%</f>
        <v>0.27810794927757659</v>
      </c>
      <c r="V70" s="476">
        <f>AVERAGE(D70:P70)+0.5%-0.5%</f>
        <v>0.27810794927757659</v>
      </c>
      <c r="W70" s="475">
        <f t="shared" ref="W70" si="166">W69/W68</f>
        <v>0.28040387017744151</v>
      </c>
      <c r="X70" s="476">
        <f>AVERAGE(I70:U70)+0.5%-0.5%</f>
        <v>0.27587901304281615</v>
      </c>
      <c r="Y70" s="476">
        <f>AVERAGE(I70:U70)+0.5%+0.5%</f>
        <v>0.28587901304281615</v>
      </c>
      <c r="Z70" s="476">
        <f>AVERAGE(I70:U70)+0.5%+0.5%</f>
        <v>0.28587901304281615</v>
      </c>
      <c r="AA70" s="476">
        <f>AVERAGE(I70:U70)+0.5%-0.5%</f>
        <v>0.27587901304281615</v>
      </c>
      <c r="AB70" s="475">
        <f t="shared" ref="AB70" si="167">AB69/AB68</f>
        <v>0.28089677287402715</v>
      </c>
      <c r="AC70" s="476">
        <f>AVERAGE(N70:Z70)+0.5%-0.5%</f>
        <v>0.27599526170950039</v>
      </c>
      <c r="AD70" s="476">
        <f>AVERAGE(N70:Z70)+0.5%+0.5%</f>
        <v>0.2859952617095004</v>
      </c>
      <c r="AE70" s="476">
        <f>AVERAGE(N70:Z70)+0.5%+0.5%</f>
        <v>0.2859952617095004</v>
      </c>
      <c r="AF70" s="476">
        <f>AVERAGE(N70:Z70)+0.5%-0.5%</f>
        <v>0.27599526170950039</v>
      </c>
      <c r="AG70" s="475">
        <f t="shared" ref="AG70" si="168">AG69/AG68</f>
        <v>0.28101590686753031</v>
      </c>
      <c r="AH70" s="476">
        <f>AVERAGE(S70:AE70)-0.5%</f>
        <v>0.27617186749704159</v>
      </c>
      <c r="AI70" s="476">
        <f>AVERAGE(S70:AE70)+0.5%</f>
        <v>0.2861718674970416</v>
      </c>
      <c r="AJ70" s="476">
        <f>AVERAGE(S70:AE70)+0.5%</f>
        <v>0.2861718674970416</v>
      </c>
      <c r="AK70" s="476">
        <f>AVERAGE(S70:AE70)-0.5%</f>
        <v>0.27617186749704159</v>
      </c>
      <c r="AL70" s="475">
        <f t="shared" ref="AL70" si="169">AL69/AL68</f>
        <v>0.28119318163064466</v>
      </c>
      <c r="AM70" s="476">
        <f>AVERAGE(X70:AJ70)-0.5%</f>
        <v>0.27637887548014989</v>
      </c>
      <c r="AN70" s="476">
        <f>AVERAGE(X70:AJ70)+0.5%</f>
        <v>0.2863788754801499</v>
      </c>
      <c r="AO70" s="476">
        <f>AVERAGE(X70:AJ70)+0.5%</f>
        <v>0.2863788754801499</v>
      </c>
      <c r="AP70" s="476">
        <f>AVERAGE(X70:AJ70)-0.5%</f>
        <v>0.27637887548014989</v>
      </c>
      <c r="AQ70" s="475">
        <f t="shared" ref="AQ70" si="170">AQ69/AQ68</f>
        <v>0.28140076850085383</v>
      </c>
    </row>
    <row r="71" spans="1:43" outlineLevel="1" x14ac:dyDescent="0.25">
      <c r="A71" s="253"/>
      <c r="B71" s="407" t="s">
        <v>141</v>
      </c>
      <c r="C71" s="36"/>
      <c r="D71" s="169">
        <v>1983.1</v>
      </c>
      <c r="E71" s="169">
        <v>1935.7</v>
      </c>
      <c r="F71" s="169">
        <v>2034</v>
      </c>
      <c r="G71" s="169">
        <v>2112.1</v>
      </c>
      <c r="H71" s="170"/>
      <c r="I71" s="169">
        <v>2214.4</v>
      </c>
      <c r="J71" s="169">
        <v>2158.6</v>
      </c>
      <c r="K71" s="169">
        <v>2054.4</v>
      </c>
      <c r="L71" s="169">
        <v>2060.6</v>
      </c>
      <c r="M71" s="384"/>
      <c r="N71" s="169">
        <v>2238.8000000000002</v>
      </c>
      <c r="O71" s="169">
        <v>2203.1</v>
      </c>
      <c r="P71" s="169">
        <v>2346.8000000000002</v>
      </c>
      <c r="Q71" s="169">
        <f t="shared" ref="Q71" si="171">Q72*Q56</f>
        <v>2567.3362463498024</v>
      </c>
      <c r="R71" s="170">
        <f>SUM(N71:Q71)</f>
        <v>9356.0362463498022</v>
      </c>
      <c r="S71" s="169">
        <f>S72*S56</f>
        <v>2256.4261618657251</v>
      </c>
      <c r="T71" s="169">
        <f>T72*T56</f>
        <v>2195.6765808781311</v>
      </c>
      <c r="U71" s="169">
        <f t="shared" ref="U71" si="172">U72*U56</f>
        <v>2509.2648500675518</v>
      </c>
      <c r="V71" s="169">
        <f t="shared" ref="V71" si="173">V72*V56</f>
        <v>2471.3866946672142</v>
      </c>
      <c r="W71" s="170">
        <f>SUM(S71:V71)</f>
        <v>9432.7542874786232</v>
      </c>
      <c r="X71" s="169">
        <f>X72*X56</f>
        <v>2325.0294903973668</v>
      </c>
      <c r="Y71" s="169">
        <f>Y72*Y56</f>
        <v>2320.7535712425715</v>
      </c>
      <c r="Z71" s="169">
        <f t="shared" ref="Z71" si="174">Z72*Z56</f>
        <v>2762.1599739148273</v>
      </c>
      <c r="AA71" s="169">
        <f t="shared" ref="AA71" si="175">AA72*AA56</f>
        <v>2652.7009126914509</v>
      </c>
      <c r="AB71" s="170">
        <f>SUM(X71:AA71)</f>
        <v>10060.643948246217</v>
      </c>
      <c r="AC71" s="169">
        <f>AC72*AC56</f>
        <v>2475.1896834472145</v>
      </c>
      <c r="AD71" s="169">
        <f>AD72*AD56</f>
        <v>2475.9465453477396</v>
      </c>
      <c r="AE71" s="169">
        <f t="shared" ref="AE71" si="176">AE72*AE56</f>
        <v>2951.3520783028453</v>
      </c>
      <c r="AF71" s="169">
        <f t="shared" ref="AF71" si="177">AF72*AF56</f>
        <v>2833.9612234165024</v>
      </c>
      <c r="AG71" s="170">
        <f>SUM(AC71:AF71)</f>
        <v>10736.449530514303</v>
      </c>
      <c r="AH71" s="169">
        <f>AH72*AH56</f>
        <v>2643.6091973586053</v>
      </c>
      <c r="AI71" s="169">
        <f>AI72*AI56</f>
        <v>2644.0772575792648</v>
      </c>
      <c r="AJ71" s="169">
        <f t="shared" ref="AJ71" si="178">AJ72*AJ56</f>
        <v>3152.5721063203473</v>
      </c>
      <c r="AK71" s="169">
        <f t="shared" ref="AK71" si="179">AK72*AK56</f>
        <v>3026.2946075681743</v>
      </c>
      <c r="AL71" s="170">
        <f>SUM(AH71:AK71)</f>
        <v>11466.553168826391</v>
      </c>
      <c r="AM71" s="169">
        <f>AM72*AM56</f>
        <v>2822.0034831449202</v>
      </c>
      <c r="AN71" s="169">
        <f>AN72*AN56</f>
        <v>2821.9545731290191</v>
      </c>
      <c r="AO71" s="169">
        <f t="shared" ref="AO71:AP71" si="180">AO72*AO56</f>
        <v>3365.3243732539649</v>
      </c>
      <c r="AP71" s="169">
        <f t="shared" si="180"/>
        <v>3229.637124494514</v>
      </c>
      <c r="AQ71" s="170">
        <f>SUM(AM71:AP71)</f>
        <v>12238.919554022417</v>
      </c>
    </row>
    <row r="72" spans="1:43" s="472" customFormat="1" outlineLevel="1" x14ac:dyDescent="0.25">
      <c r="A72" s="470"/>
      <c r="B72" s="466" t="s">
        <v>340</v>
      </c>
      <c r="C72" s="477"/>
      <c r="D72" s="474">
        <f>D71/D56</f>
        <v>0.48460485802257952</v>
      </c>
      <c r="E72" s="474">
        <f t="shared" ref="E72:P72" si="181">E71/E56</f>
        <v>0.50283146300914383</v>
      </c>
      <c r="F72" s="474">
        <f t="shared" si="181"/>
        <v>0.48634689876141746</v>
      </c>
      <c r="G72" s="474">
        <f>G71/G56</f>
        <v>0.5072042649248355</v>
      </c>
      <c r="H72" s="475"/>
      <c r="I72" s="474">
        <f t="shared" si="181"/>
        <v>0.49528069783046302</v>
      </c>
      <c r="J72" s="474">
        <f t="shared" si="181"/>
        <v>0.55870172895744896</v>
      </c>
      <c r="K72" s="474">
        <f t="shared" si="181"/>
        <v>0.79971972439565575</v>
      </c>
      <c r="L72" s="474">
        <f t="shared" si="181"/>
        <v>0.53172657600701878</v>
      </c>
      <c r="M72" s="475"/>
      <c r="N72" s="474">
        <f t="shared" si="181"/>
        <v>0.52249813293502612</v>
      </c>
      <c r="O72" s="474">
        <f t="shared" si="181"/>
        <v>0.51614187986130633</v>
      </c>
      <c r="P72" s="474">
        <f t="shared" si="181"/>
        <v>0.47604365288652684</v>
      </c>
      <c r="Q72" s="476">
        <f>AVERAGE(D72:G72)</f>
        <v>0.49524687117949406</v>
      </c>
      <c r="R72" s="475">
        <f t="shared" ref="R72" si="182">R71/R56</f>
        <v>0.50120855324852298</v>
      </c>
      <c r="S72" s="476">
        <v>0.5</v>
      </c>
      <c r="T72" s="476">
        <v>0.5</v>
      </c>
      <c r="U72" s="476">
        <v>0.48</v>
      </c>
      <c r="V72" s="476">
        <v>0.49</v>
      </c>
      <c r="W72" s="475">
        <f t="shared" ref="W72" si="183">W71/W56</f>
        <v>0.49191732830530466</v>
      </c>
      <c r="X72" s="476">
        <f>V72</f>
        <v>0.49</v>
      </c>
      <c r="Y72" s="476">
        <f>X72</f>
        <v>0.49</v>
      </c>
      <c r="Z72" s="476">
        <f>Y72</f>
        <v>0.49</v>
      </c>
      <c r="AA72" s="476">
        <f>Z72</f>
        <v>0.49</v>
      </c>
      <c r="AB72" s="475">
        <f t="shared" ref="AB72" si="184">AB71/AB56</f>
        <v>0.49000000000000005</v>
      </c>
      <c r="AC72" s="476">
        <f>AA72</f>
        <v>0.49</v>
      </c>
      <c r="AD72" s="476">
        <f>AC72</f>
        <v>0.49</v>
      </c>
      <c r="AE72" s="476">
        <f>AD72</f>
        <v>0.49</v>
      </c>
      <c r="AF72" s="476">
        <f>AE72</f>
        <v>0.49</v>
      </c>
      <c r="AG72" s="475">
        <f t="shared" ref="AG72" si="185">AG71/AG56</f>
        <v>0.49000000000000005</v>
      </c>
      <c r="AH72" s="476">
        <f>AF72</f>
        <v>0.49</v>
      </c>
      <c r="AI72" s="476">
        <f>AH72</f>
        <v>0.49</v>
      </c>
      <c r="AJ72" s="476">
        <f>AI72</f>
        <v>0.49</v>
      </c>
      <c r="AK72" s="476">
        <f>AJ72</f>
        <v>0.49</v>
      </c>
      <c r="AL72" s="475">
        <f t="shared" ref="AL72" si="186">AL71/AL56</f>
        <v>0.48999999999999994</v>
      </c>
      <c r="AM72" s="476">
        <f>AK72</f>
        <v>0.49</v>
      </c>
      <c r="AN72" s="476">
        <f>AM72</f>
        <v>0.49</v>
      </c>
      <c r="AO72" s="476">
        <f>AN72</f>
        <v>0.49</v>
      </c>
      <c r="AP72" s="476">
        <f>AO72</f>
        <v>0.49</v>
      </c>
      <c r="AQ72" s="475">
        <f t="shared" ref="AQ72" si="187">AQ71/AQ56</f>
        <v>0.48999999999999988</v>
      </c>
    </row>
    <row r="73" spans="1:43" outlineLevel="1" x14ac:dyDescent="0.25">
      <c r="A73" s="253"/>
      <c r="B73" s="407" t="s">
        <v>142</v>
      </c>
      <c r="C73" s="36"/>
      <c r="D73" s="169">
        <v>44.5</v>
      </c>
      <c r="E73" s="169">
        <v>39.4</v>
      </c>
      <c r="F73" s="169">
        <v>41.7</v>
      </c>
      <c r="G73" s="169">
        <v>34.200000000000003</v>
      </c>
      <c r="H73" s="170"/>
      <c r="I73" s="169">
        <v>42.5</v>
      </c>
      <c r="J73" s="169">
        <v>41.8</v>
      </c>
      <c r="K73" s="169">
        <v>40.700000000000003</v>
      </c>
      <c r="L73" s="169">
        <v>41.8</v>
      </c>
      <c r="M73" s="170"/>
      <c r="N73" s="169">
        <v>42.8</v>
      </c>
      <c r="O73" s="169">
        <v>41.9</v>
      </c>
      <c r="P73" s="169">
        <v>39.700000000000003</v>
      </c>
      <c r="Q73" s="169">
        <f t="shared" ref="Q73" si="188">Q68*Q74</f>
        <v>42.421081510096904</v>
      </c>
      <c r="R73" s="170">
        <f>SUM(N73:Q73)</f>
        <v>166.82108151009689</v>
      </c>
      <c r="S73" s="169">
        <f>S68*S74</f>
        <v>37.200250634620041</v>
      </c>
      <c r="T73" s="169">
        <f>T68*T74</f>
        <v>36.010756489773456</v>
      </c>
      <c r="U73" s="169">
        <f t="shared" ref="U73" si="189">U68*U74</f>
        <v>42.172488765161894</v>
      </c>
      <c r="V73" s="169">
        <f t="shared" ref="V73" si="190">V68*V74</f>
        <v>41.463181589150295</v>
      </c>
      <c r="W73" s="170">
        <f>SUM(S73:V73)</f>
        <v>156.84667747870566</v>
      </c>
      <c r="X73" s="169">
        <f>X68*X74</f>
        <v>39.070285647968227</v>
      </c>
      <c r="Y73" s="169">
        <f>Y68*Y74</f>
        <v>38.712283922633695</v>
      </c>
      <c r="Z73" s="169">
        <f t="shared" ref="Z73" si="191">Z68*Z74</f>
        <v>45.363257015131687</v>
      </c>
      <c r="AA73" s="169">
        <f t="shared" ref="AA73" si="192">AA68*AA74</f>
        <v>44.410102286762019</v>
      </c>
      <c r="AB73" s="170">
        <f>SUM(X73:AA73)</f>
        <v>167.55592887249563</v>
      </c>
      <c r="AC73" s="169">
        <f>AC68*AC74</f>
        <v>41.545889614226766</v>
      </c>
      <c r="AD73" s="169">
        <f>AD68*AD74</f>
        <v>41.247600945805424</v>
      </c>
      <c r="AE73" s="169">
        <f t="shared" ref="AE73" si="193">AE68*AE74</f>
        <v>48.410030319376439</v>
      </c>
      <c r="AF73" s="169">
        <f t="shared" ref="AF73" si="194">AF68*AF74</f>
        <v>47.374387821797967</v>
      </c>
      <c r="AG73" s="170">
        <f>SUM(AC73:AF73)</f>
        <v>178.57790870120658</v>
      </c>
      <c r="AH73" s="169">
        <f>AH68*AH74</f>
        <v>44.306274136065795</v>
      </c>
      <c r="AI73" s="169">
        <f>AI68*AI74</f>
        <v>43.986327369418376</v>
      </c>
      <c r="AJ73" s="169">
        <f t="shared" ref="AJ73" si="195">AJ68*AJ74</f>
        <v>51.645867737534239</v>
      </c>
      <c r="AK73" s="169">
        <f t="shared" ref="AK73" si="196">AK68*AK74</f>
        <v>50.514054862122777</v>
      </c>
      <c r="AL73" s="170">
        <f>SUM(AH73:AK73)</f>
        <v>190.45252410514118</v>
      </c>
      <c r="AM73" s="169">
        <f>AM68*AM74</f>
        <v>47.224717775258064</v>
      </c>
      <c r="AN73" s="169">
        <f>AN68*AN74</f>
        <v>46.879055078125141</v>
      </c>
      <c r="AO73" s="169">
        <f t="shared" ref="AO73:AP73" si="197">AO68*AO74</f>
        <v>55.062511394994779</v>
      </c>
      <c r="AP73" s="169">
        <f t="shared" si="197"/>
        <v>53.828017009817231</v>
      </c>
      <c r="AQ73" s="170">
        <f>SUM(AM73:AP73)</f>
        <v>202.99430125819521</v>
      </c>
    </row>
    <row r="74" spans="1:43" s="472" customFormat="1" outlineLevel="1" x14ac:dyDescent="0.25">
      <c r="A74" s="470"/>
      <c r="B74" s="466" t="s">
        <v>342</v>
      </c>
      <c r="C74" s="477"/>
      <c r="D74" s="474">
        <f>D73/D68</f>
        <v>9.6476964769647705E-3</v>
      </c>
      <c r="E74" s="474">
        <f t="shared" ref="E74:P74" si="198">E73/E68</f>
        <v>9.1328434667717479E-3</v>
      </c>
      <c r="F74" s="474">
        <f t="shared" si="198"/>
        <v>8.908162611352034E-3</v>
      </c>
      <c r="G74" s="474">
        <f t="shared" si="198"/>
        <v>7.352625016124179E-3</v>
      </c>
      <c r="H74" s="475"/>
      <c r="I74" s="474">
        <f t="shared" si="198"/>
        <v>8.4815103075295863E-3</v>
      </c>
      <c r="J74" s="474">
        <f t="shared" si="198"/>
        <v>9.6535796766743648E-3</v>
      </c>
      <c r="K74" s="474">
        <f t="shared" si="198"/>
        <v>1.4507217964712174E-2</v>
      </c>
      <c r="L74" s="474">
        <f t="shared" si="198"/>
        <v>9.8750265775236819E-3</v>
      </c>
      <c r="M74" s="475"/>
      <c r="N74" s="474">
        <f t="shared" si="198"/>
        <v>9.1001871066507915E-3</v>
      </c>
      <c r="O74" s="474">
        <f t="shared" si="198"/>
        <v>8.982549414740814E-3</v>
      </c>
      <c r="P74" s="474">
        <f t="shared" si="198"/>
        <v>7.3514434383275002E-3</v>
      </c>
      <c r="Q74" s="476">
        <f>P74</f>
        <v>7.3514434383275002E-3</v>
      </c>
      <c r="R74" s="475">
        <f t="shared" ref="R74" si="199">R73/R68</f>
        <v>8.1223427450045661E-3</v>
      </c>
      <c r="S74" s="476">
        <f>Q74</f>
        <v>7.3514434383275002E-3</v>
      </c>
      <c r="T74" s="476">
        <f>S74</f>
        <v>7.3514434383275002E-3</v>
      </c>
      <c r="U74" s="476">
        <f>T74</f>
        <v>7.3514434383275002E-3</v>
      </c>
      <c r="V74" s="476">
        <f>U74</f>
        <v>7.3514434383275002E-3</v>
      </c>
      <c r="W74" s="475">
        <f t="shared" ref="W74" si="200">W73/W68</f>
        <v>7.3514434383274985E-3</v>
      </c>
      <c r="X74" s="476">
        <f>V74</f>
        <v>7.3514434383275002E-3</v>
      </c>
      <c r="Y74" s="476">
        <f>X74</f>
        <v>7.3514434383275002E-3</v>
      </c>
      <c r="Z74" s="476">
        <f>Y74</f>
        <v>7.3514434383275002E-3</v>
      </c>
      <c r="AA74" s="476">
        <f>Z74</f>
        <v>7.3514434383275002E-3</v>
      </c>
      <c r="AB74" s="475">
        <f t="shared" ref="AB74" si="201">AB73/AB68</f>
        <v>7.3514434383275002E-3</v>
      </c>
      <c r="AC74" s="476">
        <f>AA74</f>
        <v>7.3514434383275002E-3</v>
      </c>
      <c r="AD74" s="476">
        <f>AC74</f>
        <v>7.3514434383275002E-3</v>
      </c>
      <c r="AE74" s="476">
        <f>AD74</f>
        <v>7.3514434383275002E-3</v>
      </c>
      <c r="AF74" s="476">
        <f>AE74</f>
        <v>7.3514434383275002E-3</v>
      </c>
      <c r="AG74" s="475">
        <f t="shared" ref="AG74" si="202">AG73/AG68</f>
        <v>7.3514434383274985E-3</v>
      </c>
      <c r="AH74" s="476">
        <f>AF74</f>
        <v>7.3514434383275002E-3</v>
      </c>
      <c r="AI74" s="476">
        <f>AH74</f>
        <v>7.3514434383275002E-3</v>
      </c>
      <c r="AJ74" s="476">
        <f>AI74</f>
        <v>7.3514434383275002E-3</v>
      </c>
      <c r="AK74" s="476">
        <f>AJ74</f>
        <v>7.3514434383275002E-3</v>
      </c>
      <c r="AL74" s="475">
        <f t="shared" ref="AL74" si="203">AL73/AL68</f>
        <v>7.3514434383275002E-3</v>
      </c>
      <c r="AM74" s="476">
        <f>AK74</f>
        <v>7.3514434383275002E-3</v>
      </c>
      <c r="AN74" s="476">
        <f>AM74</f>
        <v>7.3514434383275002E-3</v>
      </c>
      <c r="AO74" s="476">
        <f>AN74</f>
        <v>7.3514434383275002E-3</v>
      </c>
      <c r="AP74" s="476">
        <f>AO74</f>
        <v>7.3514434383275002E-3</v>
      </c>
      <c r="AQ74" s="475">
        <f t="shared" ref="AQ74" si="204">AQ73/AQ68</f>
        <v>7.3514434383275002E-3</v>
      </c>
    </row>
    <row r="75" spans="1:43" outlineLevel="1" x14ac:dyDescent="0.25">
      <c r="A75" s="253"/>
      <c r="B75" s="407" t="s">
        <v>143</v>
      </c>
      <c r="C75" s="36"/>
      <c r="D75" s="204">
        <v>166.9</v>
      </c>
      <c r="E75" s="204">
        <v>173</v>
      </c>
      <c r="F75" s="204">
        <v>175.6</v>
      </c>
      <c r="G75" s="204">
        <v>180.6</v>
      </c>
      <c r="H75" s="18"/>
      <c r="I75" s="204">
        <v>189.2</v>
      </c>
      <c r="J75" s="204">
        <v>191.5</v>
      </c>
      <c r="K75" s="204">
        <v>191.3</v>
      </c>
      <c r="L75" s="204">
        <v>190</v>
      </c>
      <c r="M75" s="385"/>
      <c r="N75" s="204">
        <v>188.9</v>
      </c>
      <c r="O75" s="204">
        <v>186</v>
      </c>
      <c r="P75" s="204">
        <v>188.9</v>
      </c>
      <c r="Q75" s="204">
        <f>(P75/(P75+P110+P125+P138))*Q245</f>
        <v>202.01447557891524</v>
      </c>
      <c r="R75" s="170">
        <f t="shared" ref="R75:R76" si="205">SUM(N75:Q75)</f>
        <v>765.81447557891522</v>
      </c>
      <c r="S75" s="204">
        <f>(Q75/(Q75+Q110+Q125+Q138))*S245</f>
        <v>213.54512020385476</v>
      </c>
      <c r="T75" s="204">
        <f>(S75/(S75+S110+S125+S138))*T245</f>
        <v>215.08922526462644</v>
      </c>
      <c r="U75" s="204">
        <f>(T75/(T75+T110+T125+T138))*U245</f>
        <v>215.94272462186677</v>
      </c>
      <c r="V75" s="204">
        <f>(U75/(U75+U110+U125+U138))*V245</f>
        <v>220.05731310998686</v>
      </c>
      <c r="W75" s="170">
        <f t="shared" ref="W75:W76" si="206">SUM(S75:V75)</f>
        <v>864.63438320033492</v>
      </c>
      <c r="X75" s="204">
        <f>(V75/(V75+V110+V125+V138))*X245</f>
        <v>222.77370114830387</v>
      </c>
      <c r="Y75" s="204">
        <f>(X75/(X75+X110+X125+X138))*Y245</f>
        <v>223.99081486360726</v>
      </c>
      <c r="Z75" s="204">
        <f>(Y75/(Y75+Y110+Y125+Y138))*Z245</f>
        <v>225.00386773964135</v>
      </c>
      <c r="AA75" s="204">
        <f>(Z75/(Z75+Z110+Z125+Z138))*AA245</f>
        <v>228.07452035170036</v>
      </c>
      <c r="AB75" s="170">
        <f t="shared" ref="AB75:AB76" si="207">SUM(X75:AA75)</f>
        <v>899.84290410325286</v>
      </c>
      <c r="AC75" s="204">
        <f>(AA75/(AA75+AA110+AA125+AA138))*AC245</f>
        <v>230.0655603837985</v>
      </c>
      <c r="AD75" s="204">
        <f>(AC75/(AC75+AC110+AC125+AC138))*AD245</f>
        <v>230.61911007088185</v>
      </c>
      <c r="AE75" s="204">
        <f>(AD75/(AD75+AD110+AD125+AD138))*AE245</f>
        <v>230.99619967188954</v>
      </c>
      <c r="AF75" s="204">
        <f>(AE75/(AE75+AE110+AE125+AE138))*AF245</f>
        <v>233.31191379930613</v>
      </c>
      <c r="AG75" s="170">
        <f t="shared" ref="AG75:AG76" si="208">SUM(AC75:AF75)</f>
        <v>924.9927839258761</v>
      </c>
      <c r="AH75" s="204">
        <f>(AF75/(AF75+AF110+AF125+AF138))*AH245</f>
        <v>235.61204221205941</v>
      </c>
      <c r="AI75" s="204">
        <f>(AH75/(AH75+AH110+AH125+AH138))*AI245</f>
        <v>237.07598690019918</v>
      </c>
      <c r="AJ75" s="204">
        <f>(AI75/(AI75+AI110+AI125+AI138))*AJ245</f>
        <v>238.2753201002659</v>
      </c>
      <c r="AK75" s="204">
        <f>(AJ75/(AJ75+AJ110+AJ125+AJ138))*AK245</f>
        <v>241.50453680121529</v>
      </c>
      <c r="AL75" s="170">
        <f t="shared" ref="AL75:AL76" si="209">SUM(AH75:AK75)</f>
        <v>952.46788601373976</v>
      </c>
      <c r="AM75" s="204">
        <f>(AK75/(AK75+AK110+AK125+AK138))*AM245</f>
        <v>244.5069823388265</v>
      </c>
      <c r="AN75" s="204">
        <f>(AM75/(AM75+AM110+AM125+AM138))*AN245</f>
        <v>246.71691853202375</v>
      </c>
      <c r="AO75" s="204">
        <f>(AN75/(AN75+AN110+AN125+AN138))*AO245</f>
        <v>248.58347795860564</v>
      </c>
      <c r="AP75" s="204">
        <f>(AO75/(AO75+AO110+AO125+AO138))*AP245</f>
        <v>252.56208513817796</v>
      </c>
      <c r="AQ75" s="170">
        <f t="shared" ref="AQ75:AQ76" si="210">SUM(AM75:AP75)</f>
        <v>992.36946396763381</v>
      </c>
    </row>
    <row r="76" spans="1:43" outlineLevel="1" x14ac:dyDescent="0.25">
      <c r="A76" s="253"/>
      <c r="B76" s="407" t="s">
        <v>144</v>
      </c>
      <c r="C76" s="36"/>
      <c r="D76" s="169">
        <v>75.099999999999994</v>
      </c>
      <c r="E76" s="169">
        <v>70.900000000000006</v>
      </c>
      <c r="F76" s="169">
        <v>72</v>
      </c>
      <c r="G76" s="169">
        <v>106</v>
      </c>
      <c r="H76" s="170"/>
      <c r="I76" s="169">
        <v>72.400000000000006</v>
      </c>
      <c r="J76" s="169">
        <v>68.2</v>
      </c>
      <c r="K76" s="169">
        <v>62.2</v>
      </c>
      <c r="L76" s="169">
        <v>65.2</v>
      </c>
      <c r="M76" s="384"/>
      <c r="N76" s="169">
        <v>70.8</v>
      </c>
      <c r="O76" s="169">
        <v>77.7</v>
      </c>
      <c r="P76" s="169">
        <v>73.2</v>
      </c>
      <c r="Q76" s="169">
        <f t="shared" ref="Q76" si="211">Q77*Q68</f>
        <v>84.943478611191054</v>
      </c>
      <c r="R76" s="170">
        <f t="shared" si="205"/>
        <v>306.64347861119103</v>
      </c>
      <c r="S76" s="169">
        <f>S77*S68</f>
        <v>74.489347787153463</v>
      </c>
      <c r="T76" s="169">
        <f>T77*T68</f>
        <v>91.701361238549381</v>
      </c>
      <c r="U76" s="169">
        <f t="shared" ref="U76" si="212">U77*U68</f>
        <v>107.39220731675067</v>
      </c>
      <c r="V76" s="169">
        <f t="shared" ref="V76" si="213">V77*V68</f>
        <v>83.025390987064284</v>
      </c>
      <c r="W76" s="170">
        <f t="shared" si="206"/>
        <v>356.6083073295178</v>
      </c>
      <c r="X76" s="169">
        <f>X77*X68</f>
        <v>75.66749627073392</v>
      </c>
      <c r="Y76" s="169">
        <f>Y77*Y68</f>
        <v>96.037926634819996</v>
      </c>
      <c r="Z76" s="169">
        <f t="shared" ref="Z76" si="214">Z77*Z68</f>
        <v>112.53774532761565</v>
      </c>
      <c r="AA76" s="169">
        <f t="shared" ref="AA76" si="215">AA77*AA68</f>
        <v>86.009129276515253</v>
      </c>
      <c r="AB76" s="170">
        <f t="shared" si="207"/>
        <v>370.25229750968481</v>
      </c>
      <c r="AC76" s="169">
        <f>AC77*AC68</f>
        <v>79.652075117347096</v>
      </c>
      <c r="AD76" s="169">
        <f>AD77*AD68</f>
        <v>101.5234603973263</v>
      </c>
      <c r="AE76" s="169">
        <f t="shared" ref="AE76" si="216">AE77*AE68</f>
        <v>119.15247634450299</v>
      </c>
      <c r="AF76" s="169">
        <f t="shared" ref="AF76" si="217">AF77*AF68</f>
        <v>90.82651334364536</v>
      </c>
      <c r="AG76" s="170">
        <f t="shared" si="208"/>
        <v>391.15452520282179</v>
      </c>
      <c r="AH76" s="169">
        <f>AH77*AH68</f>
        <v>87.655741749075986</v>
      </c>
      <c r="AI76" s="169">
        <f>AI77*AI68</f>
        <v>110.95619470462788</v>
      </c>
      <c r="AJ76" s="169">
        <f t="shared" ref="AJ76" si="218">AJ77*AJ68</f>
        <v>130.27750437649416</v>
      </c>
      <c r="AK76" s="169">
        <f t="shared" ref="AK76" si="219">AK77*AK68</f>
        <v>99.937244420391792</v>
      </c>
      <c r="AL76" s="170">
        <f t="shared" si="209"/>
        <v>428.82668525058983</v>
      </c>
      <c r="AM76" s="169">
        <f>AM77*AM68</f>
        <v>92.556466414633149</v>
      </c>
      <c r="AN76" s="169">
        <f>AN77*AN68</f>
        <v>117.38639828912358</v>
      </c>
      <c r="AO76" s="169">
        <f t="shared" ref="AO76:AP76" si="220">AO77*AO68</f>
        <v>137.87799013099826</v>
      </c>
      <c r="AP76" s="169">
        <f t="shared" si="220"/>
        <v>105.49837634277371</v>
      </c>
      <c r="AQ76" s="170">
        <f t="shared" si="210"/>
        <v>453.31923117752871</v>
      </c>
    </row>
    <row r="77" spans="1:43" s="472" customFormat="1" outlineLevel="1" x14ac:dyDescent="0.25">
      <c r="A77" s="470"/>
      <c r="B77" s="466" t="s">
        <v>343</v>
      </c>
      <c r="C77" s="477"/>
      <c r="D77" s="474">
        <f>D76/D68</f>
        <v>1.6281842818428184E-2</v>
      </c>
      <c r="E77" s="474">
        <f t="shared" ref="E77:P77" si="221">E76/E68</f>
        <v>1.6434482279038501E-2</v>
      </c>
      <c r="F77" s="474">
        <f t="shared" si="221"/>
        <v>1.5381000192262503E-2</v>
      </c>
      <c r="G77" s="474">
        <f t="shared" si="221"/>
        <v>2.2788837769273769E-2</v>
      </c>
      <c r="H77" s="475"/>
      <c r="I77" s="474">
        <f t="shared" si="221"/>
        <v>1.4448502265062167E-2</v>
      </c>
      <c r="J77" s="474">
        <f t="shared" si="221"/>
        <v>1.5750577367205542E-2</v>
      </c>
      <c r="K77" s="474">
        <f t="shared" si="221"/>
        <v>2.2170736054179293E-2</v>
      </c>
      <c r="L77" s="474">
        <f t="shared" si="221"/>
        <v>1.5403151503697228E-2</v>
      </c>
      <c r="M77" s="475"/>
      <c r="N77" s="474">
        <f t="shared" si="221"/>
        <v>1.5053580540908319E-2</v>
      </c>
      <c r="O77" s="474">
        <f t="shared" si="221"/>
        <v>1.6657376838314114E-2</v>
      </c>
      <c r="P77" s="474">
        <f t="shared" si="221"/>
        <v>1.3554802510971613E-2</v>
      </c>
      <c r="Q77" s="476">
        <f>AVERAGE(D77:P77)-0.2%</f>
        <v>1.4720444558121932E-2</v>
      </c>
      <c r="R77" s="475">
        <f t="shared" ref="R77" si="222">R76/R68</f>
        <v>1.4930147984023364E-2</v>
      </c>
      <c r="S77" s="476">
        <f>AVERAGE(D77:P77)-0.2%</f>
        <v>1.4720444558121932E-2</v>
      </c>
      <c r="T77" s="476">
        <f>AVERAGE(D77:P77)+0.2%</f>
        <v>1.8720444558121933E-2</v>
      </c>
      <c r="U77" s="476">
        <f>AVERAGE(D77:P77)+0.2%</f>
        <v>1.8720444558121933E-2</v>
      </c>
      <c r="V77" s="476">
        <f>AVERAGE(D77:P77)-0.2%</f>
        <v>1.4720444558121932E-2</v>
      </c>
      <c r="W77" s="475">
        <f t="shared" ref="W77" si="223">W76/W68</f>
        <v>1.6714321547082692E-2</v>
      </c>
      <c r="X77" s="476">
        <f>AVERAGE(I77:U77)-0.2%</f>
        <v>1.4237554441404116E-2</v>
      </c>
      <c r="Y77" s="476">
        <f>AVERAGE(I77:U77)+0.2%</f>
        <v>1.8237554441404118E-2</v>
      </c>
      <c r="Z77" s="476">
        <f>AVERAGE(I77:U77)+0.2%</f>
        <v>1.8237554441404118E-2</v>
      </c>
      <c r="AA77" s="476">
        <f>AVERAGE(I77:U77)-0.2%</f>
        <v>1.4237554441404116E-2</v>
      </c>
      <c r="AB77" s="475">
        <f t="shared" ref="AB77" si="224">AB76/AB68</f>
        <v>1.6244658373888513E-2</v>
      </c>
      <c r="AC77" s="476">
        <f>AVERAGE(N77:Z77)-0.2%</f>
        <v>1.4094239656624779E-2</v>
      </c>
      <c r="AD77" s="476">
        <f>AVERAGE(N77:Z77)+0.2%</f>
        <v>1.809423965662478E-2</v>
      </c>
      <c r="AE77" s="476">
        <f>AVERAGE(N77:Z77)+0.2%</f>
        <v>1.809423965662478E-2</v>
      </c>
      <c r="AF77" s="476">
        <f>AVERAGE(N77:Z77)-0.2%</f>
        <v>1.4094239656624779E-2</v>
      </c>
      <c r="AG77" s="475">
        <f t="shared" ref="AG77" si="225">AG76/AG68</f>
        <v>1.6102497719836739E-2</v>
      </c>
      <c r="AH77" s="476">
        <f>AVERAGE(S77:AE77)-0.2%</f>
        <v>1.4544130376073059E-2</v>
      </c>
      <c r="AI77" s="476">
        <f>AVERAGE(S77:AE77)+0.2%</f>
        <v>1.8544130376073061E-2</v>
      </c>
      <c r="AJ77" s="476">
        <f>AVERAGE(S77:AE77)+0.2%</f>
        <v>1.8544130376073061E-2</v>
      </c>
      <c r="AK77" s="476">
        <f>AVERAGE(S77:AE77)-0.2%</f>
        <v>1.4544130376073059E-2</v>
      </c>
      <c r="AL77" s="475">
        <f t="shared" ref="AL77" si="226">AL76/AL68</f>
        <v>1.6552656029514289E-2</v>
      </c>
      <c r="AM77" s="476">
        <f>AVERAGE(X77:AJ77)-0.2%</f>
        <v>1.4408209508773846E-2</v>
      </c>
      <c r="AN77" s="476">
        <f>AVERAGE(X77:AJ77)+0.2%</f>
        <v>1.8408209508773844E-2</v>
      </c>
      <c r="AO77" s="476">
        <f>AVERAGE(X77:AJ77)+0.2%</f>
        <v>1.8408209508773844E-2</v>
      </c>
      <c r="AP77" s="476">
        <f>AVERAGE(X77:AJ77)-0.2%</f>
        <v>1.4408209508773846E-2</v>
      </c>
      <c r="AQ77" s="475">
        <f t="shared" ref="AQ77" si="227">AQ76/AQ68</f>
        <v>1.6416966717055413E-2</v>
      </c>
    </row>
    <row r="78" spans="1:43" ht="17.25" outlineLevel="1" x14ac:dyDescent="0.4">
      <c r="A78" s="253"/>
      <c r="B78" s="407" t="s">
        <v>152</v>
      </c>
      <c r="C78" s="36"/>
      <c r="D78" s="287">
        <v>22.9</v>
      </c>
      <c r="E78" s="287">
        <v>18.2</v>
      </c>
      <c r="F78" s="287">
        <v>15.1</v>
      </c>
      <c r="G78" s="287">
        <v>0.7</v>
      </c>
      <c r="H78" s="318"/>
      <c r="I78" s="287">
        <v>5.2</v>
      </c>
      <c r="J78" s="287">
        <v>0.5</v>
      </c>
      <c r="K78" s="287">
        <v>56.2</v>
      </c>
      <c r="L78" s="205">
        <v>195.6</v>
      </c>
      <c r="M78" s="383"/>
      <c r="N78" s="205">
        <v>72.2</v>
      </c>
      <c r="O78" s="287">
        <v>23</v>
      </c>
      <c r="P78" s="287">
        <v>19.8</v>
      </c>
      <c r="Q78" s="291">
        <v>5</v>
      </c>
      <c r="R78" s="174">
        <f>SUM(N78:Q78)</f>
        <v>120</v>
      </c>
      <c r="S78" s="291">
        <v>0</v>
      </c>
      <c r="T78" s="291">
        <v>0</v>
      </c>
      <c r="U78" s="291">
        <v>0</v>
      </c>
      <c r="V78" s="291">
        <v>0</v>
      </c>
      <c r="W78" s="174">
        <f>SUM(S78:V78)</f>
        <v>0</v>
      </c>
      <c r="X78" s="291">
        <v>0</v>
      </c>
      <c r="Y78" s="291">
        <v>0</v>
      </c>
      <c r="Z78" s="291">
        <v>0</v>
      </c>
      <c r="AA78" s="291">
        <v>0</v>
      </c>
      <c r="AB78" s="174">
        <f>SUM(X78:AA78)</f>
        <v>0</v>
      </c>
      <c r="AC78" s="291">
        <v>0</v>
      </c>
      <c r="AD78" s="291">
        <v>0</v>
      </c>
      <c r="AE78" s="291">
        <v>0</v>
      </c>
      <c r="AF78" s="291">
        <v>0</v>
      </c>
      <c r="AG78" s="174">
        <f>SUM(AC78:AF78)</f>
        <v>0</v>
      </c>
      <c r="AH78" s="291">
        <v>0</v>
      </c>
      <c r="AI78" s="291">
        <v>0</v>
      </c>
      <c r="AJ78" s="291">
        <v>0</v>
      </c>
      <c r="AK78" s="291">
        <v>0</v>
      </c>
      <c r="AL78" s="174">
        <f>SUM(AH78:AK78)</f>
        <v>0</v>
      </c>
      <c r="AM78" s="291">
        <v>0</v>
      </c>
      <c r="AN78" s="291">
        <v>0</v>
      </c>
      <c r="AO78" s="291">
        <v>0</v>
      </c>
      <c r="AP78" s="291">
        <v>0</v>
      </c>
      <c r="AQ78" s="174">
        <f>SUM(AM78:AP78)</f>
        <v>0</v>
      </c>
    </row>
    <row r="79" spans="1:43" outlineLevel="1" x14ac:dyDescent="0.25">
      <c r="A79" s="253"/>
      <c r="B79" s="167" t="s">
        <v>238</v>
      </c>
      <c r="C79" s="39"/>
      <c r="D79" s="258">
        <f>+D69+D71+D73+D75+D76+D78</f>
        <v>3643.7999999999997</v>
      </c>
      <c r="E79" s="258">
        <f t="shared" ref="E79:G79" si="228">+E69+E71+E73+E75+E76+E78</f>
        <v>3457.7</v>
      </c>
      <c r="F79" s="258">
        <f t="shared" si="228"/>
        <v>3662.3999999999996</v>
      </c>
      <c r="G79" s="258">
        <f t="shared" si="228"/>
        <v>3712.4999999999995</v>
      </c>
      <c r="H79" s="413">
        <f>+H69+H71+H73+H75+H76+H78</f>
        <v>0</v>
      </c>
      <c r="I79" s="258">
        <f t="shared" ref="I79:L79" si="229">+I69+I71+I73+I75+I76+I78</f>
        <v>3912.1</v>
      </c>
      <c r="J79" s="258">
        <f t="shared" si="229"/>
        <v>3708.8</v>
      </c>
      <c r="K79" s="258">
        <f t="shared" si="229"/>
        <v>3210.3999999999996</v>
      </c>
      <c r="L79" s="171">
        <f t="shared" si="229"/>
        <v>3722.6</v>
      </c>
      <c r="M79" s="478">
        <f>+M69+M71+M73+M75+M76+M78</f>
        <v>0</v>
      </c>
      <c r="N79" s="171">
        <f t="shared" ref="N79:Q79" si="230">+N69+N71+N73+N75+N76+N78</f>
        <v>3889.7000000000003</v>
      </c>
      <c r="O79" s="171">
        <f t="shared" si="230"/>
        <v>3759.2999999999997</v>
      </c>
      <c r="P79" s="171">
        <f t="shared" si="230"/>
        <v>4084.6</v>
      </c>
      <c r="Q79" s="171">
        <f t="shared" si="230"/>
        <v>4477.6689943450801</v>
      </c>
      <c r="R79" s="478">
        <f>+R69+R71+R73+R75+R76+R78</f>
        <v>16211.268994345081</v>
      </c>
      <c r="S79" s="171">
        <f t="shared" ref="S79:AK79" si="231">+S69+S71+S73+S75+S76+S78</f>
        <v>3988.9607534207648</v>
      </c>
      <c r="T79" s="171">
        <f t="shared" si="231"/>
        <v>3949.7633797465578</v>
      </c>
      <c r="U79" s="171">
        <f t="shared" si="231"/>
        <v>4470.1738357569302</v>
      </c>
      <c r="V79" s="171">
        <f t="shared" si="231"/>
        <v>4384.5007804653915</v>
      </c>
      <c r="W79" s="478">
        <f>+W69+W71+W73+W75+W76+W78</f>
        <v>16793.398749389646</v>
      </c>
      <c r="X79" s="171">
        <f t="shared" si="231"/>
        <v>4128.7389976056829</v>
      </c>
      <c r="Y79" s="171">
        <f t="shared" si="231"/>
        <v>4184.9172545782276</v>
      </c>
      <c r="Z79" s="171">
        <f t="shared" si="231"/>
        <v>4909.1269975984205</v>
      </c>
      <c r="AA79" s="171">
        <f t="shared" si="231"/>
        <v>4677.781001124551</v>
      </c>
      <c r="AB79" s="478">
        <f>+AB69+AB71+AB73+AB75+AB76+AB78</f>
        <v>17900.564250906882</v>
      </c>
      <c r="AC79" s="171">
        <f t="shared" si="231"/>
        <v>4386.210659358022</v>
      </c>
      <c r="AD79" s="171">
        <f t="shared" si="231"/>
        <v>4454.0036813311581</v>
      </c>
      <c r="AE79" s="171">
        <f t="shared" si="231"/>
        <v>5233.219743852309</v>
      </c>
      <c r="AF79" s="171">
        <f t="shared" si="231"/>
        <v>4984.0508137987299</v>
      </c>
      <c r="AG79" s="478">
        <f>+AG69+AG71+AG73+AG75+AG76+AG78</f>
        <v>19057.484898340219</v>
      </c>
      <c r="AH79" s="171">
        <f t="shared" si="231"/>
        <v>4675.6382121788311</v>
      </c>
      <c r="AI79" s="171">
        <f t="shared" si="231"/>
        <v>4748.3648676140847</v>
      </c>
      <c r="AJ79" s="171">
        <f t="shared" si="231"/>
        <v>5583.205149685391</v>
      </c>
      <c r="AK79" s="171">
        <f t="shared" si="231"/>
        <v>5315.9132609141288</v>
      </c>
      <c r="AL79" s="478">
        <f>+AL69+AL71+AL73+AL75+AL76+AL78</f>
        <v>20323.121490392437</v>
      </c>
      <c r="AM79" s="171">
        <f t="shared" ref="AM79:AP79" si="232">+AM69+AM71+AM73+AM75+AM76+AM78</f>
        <v>4981.713647147737</v>
      </c>
      <c r="AN79" s="171">
        <f t="shared" si="232"/>
        <v>5059.132193549417</v>
      </c>
      <c r="AO79" s="171">
        <f t="shared" si="232"/>
        <v>5951.8339228103687</v>
      </c>
      <c r="AP79" s="171">
        <f t="shared" si="232"/>
        <v>5665.1998562533272</v>
      </c>
      <c r="AQ79" s="478">
        <f>+AQ69+AQ71+AQ73+AQ75+AQ76+AQ78</f>
        <v>21657.879619760846</v>
      </c>
    </row>
    <row r="80" spans="1:43" outlineLevel="1" x14ac:dyDescent="0.25">
      <c r="A80" s="253"/>
      <c r="B80" s="167" t="s">
        <v>239</v>
      </c>
      <c r="C80" s="144"/>
      <c r="D80" s="364">
        <f t="shared" ref="D80:G80" si="233">+D68-D79</f>
        <v>968.70000000000027</v>
      </c>
      <c r="E80" s="364">
        <f t="shared" si="233"/>
        <v>856.40000000000055</v>
      </c>
      <c r="F80" s="364">
        <f t="shared" si="233"/>
        <v>1018.6999999999998</v>
      </c>
      <c r="G80" s="364">
        <f t="shared" si="233"/>
        <v>938.90000000000009</v>
      </c>
      <c r="H80" s="319">
        <f>SUM(D80:G80)</f>
        <v>3782.7000000000007</v>
      </c>
      <c r="I80" s="364">
        <f t="shared" ref="I80:L80" si="234">+I68-I79</f>
        <v>1098.7999999999997</v>
      </c>
      <c r="J80" s="364">
        <f t="shared" si="234"/>
        <v>621.19999999999982</v>
      </c>
      <c r="K80" s="364">
        <f t="shared" si="234"/>
        <v>-404.89999999999964</v>
      </c>
      <c r="L80" s="206">
        <f t="shared" si="234"/>
        <v>510.30000000000064</v>
      </c>
      <c r="M80" s="238">
        <f>SUM(I80:L80)</f>
        <v>1825.4000000000005</v>
      </c>
      <c r="N80" s="206">
        <f>+N68-N79</f>
        <v>813.49999999999955</v>
      </c>
      <c r="O80" s="206">
        <f t="shared" ref="O80:Q80" si="235">+O68-O79</f>
        <v>905.29999999999973</v>
      </c>
      <c r="P80" s="206">
        <f t="shared" si="235"/>
        <v>1315.7000000000003</v>
      </c>
      <c r="Q80" s="206">
        <f t="shared" si="235"/>
        <v>1292.7734862336683</v>
      </c>
      <c r="R80" s="238">
        <f>SUM(N80:Q80)</f>
        <v>4327.2734862336674</v>
      </c>
      <c r="S80" s="206">
        <f t="shared" ref="S80:V80" si="236">+S68-S79</f>
        <v>1071.3040703106858</v>
      </c>
      <c r="T80" s="206">
        <f t="shared" si="236"/>
        <v>948.6972820097044</v>
      </c>
      <c r="U80" s="206">
        <f t="shared" si="236"/>
        <v>1266.4531435504696</v>
      </c>
      <c r="V80" s="206">
        <f t="shared" si="236"/>
        <v>1255.6407695569851</v>
      </c>
      <c r="W80" s="238">
        <f>SUM(S80:V80)</f>
        <v>4542.0952654278444</v>
      </c>
      <c r="X80" s="206">
        <f t="shared" ref="X80:AA80" si="237">+X68-X79</f>
        <v>1185.9024025132794</v>
      </c>
      <c r="Y80" s="206">
        <f t="shared" si="237"/>
        <v>1081.0259914519675</v>
      </c>
      <c r="Z80" s="206">
        <f t="shared" si="237"/>
        <v>1261.5328729007142</v>
      </c>
      <c r="AA80" s="206">
        <f t="shared" si="237"/>
        <v>1363.2234164875636</v>
      </c>
      <c r="AB80" s="238">
        <f>SUM(X80:AA80)</f>
        <v>4891.6846833535246</v>
      </c>
      <c r="AC80" s="206">
        <f t="shared" ref="AC80:AF80" si="238">+AC68-AC79</f>
        <v>1265.1814737328805</v>
      </c>
      <c r="AD80" s="206">
        <f t="shared" si="238"/>
        <v>1156.8129279291197</v>
      </c>
      <c r="AE80" s="206">
        <f t="shared" si="238"/>
        <v>1351.8857154355646</v>
      </c>
      <c r="AF80" s="206">
        <f t="shared" si="238"/>
        <v>1460.1785704344074</v>
      </c>
      <c r="AG80" s="238">
        <f>SUM(AC80:AF80)</f>
        <v>5234.0586875319723</v>
      </c>
      <c r="AH80" s="206">
        <f t="shared" ref="AH80:AK80" si="239">+AH68-AH79</f>
        <v>1351.2427000880734</v>
      </c>
      <c r="AI80" s="206">
        <f t="shared" si="239"/>
        <v>1234.9944193650099</v>
      </c>
      <c r="AJ80" s="206">
        <f t="shared" si="239"/>
        <v>1442.0638564356705</v>
      </c>
      <c r="AK80" s="206">
        <f t="shared" si="239"/>
        <v>1555.3978340964914</v>
      </c>
      <c r="AL80" s="238">
        <f>SUM(AH80:AK80)</f>
        <v>5583.6988099852451</v>
      </c>
      <c r="AM80" s="206">
        <f t="shared" ref="AM80:AP80" si="240">+AM68-AM79</f>
        <v>1442.1564637269767</v>
      </c>
      <c r="AN80" s="206">
        <f t="shared" si="240"/>
        <v>1317.7182129593793</v>
      </c>
      <c r="AO80" s="206">
        <f t="shared" si="240"/>
        <v>1538.1932884337193</v>
      </c>
      <c r="AP80" s="206">
        <f t="shared" si="240"/>
        <v>1656.9019134725168</v>
      </c>
      <c r="AQ80" s="238">
        <f>SUM(AM80:AP80)</f>
        <v>5954.9698785925921</v>
      </c>
    </row>
    <row r="81" spans="1:43" outlineLevel="1" x14ac:dyDescent="0.25">
      <c r="A81" s="253"/>
      <c r="B81" s="167" t="s">
        <v>240</v>
      </c>
      <c r="C81" s="144"/>
      <c r="D81" s="365">
        <f t="shared" ref="D81:G81" si="241">+D80/D68</f>
        <v>0.21001626016260169</v>
      </c>
      <c r="E81" s="365">
        <f t="shared" si="241"/>
        <v>0.19851185647064287</v>
      </c>
      <c r="F81" s="365">
        <f t="shared" si="241"/>
        <v>0.21761979022024736</v>
      </c>
      <c r="G81" s="365">
        <f t="shared" si="241"/>
        <v>0.20185320548652022</v>
      </c>
      <c r="H81" s="320">
        <f>H80/H68</f>
        <v>0.20716793270205</v>
      </c>
      <c r="I81" s="365">
        <f t="shared" ref="I81:L81" si="242">+I80/I68</f>
        <v>0.21928196531561192</v>
      </c>
      <c r="J81" s="365">
        <f t="shared" si="242"/>
        <v>0.14346420323325632</v>
      </c>
      <c r="K81" s="365">
        <f t="shared" si="242"/>
        <v>-0.14432364997326666</v>
      </c>
      <c r="L81" s="207">
        <f t="shared" si="242"/>
        <v>0.12055564742847706</v>
      </c>
      <c r="M81" s="239">
        <f>M80/M68</f>
        <v>0.11144554407086998</v>
      </c>
      <c r="N81" s="207">
        <f>+N80/N68</f>
        <v>0.17296734138458913</v>
      </c>
      <c r="O81" s="207">
        <f t="shared" ref="O81:Q81" si="243">+O80/O68</f>
        <v>0.19407880632851687</v>
      </c>
      <c r="P81" s="207">
        <f t="shared" si="243"/>
        <v>0.24363461289187641</v>
      </c>
      <c r="Q81" s="207">
        <f t="shared" si="243"/>
        <v>0.22403368382661865</v>
      </c>
      <c r="R81" s="239">
        <f>R80/R68</f>
        <v>0.21069038809961996</v>
      </c>
      <c r="S81" s="207">
        <f t="shared" ref="S81:V81" si="244">+S80/S68</f>
        <v>0.21170909184170006</v>
      </c>
      <c r="T81" s="207">
        <f t="shared" si="244"/>
        <v>0.19367253256037473</v>
      </c>
      <c r="U81" s="207">
        <f t="shared" si="244"/>
        <v>0.22076616592270956</v>
      </c>
      <c r="V81" s="207">
        <f t="shared" si="244"/>
        <v>0.22262575476532206</v>
      </c>
      <c r="W81" s="239">
        <f>W80/W68</f>
        <v>0.21288915373946166</v>
      </c>
      <c r="X81" s="207">
        <f t="shared" ref="X81:AA81" si="245">+X80/X68</f>
        <v>0.22313874318721377</v>
      </c>
      <c r="Y81" s="207">
        <f t="shared" si="245"/>
        <v>0.20528629742960372</v>
      </c>
      <c r="Z81" s="207">
        <f t="shared" si="245"/>
        <v>0.20444051355542806</v>
      </c>
      <c r="AA81" s="207">
        <f t="shared" si="245"/>
        <v>0.22566171488191328</v>
      </c>
      <c r="AB81" s="239">
        <f>AB80/AB68</f>
        <v>0.21462053601917877</v>
      </c>
      <c r="AC81" s="207">
        <f t="shared" ref="AC81:AF81" si="246">+AC80/AC68</f>
        <v>0.22387076386449895</v>
      </c>
      <c r="AD81" s="207">
        <f t="shared" si="246"/>
        <v>0.20617550144481239</v>
      </c>
      <c r="AE81" s="207">
        <f t="shared" si="246"/>
        <v>0.2052944670049005</v>
      </c>
      <c r="AF81" s="207">
        <f t="shared" si="246"/>
        <v>0.22658699487125233</v>
      </c>
      <c r="AG81" s="239">
        <f>AG80/AG68</f>
        <v>0.21546834473606968</v>
      </c>
      <c r="AH81" s="207">
        <f t="shared" ref="AH81:AK81" si="247">+AH80/AH68</f>
        <v>0.22420265469951478</v>
      </c>
      <c r="AI81" s="207">
        <f t="shared" si="247"/>
        <v>0.20640485722670673</v>
      </c>
      <c r="AJ81" s="207">
        <f t="shared" si="247"/>
        <v>0.20526813353043302</v>
      </c>
      <c r="AK81" s="207">
        <f t="shared" si="247"/>
        <v>0.22636114310497352</v>
      </c>
      <c r="AL81" s="239">
        <f>AL80/AL68</f>
        <v>0.21553007066266036</v>
      </c>
      <c r="AM81" s="207">
        <f t="shared" ref="AM81:AP81" si="248">+AM80/AM68</f>
        <v>0.22449963010391624</v>
      </c>
      <c r="AN81" s="207">
        <f t="shared" si="248"/>
        <v>0.20664091659017056</v>
      </c>
      <c r="AO81" s="207">
        <f t="shared" si="248"/>
        <v>0.20536551404306935</v>
      </c>
      <c r="AP81" s="207">
        <f t="shared" si="248"/>
        <v>0.22628774709512881</v>
      </c>
      <c r="AQ81" s="239">
        <f>AQ80/AQ68</f>
        <v>0.21565937550007971</v>
      </c>
    </row>
    <row r="82" spans="1:43" ht="18" x14ac:dyDescent="0.4">
      <c r="A82" s="253"/>
      <c r="B82" s="532" t="s">
        <v>290</v>
      </c>
      <c r="C82" s="533"/>
      <c r="D82" s="32" t="s">
        <v>119</v>
      </c>
      <c r="E82" s="32" t="s">
        <v>243</v>
      </c>
      <c r="F82" s="32" t="s">
        <v>247</v>
      </c>
      <c r="G82" s="32" t="s">
        <v>257</v>
      </c>
      <c r="H82" s="86" t="s">
        <v>258</v>
      </c>
      <c r="I82" s="32" t="s">
        <v>259</v>
      </c>
      <c r="J82" s="32" t="s">
        <v>260</v>
      </c>
      <c r="K82" s="32" t="s">
        <v>261</v>
      </c>
      <c r="L82" s="32" t="s">
        <v>322</v>
      </c>
      <c r="M82" s="86" t="s">
        <v>333</v>
      </c>
      <c r="N82" s="32" t="s">
        <v>339</v>
      </c>
      <c r="O82" s="32" t="s">
        <v>347</v>
      </c>
      <c r="P82" s="32" t="s">
        <v>349</v>
      </c>
      <c r="Q82" s="30" t="s">
        <v>129</v>
      </c>
      <c r="R82" s="89" t="s">
        <v>130</v>
      </c>
      <c r="S82" s="30" t="s">
        <v>131</v>
      </c>
      <c r="T82" s="30" t="s">
        <v>132</v>
      </c>
      <c r="U82" s="30" t="s">
        <v>133</v>
      </c>
      <c r="V82" s="30" t="s">
        <v>134</v>
      </c>
      <c r="W82" s="89" t="s">
        <v>135</v>
      </c>
      <c r="X82" s="30" t="s">
        <v>136</v>
      </c>
      <c r="Y82" s="30" t="s">
        <v>137</v>
      </c>
      <c r="Z82" s="30" t="s">
        <v>138</v>
      </c>
      <c r="AA82" s="30" t="s">
        <v>139</v>
      </c>
      <c r="AB82" s="89" t="s">
        <v>140</v>
      </c>
      <c r="AC82" s="30" t="s">
        <v>252</v>
      </c>
      <c r="AD82" s="30" t="s">
        <v>253</v>
      </c>
      <c r="AE82" s="30" t="s">
        <v>254</v>
      </c>
      <c r="AF82" s="30" t="s">
        <v>255</v>
      </c>
      <c r="AG82" s="89" t="s">
        <v>256</v>
      </c>
      <c r="AH82" s="30" t="s">
        <v>285</v>
      </c>
      <c r="AI82" s="30" t="s">
        <v>286</v>
      </c>
      <c r="AJ82" s="30" t="s">
        <v>287</v>
      </c>
      <c r="AK82" s="30" t="s">
        <v>288</v>
      </c>
      <c r="AL82" s="89" t="s">
        <v>289</v>
      </c>
      <c r="AM82" s="30" t="s">
        <v>356</v>
      </c>
      <c r="AN82" s="30" t="s">
        <v>357</v>
      </c>
      <c r="AO82" s="30" t="s">
        <v>358</v>
      </c>
      <c r="AP82" s="30" t="s">
        <v>359</v>
      </c>
      <c r="AQ82" s="89" t="s">
        <v>360</v>
      </c>
    </row>
    <row r="83" spans="1:43" s="20" customFormat="1" outlineLevel="1" x14ac:dyDescent="0.25">
      <c r="A83" s="268"/>
      <c r="B83" s="556" t="s">
        <v>291</v>
      </c>
      <c r="C83" s="557"/>
      <c r="D83" s="41">
        <v>5839</v>
      </c>
      <c r="E83" s="41">
        <v>5879</v>
      </c>
      <c r="F83" s="282">
        <v>5646</v>
      </c>
      <c r="G83" s="41">
        <v>5860</v>
      </c>
      <c r="H83" s="478">
        <f>G83</f>
        <v>5860</v>
      </c>
      <c r="I83" s="41">
        <v>6059</v>
      </c>
      <c r="J83" s="41">
        <v>6137</v>
      </c>
      <c r="K83" s="41">
        <v>6254</v>
      </c>
      <c r="L83" s="41">
        <v>6528</v>
      </c>
      <c r="M83" s="478">
        <f>L83</f>
        <v>6528</v>
      </c>
      <c r="N83" s="41">
        <v>6713</v>
      </c>
      <c r="O83" s="41">
        <f>+N83+O84</f>
        <v>6836</v>
      </c>
      <c r="P83" s="41">
        <f t="shared" ref="P83:Q83" si="249">+O83+P84</f>
        <v>7013</v>
      </c>
      <c r="Q83" s="41">
        <f t="shared" si="249"/>
        <v>7158</v>
      </c>
      <c r="R83" s="478">
        <f>Q83</f>
        <v>7158</v>
      </c>
      <c r="S83" s="41">
        <f>+Q83+S84</f>
        <v>7233</v>
      </c>
      <c r="T83" s="41">
        <f>+S83+T84</f>
        <v>7308</v>
      </c>
      <c r="U83" s="41">
        <f t="shared" ref="U83:V83" si="250">+T83+U84</f>
        <v>7383</v>
      </c>
      <c r="V83" s="41">
        <f t="shared" si="250"/>
        <v>7458</v>
      </c>
      <c r="W83" s="478">
        <f>V83</f>
        <v>7458</v>
      </c>
      <c r="X83" s="41">
        <f>+V83+X84</f>
        <v>7623.2737500000003</v>
      </c>
      <c r="Y83" s="41">
        <f>+X83+Y84</f>
        <v>7788.5475000000006</v>
      </c>
      <c r="Z83" s="41">
        <f t="shared" ref="Z83:AA83" si="251">+Y83+Z84</f>
        <v>7953.8212500000009</v>
      </c>
      <c r="AA83" s="41">
        <f t="shared" si="251"/>
        <v>8119.0950000000012</v>
      </c>
      <c r="AB83" s="478">
        <f>AA83</f>
        <v>8119.0950000000012</v>
      </c>
      <c r="AC83" s="41">
        <f>+AA83+AC84</f>
        <v>8296.1966484375007</v>
      </c>
      <c r="AD83" s="41">
        <f>+AC83+AD84</f>
        <v>8473.2982968750002</v>
      </c>
      <c r="AE83" s="41">
        <f t="shared" ref="AE83:AF83" si="252">+AD83+AE84</f>
        <v>8650.3999453124998</v>
      </c>
      <c r="AF83" s="41">
        <f t="shared" si="252"/>
        <v>8827.5015937499993</v>
      </c>
      <c r="AG83" s="478">
        <f>AF83</f>
        <v>8827.5015937499993</v>
      </c>
      <c r="AH83" s="41">
        <f>+AF83+AH84</f>
        <v>9004.6032421874988</v>
      </c>
      <c r="AI83" s="41">
        <f>+AH83+AI84</f>
        <v>9181.7048906249984</v>
      </c>
      <c r="AJ83" s="41">
        <f t="shared" ref="AJ83:AK83" si="253">+AI83+AJ84</f>
        <v>9358.8065390624979</v>
      </c>
      <c r="AK83" s="41">
        <f t="shared" si="253"/>
        <v>9535.9081874999974</v>
      </c>
      <c r="AL83" s="478">
        <f>AK83</f>
        <v>9535.9081874999974</v>
      </c>
      <c r="AM83" s="41">
        <f>+AK83+AM84</f>
        <v>9713.009835937497</v>
      </c>
      <c r="AN83" s="41">
        <f>+AM83+AN84</f>
        <v>9890.1114843749965</v>
      </c>
      <c r="AO83" s="41">
        <f t="shared" ref="AO83" si="254">+AN83+AO84</f>
        <v>10067.213132812496</v>
      </c>
      <c r="AP83" s="41">
        <f t="shared" ref="AP83" si="255">+AO83+AP84</f>
        <v>10244.314781249996</v>
      </c>
      <c r="AQ83" s="478">
        <f>AP83</f>
        <v>10244.314781249996</v>
      </c>
    </row>
    <row r="84" spans="1:43" outlineLevel="1" x14ac:dyDescent="0.25">
      <c r="A84" s="253"/>
      <c r="B84" s="465" t="s">
        <v>158</v>
      </c>
      <c r="C84" s="459"/>
      <c r="D84" s="255">
        <f>+D83-5651</f>
        <v>188</v>
      </c>
      <c r="E84" s="255">
        <f>+E83-D83</f>
        <v>40</v>
      </c>
      <c r="F84" s="255">
        <f t="shared" ref="F84:G84" si="256">+F83-E83</f>
        <v>-233</v>
      </c>
      <c r="G84" s="255">
        <f t="shared" si="256"/>
        <v>214</v>
      </c>
      <c r="H84" s="50">
        <f>+SUM(D84:G84)</f>
        <v>209</v>
      </c>
      <c r="I84" s="255">
        <f>+I83-G83</f>
        <v>199</v>
      </c>
      <c r="J84" s="255">
        <f t="shared" ref="J84:L84" si="257">+J83-I83</f>
        <v>78</v>
      </c>
      <c r="K84" s="255">
        <f t="shared" si="257"/>
        <v>117</v>
      </c>
      <c r="L84" s="255">
        <f t="shared" si="257"/>
        <v>274</v>
      </c>
      <c r="M84" s="50">
        <f>+SUM(I84:L84)</f>
        <v>668</v>
      </c>
      <c r="N84" s="255">
        <v>185</v>
      </c>
      <c r="O84" s="255">
        <v>123</v>
      </c>
      <c r="P84" s="255">
        <v>177</v>
      </c>
      <c r="Q84" s="63">
        <v>145</v>
      </c>
      <c r="R84" s="50">
        <f>+SUM(N84:Q84)</f>
        <v>630</v>
      </c>
      <c r="S84" s="63">
        <v>75</v>
      </c>
      <c r="T84" s="63">
        <v>75</v>
      </c>
      <c r="U84" s="63">
        <v>75</v>
      </c>
      <c r="V84" s="63">
        <v>75</v>
      </c>
      <c r="W84" s="50">
        <f>+SUM(S84:V84)</f>
        <v>300</v>
      </c>
      <c r="X84" s="63">
        <f>0.09/4*AVERAGE(S83:V83)</f>
        <v>165.27375000000001</v>
      </c>
      <c r="Y84" s="63">
        <f>0.09/4*AVERAGE(S83:V83)</f>
        <v>165.27375000000001</v>
      </c>
      <c r="Z84" s="63">
        <f>0.09/4*AVERAGE(S83:V83)</f>
        <v>165.27375000000001</v>
      </c>
      <c r="AA84" s="63">
        <f>0.09/4*AVERAGE(S83:V83)</f>
        <v>165.27375000000001</v>
      </c>
      <c r="AB84" s="50">
        <f>+SUM(X84:AA84)</f>
        <v>661.09500000000003</v>
      </c>
      <c r="AC84" s="63">
        <f>0.09/4*AVERAGE(X83:AA83)</f>
        <v>177.10164843750002</v>
      </c>
      <c r="AD84" s="63">
        <f>0.09/4*AVERAGE(X83:AA83)</f>
        <v>177.10164843750002</v>
      </c>
      <c r="AE84" s="63">
        <f>0.09/4*AVERAGE(X83:AA83)</f>
        <v>177.10164843750002</v>
      </c>
      <c r="AF84" s="63">
        <f>0.09/4*AVERAGE(X83:AA83)</f>
        <v>177.10164843750002</v>
      </c>
      <c r="AG84" s="50">
        <f>+SUM(AC84:AF84)</f>
        <v>708.40659375000007</v>
      </c>
      <c r="AH84" s="63">
        <f>AVERAGE(AC84,AD84,AE84,AF84)</f>
        <v>177.10164843750002</v>
      </c>
      <c r="AI84" s="63">
        <f>AVERAGE(AD84,AE84,AF84,AH84)</f>
        <v>177.10164843750002</v>
      </c>
      <c r="AJ84" s="63">
        <f>AVERAGE(AE84,AF84,AH84,AI84)</f>
        <v>177.10164843750002</v>
      </c>
      <c r="AK84" s="63">
        <f>AVERAGE(AF84,AH84,AI84,AJ84)</f>
        <v>177.10164843750002</v>
      </c>
      <c r="AL84" s="50">
        <f>+SUM(AH84:AK84)</f>
        <v>708.40659375000007</v>
      </c>
      <c r="AM84" s="63">
        <f>AVERAGE(AH84,AI84,AJ84,AK84)</f>
        <v>177.10164843750002</v>
      </c>
      <c r="AN84" s="63">
        <f>AVERAGE(AI84,AJ84,AK84,AM84)</f>
        <v>177.10164843750002</v>
      </c>
      <c r="AO84" s="63">
        <f>AVERAGE(AJ84,AK84,AM84,AN84)</f>
        <v>177.10164843750002</v>
      </c>
      <c r="AP84" s="63">
        <f>AVERAGE(AK84,AM84,AN84,AO84)</f>
        <v>177.10164843750002</v>
      </c>
      <c r="AQ84" s="50">
        <f>+SUM(AM84:AP84)</f>
        <v>708.40659375000007</v>
      </c>
    </row>
    <row r="85" spans="1:43" s="185" customFormat="1" outlineLevel="1" x14ac:dyDescent="0.25">
      <c r="A85" s="271"/>
      <c r="B85" s="186" t="s">
        <v>159</v>
      </c>
      <c r="C85" s="187"/>
      <c r="D85" s="189">
        <v>5186</v>
      </c>
      <c r="E85" s="189">
        <v>5313</v>
      </c>
      <c r="F85" s="189">
        <v>5476</v>
      </c>
      <c r="G85" s="189">
        <v>5651</v>
      </c>
      <c r="H85" s="190"/>
      <c r="I85" s="189">
        <f>D83</f>
        <v>5839</v>
      </c>
      <c r="J85" s="189">
        <f>E83</f>
        <v>5879</v>
      </c>
      <c r="K85" s="189">
        <f>F83</f>
        <v>5646</v>
      </c>
      <c r="L85" s="189">
        <f>G83</f>
        <v>5860</v>
      </c>
      <c r="M85" s="190"/>
      <c r="N85" s="189">
        <f>I83</f>
        <v>6059</v>
      </c>
      <c r="O85" s="189">
        <f>J83</f>
        <v>6137</v>
      </c>
      <c r="P85" s="189">
        <f>K83</f>
        <v>6254</v>
      </c>
      <c r="Q85" s="189">
        <f>L83</f>
        <v>6528</v>
      </c>
      <c r="R85" s="190"/>
      <c r="S85" s="189">
        <f>N83</f>
        <v>6713</v>
      </c>
      <c r="T85" s="189">
        <f>O83</f>
        <v>6836</v>
      </c>
      <c r="U85" s="189">
        <f>P83</f>
        <v>7013</v>
      </c>
      <c r="V85" s="189">
        <f>Q83</f>
        <v>7158</v>
      </c>
      <c r="W85" s="190"/>
      <c r="X85" s="189">
        <f>S83</f>
        <v>7233</v>
      </c>
      <c r="Y85" s="189">
        <f>T83</f>
        <v>7308</v>
      </c>
      <c r="Z85" s="189">
        <f>U83</f>
        <v>7383</v>
      </c>
      <c r="AA85" s="189">
        <f>V83</f>
        <v>7458</v>
      </c>
      <c r="AB85" s="190"/>
      <c r="AC85" s="189">
        <f>X83</f>
        <v>7623.2737500000003</v>
      </c>
      <c r="AD85" s="189">
        <f>Y83</f>
        <v>7788.5475000000006</v>
      </c>
      <c r="AE85" s="189">
        <f>Z83</f>
        <v>7953.8212500000009</v>
      </c>
      <c r="AF85" s="189">
        <f>AA83</f>
        <v>8119.0950000000012</v>
      </c>
      <c r="AG85" s="190"/>
      <c r="AH85" s="189">
        <f>AC83</f>
        <v>8296.1966484375007</v>
      </c>
      <c r="AI85" s="189">
        <f>AD83</f>
        <v>8473.2982968750002</v>
      </c>
      <c r="AJ85" s="189">
        <f>AE83</f>
        <v>8650.3999453124998</v>
      </c>
      <c r="AK85" s="189">
        <f>AF83</f>
        <v>8827.5015937499993</v>
      </c>
      <c r="AL85" s="190"/>
      <c r="AM85" s="189">
        <f>AH83</f>
        <v>9004.6032421874988</v>
      </c>
      <c r="AN85" s="189">
        <f>AI83</f>
        <v>9181.7048906249984</v>
      </c>
      <c r="AO85" s="189">
        <f>AJ83</f>
        <v>9358.8065390624979</v>
      </c>
      <c r="AP85" s="189">
        <f>AK83</f>
        <v>9535.9081874999974</v>
      </c>
      <c r="AQ85" s="190"/>
    </row>
    <row r="86" spans="1:43" s="185" customFormat="1" outlineLevel="1" x14ac:dyDescent="0.25">
      <c r="A86" s="271"/>
      <c r="B86" s="186" t="s">
        <v>160</v>
      </c>
      <c r="C86" s="187"/>
      <c r="D86" s="191">
        <v>0.17928494231648628</v>
      </c>
      <c r="E86" s="191">
        <v>0.13619630348516218</v>
      </c>
      <c r="F86" s="191">
        <v>0.14772468750000003</v>
      </c>
      <c r="G86" s="191">
        <v>0.22237475090342945</v>
      </c>
      <c r="H86" s="190"/>
      <c r="I86" s="191">
        <v>0.20115786000293356</v>
      </c>
      <c r="J86" s="191">
        <v>0.15201018776253211</v>
      </c>
      <c r="K86" s="191">
        <v>0.14831357488131156</v>
      </c>
      <c r="L86" s="191">
        <f t="shared" ref="L86" si="258">+G86*(1+L89)</f>
        <v>0.20013727581308652</v>
      </c>
      <c r="M86" s="190"/>
      <c r="N86" s="191">
        <f>+I86*(1+N89)</f>
        <v>0.21725048880316827</v>
      </c>
      <c r="O86" s="191">
        <f>+J86*(1+O89)</f>
        <v>0.20521375347941836</v>
      </c>
      <c r="P86" s="191">
        <f t="shared" ref="P86:Q86" si="259">+K86*(1+P89)</f>
        <v>0.20912214058264927</v>
      </c>
      <c r="Q86" s="191">
        <f t="shared" si="259"/>
        <v>0.21214551236187171</v>
      </c>
      <c r="R86" s="190"/>
      <c r="S86" s="191">
        <f>+N86*(1+S89)</f>
        <v>0.2281130132433267</v>
      </c>
      <c r="T86" s="191">
        <f>+O86*(1+T89)</f>
        <v>0.21547444115338929</v>
      </c>
      <c r="U86" s="191">
        <f t="shared" ref="U86:V86" si="260">+P86*(1+U89)</f>
        <v>0.22585191182926123</v>
      </c>
      <c r="V86" s="191">
        <f t="shared" si="260"/>
        <v>0.22699569822720275</v>
      </c>
      <c r="W86" s="190"/>
      <c r="X86" s="191">
        <f>+S86*(1+X89)</f>
        <v>0.2360969687068431</v>
      </c>
      <c r="Y86" s="191">
        <f>+T86*(1+Y89)</f>
        <v>0.2230160465937579</v>
      </c>
      <c r="Z86" s="191">
        <f t="shared" ref="Z86:AA86" si="261">+U86*(1+Z89)</f>
        <v>0.23375672874328535</v>
      </c>
      <c r="AA86" s="191">
        <f t="shared" si="261"/>
        <v>0.23494054766515482</v>
      </c>
      <c r="AB86" s="190"/>
      <c r="AC86" s="191">
        <f>+X86*(1+AC89)</f>
        <v>0.24436036261158259</v>
      </c>
      <c r="AD86" s="191">
        <f>+Y86*(1+AD89)</f>
        <v>0.2308216082245394</v>
      </c>
      <c r="AE86" s="191">
        <f t="shared" ref="AE86:AF86" si="262">+Z86*(1+AE89)</f>
        <v>0.24193821424930032</v>
      </c>
      <c r="AF86" s="191">
        <f t="shared" si="262"/>
        <v>0.24316346683343523</v>
      </c>
      <c r="AG86" s="190"/>
      <c r="AH86" s="191">
        <f>+AC86*(1+AH89)</f>
        <v>0.25291297530298795</v>
      </c>
      <c r="AI86" s="191">
        <f>+AD86*(1+AI89)</f>
        <v>0.23890036451239827</v>
      </c>
      <c r="AJ86" s="191">
        <f t="shared" ref="AJ86:AK86" si="263">+AE86*(1+AJ89)</f>
        <v>0.25040605174802583</v>
      </c>
      <c r="AK86" s="191">
        <f t="shared" si="263"/>
        <v>0.25167418817260545</v>
      </c>
      <c r="AL86" s="190"/>
      <c r="AM86" s="191">
        <f>+AH86*(1+AM89)</f>
        <v>0.26176492943859253</v>
      </c>
      <c r="AN86" s="191">
        <f>+AI86*(1+AN89)</f>
        <v>0.24726187727033219</v>
      </c>
      <c r="AO86" s="191">
        <f t="shared" ref="AO86" si="264">+AJ86*(1+AO89)</f>
        <v>0.25917026355920669</v>
      </c>
      <c r="AP86" s="191">
        <f t="shared" ref="AP86" si="265">+AK86*(1+AP89)</f>
        <v>0.26048278475864661</v>
      </c>
      <c r="AQ86" s="190"/>
    </row>
    <row r="87" spans="1:43" outlineLevel="1" x14ac:dyDescent="0.25">
      <c r="A87" s="253"/>
      <c r="B87" s="407" t="s">
        <v>156</v>
      </c>
      <c r="C87" s="408"/>
      <c r="D87" s="284">
        <v>0.01</v>
      </c>
      <c r="E87" s="284">
        <v>0</v>
      </c>
      <c r="F87" s="284">
        <v>0.01</v>
      </c>
      <c r="G87" s="284">
        <v>0.01</v>
      </c>
      <c r="H87" s="54"/>
      <c r="I87" s="284">
        <v>-0.01</v>
      </c>
      <c r="J87" s="284">
        <v>-0.32</v>
      </c>
      <c r="K87" s="284">
        <v>-0.44</v>
      </c>
      <c r="L87" s="56">
        <v>-0.15</v>
      </c>
      <c r="M87" s="54"/>
      <c r="N87" s="284">
        <v>-0.03</v>
      </c>
      <c r="O87" s="56">
        <v>0.26</v>
      </c>
      <c r="P87" s="56">
        <v>0.55000000000000004</v>
      </c>
      <c r="Q87" s="56"/>
      <c r="R87" s="54"/>
      <c r="S87" s="56"/>
      <c r="T87" s="56"/>
      <c r="U87" s="56"/>
      <c r="V87" s="56"/>
      <c r="W87" s="54"/>
      <c r="X87" s="56"/>
      <c r="Y87" s="56"/>
      <c r="Z87" s="56"/>
      <c r="AA87" s="56"/>
      <c r="AB87" s="54"/>
      <c r="AC87" s="56"/>
      <c r="AD87" s="56"/>
      <c r="AE87" s="56"/>
      <c r="AF87" s="56"/>
      <c r="AG87" s="54"/>
      <c r="AH87" s="56"/>
      <c r="AI87" s="56"/>
      <c r="AJ87" s="56"/>
      <c r="AK87" s="56"/>
      <c r="AL87" s="54"/>
      <c r="AM87" s="56"/>
      <c r="AN87" s="56"/>
      <c r="AO87" s="56"/>
      <c r="AP87" s="56"/>
      <c r="AQ87" s="54"/>
    </row>
    <row r="88" spans="1:43" outlineLevel="1" x14ac:dyDescent="0.25">
      <c r="A88" s="253"/>
      <c r="B88" s="407" t="s">
        <v>155</v>
      </c>
      <c r="C88" s="408"/>
      <c r="D88" s="358">
        <v>0.01</v>
      </c>
      <c r="E88" s="358">
        <v>0.02</v>
      </c>
      <c r="F88" s="358">
        <v>0.03</v>
      </c>
      <c r="G88" s="358">
        <v>0.03</v>
      </c>
      <c r="H88" s="181"/>
      <c r="I88" s="358">
        <v>0.02</v>
      </c>
      <c r="J88" s="358">
        <v>0.01</v>
      </c>
      <c r="K88" s="358">
        <v>0.13</v>
      </c>
      <c r="L88" s="180">
        <v>7.0000000000000007E-2</v>
      </c>
      <c r="M88" s="181"/>
      <c r="N88" s="358">
        <v>-0.1</v>
      </c>
      <c r="O88" s="180">
        <v>7.0000000000000007E-2</v>
      </c>
      <c r="P88" s="180">
        <v>-0.09</v>
      </c>
      <c r="Q88" s="180"/>
      <c r="R88" s="181"/>
      <c r="S88" s="180"/>
      <c r="T88" s="180"/>
      <c r="U88" s="180"/>
      <c r="V88" s="180"/>
      <c r="W88" s="181"/>
      <c r="X88" s="180"/>
      <c r="Y88" s="180"/>
      <c r="Z88" s="180"/>
      <c r="AA88" s="180"/>
      <c r="AB88" s="181"/>
      <c r="AC88" s="180"/>
      <c r="AD88" s="180"/>
      <c r="AE88" s="180"/>
      <c r="AF88" s="180"/>
      <c r="AG88" s="181"/>
      <c r="AH88" s="180"/>
      <c r="AI88" s="180"/>
      <c r="AJ88" s="180"/>
      <c r="AK88" s="180"/>
      <c r="AL88" s="181"/>
      <c r="AM88" s="180"/>
      <c r="AN88" s="180"/>
      <c r="AO88" s="180"/>
      <c r="AP88" s="180"/>
      <c r="AQ88" s="181"/>
    </row>
    <row r="89" spans="1:43" s="20" customFormat="1" outlineLevel="1" x14ac:dyDescent="0.25">
      <c r="A89" s="268"/>
      <c r="B89" s="409" t="s">
        <v>157</v>
      </c>
      <c r="C89" s="390"/>
      <c r="D89" s="359">
        <v>0.02</v>
      </c>
      <c r="E89" s="359">
        <v>0.02</v>
      </c>
      <c r="F89" s="360">
        <v>0.05</v>
      </c>
      <c r="G89" s="359">
        <v>0.03</v>
      </c>
      <c r="H89" s="182"/>
      <c r="I89" s="359">
        <v>0.01</v>
      </c>
      <c r="J89" s="359">
        <v>-0.31</v>
      </c>
      <c r="K89" s="359">
        <v>-0.37</v>
      </c>
      <c r="L89" s="365">
        <v>-0.1</v>
      </c>
      <c r="M89" s="182"/>
      <c r="N89" s="359">
        <v>0.08</v>
      </c>
      <c r="O89" s="359">
        <v>0.35</v>
      </c>
      <c r="P89" s="359">
        <v>0.41</v>
      </c>
      <c r="Q89" s="530">
        <v>0.06</v>
      </c>
      <c r="R89" s="182"/>
      <c r="S89" s="530">
        <v>0.05</v>
      </c>
      <c r="T89" s="530">
        <v>0.05</v>
      </c>
      <c r="U89" s="530">
        <v>0.08</v>
      </c>
      <c r="V89" s="530">
        <v>7.0000000000000007E-2</v>
      </c>
      <c r="W89" s="182"/>
      <c r="X89" s="529">
        <v>3.5000000000000003E-2</v>
      </c>
      <c r="Y89" s="529">
        <v>3.5000000000000003E-2</v>
      </c>
      <c r="Z89" s="529">
        <v>3.5000000000000003E-2</v>
      </c>
      <c r="AA89" s="529">
        <v>3.5000000000000003E-2</v>
      </c>
      <c r="AB89" s="182"/>
      <c r="AC89" s="529">
        <v>3.5000000000000003E-2</v>
      </c>
      <c r="AD89" s="529">
        <v>3.5000000000000003E-2</v>
      </c>
      <c r="AE89" s="529">
        <v>3.5000000000000003E-2</v>
      </c>
      <c r="AF89" s="529">
        <v>3.5000000000000003E-2</v>
      </c>
      <c r="AG89" s="182"/>
      <c r="AH89" s="529">
        <v>3.5000000000000003E-2</v>
      </c>
      <c r="AI89" s="529">
        <v>3.5000000000000003E-2</v>
      </c>
      <c r="AJ89" s="529">
        <v>3.5000000000000003E-2</v>
      </c>
      <c r="AK89" s="529">
        <v>3.5000000000000003E-2</v>
      </c>
      <c r="AL89" s="182"/>
      <c r="AM89" s="529">
        <v>3.5000000000000003E-2</v>
      </c>
      <c r="AN89" s="529">
        <v>3.5000000000000003E-2</v>
      </c>
      <c r="AO89" s="529">
        <v>3.5000000000000003E-2</v>
      </c>
      <c r="AP89" s="529">
        <v>3.5000000000000003E-2</v>
      </c>
      <c r="AQ89" s="182"/>
    </row>
    <row r="90" spans="1:43" ht="17.25" outlineLevel="1" x14ac:dyDescent="0.4">
      <c r="A90" s="253"/>
      <c r="B90" s="166" t="s">
        <v>187</v>
      </c>
      <c r="C90" s="408"/>
      <c r="D90" s="61">
        <v>348</v>
      </c>
      <c r="E90" s="61">
        <v>586</v>
      </c>
      <c r="F90" s="61">
        <v>544</v>
      </c>
      <c r="G90" s="61">
        <v>59</v>
      </c>
      <c r="H90" s="18"/>
      <c r="I90" s="61">
        <v>135</v>
      </c>
      <c r="J90" s="61">
        <v>9</v>
      </c>
      <c r="K90" s="61">
        <v>38</v>
      </c>
      <c r="L90" s="61">
        <v>125</v>
      </c>
      <c r="M90" s="18"/>
      <c r="N90" s="61">
        <v>125</v>
      </c>
      <c r="O90" s="61">
        <v>125</v>
      </c>
      <c r="P90" s="61">
        <v>125</v>
      </c>
      <c r="Q90" s="487">
        <f>P90+(500*0.2)</f>
        <v>225</v>
      </c>
      <c r="R90" s="18"/>
      <c r="S90" s="61">
        <v>125</v>
      </c>
      <c r="T90" s="61">
        <v>125</v>
      </c>
      <c r="U90" s="61">
        <v>125</v>
      </c>
      <c r="V90" s="61">
        <v>125</v>
      </c>
      <c r="W90" s="18"/>
      <c r="X90" s="61">
        <v>200</v>
      </c>
      <c r="Y90" s="61">
        <v>200</v>
      </c>
      <c r="Z90" s="61">
        <v>200</v>
      </c>
      <c r="AA90" s="61">
        <v>200</v>
      </c>
      <c r="AB90" s="18"/>
      <c r="AC90" s="61">
        <f>AVERAGE(AA90,Z90,Y90,X90)</f>
        <v>200</v>
      </c>
      <c r="AD90" s="61">
        <f>AVERAGE(AC90,AA90,Z90,Y90)</f>
        <v>200</v>
      </c>
      <c r="AE90" s="61">
        <f>AVERAGE(AD90,AC90,AA90,Z90)</f>
        <v>200</v>
      </c>
      <c r="AF90" s="61">
        <f>AVERAGE(AE90,AD90,AC90,AA90)</f>
        <v>200</v>
      </c>
      <c r="AG90" s="18"/>
      <c r="AH90" s="61">
        <f>AVERAGE(AF90,AE90,AD90,AC90)</f>
        <v>200</v>
      </c>
      <c r="AI90" s="61">
        <f>AVERAGE(AH90,AF90,AE90,AD90)</f>
        <v>200</v>
      </c>
      <c r="AJ90" s="61">
        <f>AVERAGE(AI90,AH90,AF90,AE90)</f>
        <v>200</v>
      </c>
      <c r="AK90" s="61">
        <f>AVERAGE(AJ90,AI90,AH90,AF90)</f>
        <v>200</v>
      </c>
      <c r="AL90" s="18"/>
      <c r="AM90" s="61">
        <f>AVERAGE(AK90,AJ90,AI90,AH90)</f>
        <v>200</v>
      </c>
      <c r="AN90" s="61">
        <f>AVERAGE(AM90,AK90,AJ90,AI90)</f>
        <v>200</v>
      </c>
      <c r="AO90" s="61">
        <f>AVERAGE(AN90,AM90,AK90,AJ90)</f>
        <v>200</v>
      </c>
      <c r="AP90" s="61">
        <f>AVERAGE(AO90,AN90,AM90,AK90)</f>
        <v>200</v>
      </c>
      <c r="AQ90" s="18"/>
    </row>
    <row r="91" spans="1:43" s="20" customFormat="1" outlineLevel="1" x14ac:dyDescent="0.25">
      <c r="A91" s="268"/>
      <c r="B91" s="552" t="s">
        <v>292</v>
      </c>
      <c r="C91" s="553"/>
      <c r="D91" s="171">
        <v>1278.0999999999999</v>
      </c>
      <c r="E91" s="171">
        <v>1309.4000000000001</v>
      </c>
      <c r="F91" s="258">
        <v>1352.8</v>
      </c>
      <c r="G91" s="171">
        <v>1315.9</v>
      </c>
      <c r="H91" s="238">
        <f>SUM(D91:G91)</f>
        <v>5256.2000000000007</v>
      </c>
      <c r="I91" s="171">
        <v>1309.7</v>
      </c>
      <c r="J91" s="171">
        <v>902.4</v>
      </c>
      <c r="K91" s="258">
        <v>875.5</v>
      </c>
      <c r="L91" s="171">
        <v>1298.3</v>
      </c>
      <c r="M91" s="238">
        <f>SUM(I91:L91)</f>
        <v>4385.8999999999996</v>
      </c>
      <c r="N91" s="171">
        <v>1441.7</v>
      </c>
      <c r="O91" s="171">
        <v>1384.7</v>
      </c>
      <c r="P91" s="171">
        <v>1433.3</v>
      </c>
      <c r="Q91" s="171">
        <f t="shared" ref="Q91" si="266">+Q85*Q86+Q90</f>
        <v>1609.8859046982984</v>
      </c>
      <c r="R91" s="238">
        <f>SUM(N91:Q91)</f>
        <v>5869.5859046982987</v>
      </c>
      <c r="S91" s="171">
        <f>+S85*S86+S90</f>
        <v>1656.3226579024522</v>
      </c>
      <c r="T91" s="171">
        <f>+T85*T86+T90</f>
        <v>1597.9832797245692</v>
      </c>
      <c r="U91" s="171">
        <f t="shared" ref="U91:V91" si="267">+U85*U86+U90</f>
        <v>1708.899457658609</v>
      </c>
      <c r="V91" s="171">
        <f t="shared" si="267"/>
        <v>1749.8352079103172</v>
      </c>
      <c r="W91" s="238">
        <f>SUM(S91:V91)</f>
        <v>6713.0406031959474</v>
      </c>
      <c r="X91" s="171">
        <f>+X85*X86+X90</f>
        <v>1907.6893746565961</v>
      </c>
      <c r="Y91" s="171">
        <f>+Y85*Y86+Y90</f>
        <v>1829.8012685071828</v>
      </c>
      <c r="Z91" s="171">
        <f t="shared" ref="Z91:AA91" si="268">+Z85*Z86+Z90</f>
        <v>1925.8259283116756</v>
      </c>
      <c r="AA91" s="171">
        <f t="shared" si="268"/>
        <v>1952.1866044867247</v>
      </c>
      <c r="AB91" s="238">
        <f>SUM(X91:AA91)</f>
        <v>7615.5031759621797</v>
      </c>
      <c r="AC91" s="171">
        <f>+AC85*AC86+AC90</f>
        <v>2062.8259378373591</v>
      </c>
      <c r="AD91" s="171">
        <f>+AD85*AD86+AD90</f>
        <v>1997.7650596832159</v>
      </c>
      <c r="AE91" s="171">
        <f t="shared" ref="AE91:AF91" si="269">+AE85*AE86+AE90</f>
        <v>2124.3333096831379</v>
      </c>
      <c r="AF91" s="171">
        <f t="shared" si="269"/>
        <v>2174.2672877500099</v>
      </c>
      <c r="AG91" s="238">
        <f>SUM(AC91:AF91)</f>
        <v>8359.1915949537233</v>
      </c>
      <c r="AH91" s="171">
        <f>+AH85*AH86+AH90</f>
        <v>2298.2157780550051</v>
      </c>
      <c r="AI91" s="171">
        <f>+AI85*AI86+AI90</f>
        <v>2224.274051745721</v>
      </c>
      <c r="AJ91" s="171">
        <f t="shared" ref="AJ91:AK91" si="270">+AJ85*AJ86+AJ90</f>
        <v>2366.1124963470415</v>
      </c>
      <c r="AK91" s="171">
        <f t="shared" si="270"/>
        <v>2421.6542971994118</v>
      </c>
      <c r="AL91" s="238">
        <f>SUM(AH91:AK91)</f>
        <v>9310.2566233471789</v>
      </c>
      <c r="AM91" s="171">
        <f>+AM85*AM86+AM90</f>
        <v>2557.089332313732</v>
      </c>
      <c r="AN91" s="171">
        <f>+AN85*AN86+AN90</f>
        <v>2470.2855877981274</v>
      </c>
      <c r="AO91" s="171">
        <f t="shared" ref="AO91:AP91" si="271">+AO85*AO86+AO90</f>
        <v>2625.5243573284547</v>
      </c>
      <c r="AP91" s="171">
        <f t="shared" si="271"/>
        <v>2683.9399198827778</v>
      </c>
      <c r="AQ91" s="238">
        <f>SUM(AM91:AP91)</f>
        <v>10336.839197323092</v>
      </c>
    </row>
    <row r="92" spans="1:43" s="20" customFormat="1" outlineLevel="1" x14ac:dyDescent="0.25">
      <c r="A92" s="268"/>
      <c r="B92" s="192" t="s">
        <v>163</v>
      </c>
      <c r="C92" s="390"/>
      <c r="D92" s="196">
        <f t="shared" ref="D92:G92" si="272">+D91/D83</f>
        <v>0.21889022092824112</v>
      </c>
      <c r="E92" s="196">
        <f t="shared" si="272"/>
        <v>0.22272495322333732</v>
      </c>
      <c r="F92" s="285">
        <f t="shared" si="272"/>
        <v>0.23960325894438539</v>
      </c>
      <c r="G92" s="196">
        <f t="shared" si="272"/>
        <v>0.22455631399317408</v>
      </c>
      <c r="H92" s="183"/>
      <c r="I92" s="196">
        <f t="shared" ref="I92:L92" si="273">+I91/I83</f>
        <v>0.21615778181218023</v>
      </c>
      <c r="J92" s="196">
        <f t="shared" si="273"/>
        <v>0.14704252892292652</v>
      </c>
      <c r="K92" s="196">
        <f t="shared" si="273"/>
        <v>0.13999040614007036</v>
      </c>
      <c r="L92" s="196">
        <f t="shared" si="273"/>
        <v>0.19888174019607843</v>
      </c>
      <c r="M92" s="183"/>
      <c r="N92" s="196">
        <f t="shared" ref="N92:Q92" si="274">+N91/N83</f>
        <v>0.21476240131088933</v>
      </c>
      <c r="O92" s="196">
        <f t="shared" si="274"/>
        <v>0.2025599765944997</v>
      </c>
      <c r="P92" s="196">
        <f t="shared" si="274"/>
        <v>0.20437758448595464</v>
      </c>
      <c r="Q92" s="196">
        <f t="shared" si="274"/>
        <v>0.22490722334427193</v>
      </c>
      <c r="R92" s="183"/>
      <c r="S92" s="196">
        <f t="shared" ref="S92:V92" si="275">+S91/S83</f>
        <v>0.228995252025778</v>
      </c>
      <c r="T92" s="196">
        <f t="shared" si="275"/>
        <v>0.21866218934381079</v>
      </c>
      <c r="U92" s="196">
        <f t="shared" si="275"/>
        <v>0.23146410099669631</v>
      </c>
      <c r="V92" s="196">
        <f t="shared" si="275"/>
        <v>0.23462526252484811</v>
      </c>
      <c r="W92" s="183"/>
      <c r="X92" s="196">
        <f t="shared" ref="X92:AA92" si="276">+X91/X83</f>
        <v>0.25024542436989045</v>
      </c>
      <c r="Y92" s="196">
        <f t="shared" si="276"/>
        <v>0.23493485383599222</v>
      </c>
      <c r="Z92" s="196">
        <f t="shared" si="276"/>
        <v>0.24212587481918524</v>
      </c>
      <c r="AA92" s="196">
        <f t="shared" si="276"/>
        <v>0.2404438677570252</v>
      </c>
      <c r="AB92" s="183"/>
      <c r="AC92" s="196">
        <f t="shared" ref="AC92:AF92" si="277">+AC91/AC83</f>
        <v>0.24864718439694533</v>
      </c>
      <c r="AD92" s="196">
        <f t="shared" si="277"/>
        <v>0.23577183166323826</v>
      </c>
      <c r="AE92" s="196">
        <f t="shared" si="277"/>
        <v>0.24557631128191673</v>
      </c>
      <c r="AF92" s="196">
        <f t="shared" si="277"/>
        <v>0.24630607705462473</v>
      </c>
      <c r="AG92" s="183"/>
      <c r="AH92" s="196">
        <f t="shared" ref="AH92:AK92" si="278">+AH91/AH83</f>
        <v>0.25522676749238948</v>
      </c>
      <c r="AI92" s="196">
        <f t="shared" si="278"/>
        <v>0.24225065804683193</v>
      </c>
      <c r="AJ92" s="196">
        <f t="shared" si="278"/>
        <v>0.25282203307346734</v>
      </c>
      <c r="AK92" s="196">
        <f t="shared" si="278"/>
        <v>0.25395109197609528</v>
      </c>
      <c r="AL92" s="183"/>
      <c r="AM92" s="196">
        <f t="shared" ref="AM92:AP92" si="279">+AM91/AM83</f>
        <v>0.26326436146009757</v>
      </c>
      <c r="AN92" s="196">
        <f t="shared" si="279"/>
        <v>0.24977328028110055</v>
      </c>
      <c r="AO92" s="196">
        <f t="shared" si="279"/>
        <v>0.26079952045228599</v>
      </c>
      <c r="AP92" s="196">
        <f t="shared" si="279"/>
        <v>0.26199311297961575</v>
      </c>
      <c r="AQ92" s="183"/>
    </row>
    <row r="93" spans="1:43" s="185" customFormat="1" outlineLevel="1" x14ac:dyDescent="0.25">
      <c r="A93" s="271"/>
      <c r="B93" s="192" t="s">
        <v>161</v>
      </c>
      <c r="C93" s="193"/>
      <c r="D93" s="188">
        <f>ROUND((+D91-D90-(D85*D86)),0)</f>
        <v>0</v>
      </c>
      <c r="E93" s="194">
        <f>ROUND((+E91-E90-(E85*E86)),0)</f>
        <v>0</v>
      </c>
      <c r="F93" s="274">
        <f>ROUND((+F91-F90-(F85*F86)),0)</f>
        <v>0</v>
      </c>
      <c r="G93" s="194">
        <f>ROUND((+G91-G90-(G85*G86)),0)</f>
        <v>0</v>
      </c>
      <c r="H93" s="195"/>
      <c r="I93" s="194">
        <f>ROUND((+I91-I90-(I85*I86)),0)</f>
        <v>0</v>
      </c>
      <c r="J93" s="194">
        <f>ROUND((+J91-J90-(J85*J86)),0)</f>
        <v>0</v>
      </c>
      <c r="K93" s="194">
        <f>ROUND((+K91-K90-(K85*K86)),0)</f>
        <v>0</v>
      </c>
      <c r="L93" s="194">
        <f>ROUND((+L91-L90-(L85*L86)),0)</f>
        <v>0</v>
      </c>
      <c r="M93" s="195"/>
      <c r="N93" s="194">
        <f>ROUND((+N91-N90-(N85*N86)),0)</f>
        <v>0</v>
      </c>
      <c r="O93" s="194">
        <f>ROUND((+O91-O90-(O85*O86)),0)</f>
        <v>0</v>
      </c>
      <c r="P93" s="194">
        <f>ROUND((+P91-P90-(P85*P86)),0)</f>
        <v>0</v>
      </c>
      <c r="Q93" s="194">
        <f>ROUND((+Q91-Q90-(Q85*Q86)),0)</f>
        <v>0</v>
      </c>
      <c r="R93" s="195"/>
      <c r="S93" s="194">
        <f>ROUND((+S91-S90-(S85*S86)),0)</f>
        <v>0</v>
      </c>
      <c r="T93" s="194">
        <f>ROUND((+T91-T90-(T85*T86)),0)</f>
        <v>0</v>
      </c>
      <c r="U93" s="194">
        <f>ROUND((+U91-U90-(U85*U86)),0)</f>
        <v>0</v>
      </c>
      <c r="V93" s="194">
        <f>ROUND((+V91-V90-(V85*V86)),0)</f>
        <v>0</v>
      </c>
      <c r="W93" s="195"/>
      <c r="X93" s="194">
        <f>ROUND((+X91-X90-(X85*X86)),0)</f>
        <v>0</v>
      </c>
      <c r="Y93" s="194">
        <f>ROUND((+Y91-Y90-(Y85*Y86)),0)</f>
        <v>0</v>
      </c>
      <c r="Z93" s="194">
        <f>ROUND((+Z91-Z90-(Z85*Z86)),0)</f>
        <v>0</v>
      </c>
      <c r="AA93" s="194">
        <f>ROUND((+AA91-AA90-(AA85*AA86)),0)</f>
        <v>0</v>
      </c>
      <c r="AB93" s="195"/>
      <c r="AC93" s="194">
        <f>ROUND((+AC91-AC90-(AC85*AC86)),0)</f>
        <v>0</v>
      </c>
      <c r="AD93" s="194">
        <f>ROUND((+AD91-AD90-(AD85*AD86)),0)</f>
        <v>0</v>
      </c>
      <c r="AE93" s="194">
        <f>ROUND((+AE91-AE90-(AE85*AE86)),0)</f>
        <v>0</v>
      </c>
      <c r="AF93" s="194">
        <f>ROUND((+AF91-AF90-(AF85*AF86)),0)</f>
        <v>0</v>
      </c>
      <c r="AG93" s="195"/>
      <c r="AH93" s="194">
        <f>ROUND((+AH91-AH90-(AH85*AH86)),0)</f>
        <v>0</v>
      </c>
      <c r="AI93" s="194">
        <f>ROUND((+AI91-AI90-(AI85*AI86)),0)</f>
        <v>0</v>
      </c>
      <c r="AJ93" s="194">
        <f>ROUND((+AJ91-AJ90-(AJ85*AJ86)),0)</f>
        <v>0</v>
      </c>
      <c r="AK93" s="194">
        <f>ROUND((+AK91-AK90-(AK85*AK86)),0)</f>
        <v>0</v>
      </c>
      <c r="AL93" s="195"/>
      <c r="AM93" s="194">
        <f>ROUND((+AM91-AM90-(AM85*AM86)),0)</f>
        <v>0</v>
      </c>
      <c r="AN93" s="194">
        <f>ROUND((+AN91-AN90-(AN85*AN86)),0)</f>
        <v>0</v>
      </c>
      <c r="AO93" s="194">
        <f>ROUND((+AO91-AO90-(AO85*AO86)),0)</f>
        <v>0</v>
      </c>
      <c r="AP93" s="194">
        <f>ROUND((+AP91-AP90-(AP85*AP86)),0)</f>
        <v>0</v>
      </c>
      <c r="AQ93" s="195"/>
    </row>
    <row r="94" spans="1:43" s="20" customFormat="1" outlineLevel="1" x14ac:dyDescent="0.25">
      <c r="A94" s="268"/>
      <c r="B94" s="564" t="s">
        <v>293</v>
      </c>
      <c r="C94" s="565"/>
      <c r="D94" s="283">
        <v>6373</v>
      </c>
      <c r="E94" s="283">
        <v>6586</v>
      </c>
      <c r="F94" s="283">
        <v>7127</v>
      </c>
      <c r="G94" s="283">
        <v>7329</v>
      </c>
      <c r="H94" s="479">
        <f>G94</f>
        <v>7329</v>
      </c>
      <c r="I94" s="283">
        <v>7533</v>
      </c>
      <c r="J94" s="283">
        <v>7642</v>
      </c>
      <c r="K94" s="283">
        <v>7691</v>
      </c>
      <c r="L94" s="283">
        <v>7778</v>
      </c>
      <c r="M94" s="479">
        <f>L94</f>
        <v>7778</v>
      </c>
      <c r="N94" s="283">
        <v>7917</v>
      </c>
      <c r="O94" s="197">
        <f>+N94+O95</f>
        <v>7987</v>
      </c>
      <c r="P94" s="197">
        <f t="shared" ref="P94:Q94" si="280">+O94+P95</f>
        <v>8107</v>
      </c>
      <c r="Q94" s="197">
        <f t="shared" si="280"/>
        <v>8248</v>
      </c>
      <c r="R94" s="479">
        <f>Q94</f>
        <v>8248</v>
      </c>
      <c r="S94" s="197">
        <f>+Q94+S95</f>
        <v>8323</v>
      </c>
      <c r="T94" s="197">
        <f>+S94+T95</f>
        <v>8398</v>
      </c>
      <c r="U94" s="197">
        <f t="shared" ref="U94:V94" si="281">+T94+U95</f>
        <v>8473</v>
      </c>
      <c r="V94" s="197">
        <f t="shared" si="281"/>
        <v>8548</v>
      </c>
      <c r="W94" s="479">
        <f>V94</f>
        <v>8548</v>
      </c>
      <c r="X94" s="197">
        <f>+V94+X95</f>
        <v>8737.7987499999999</v>
      </c>
      <c r="Y94" s="197">
        <f>+X94+Y95</f>
        <v>8927.5974999999999</v>
      </c>
      <c r="Z94" s="197">
        <f t="shared" ref="Z94:AA94" si="282">+Y94+Z95</f>
        <v>9117.3962499999998</v>
      </c>
      <c r="AA94" s="197">
        <f t="shared" si="282"/>
        <v>9307.1949999999997</v>
      </c>
      <c r="AB94" s="479">
        <f>AA94</f>
        <v>9307.1949999999997</v>
      </c>
      <c r="AC94" s="197">
        <f>+AA94+AC95</f>
        <v>9510.2011796874995</v>
      </c>
      <c r="AD94" s="197">
        <f>+AC94+AD95</f>
        <v>9713.2073593749992</v>
      </c>
      <c r="AE94" s="197">
        <f t="shared" ref="AE94:AF94" si="283">+AD94+AE95</f>
        <v>9916.213539062499</v>
      </c>
      <c r="AF94" s="197">
        <f t="shared" si="283"/>
        <v>10119.219718749999</v>
      </c>
      <c r="AG94" s="479">
        <f>AF94</f>
        <v>10119.219718749999</v>
      </c>
      <c r="AH94" s="197">
        <f>+AF94+AH95</f>
        <v>10322.225898437498</v>
      </c>
      <c r="AI94" s="197">
        <f>+AH94+AI95</f>
        <v>10525.232078124998</v>
      </c>
      <c r="AJ94" s="197">
        <f t="shared" ref="AJ94:AK94" si="284">+AI94+AJ95</f>
        <v>10728.238257812498</v>
      </c>
      <c r="AK94" s="197">
        <f t="shared" si="284"/>
        <v>10931.244437499998</v>
      </c>
      <c r="AL94" s="479">
        <f>AK94</f>
        <v>10931.244437499998</v>
      </c>
      <c r="AM94" s="197">
        <f>+AK94+AM95</f>
        <v>11134.250617187497</v>
      </c>
      <c r="AN94" s="197">
        <f>+AM94+AN95</f>
        <v>11337.256796874997</v>
      </c>
      <c r="AO94" s="197">
        <f t="shared" ref="AO94" si="285">+AN94+AO95</f>
        <v>11540.262976562497</v>
      </c>
      <c r="AP94" s="197">
        <f t="shared" ref="AP94" si="286">+AO94+AP95</f>
        <v>11743.269156249997</v>
      </c>
      <c r="AQ94" s="479">
        <f>AP94</f>
        <v>11743.269156249997</v>
      </c>
    </row>
    <row r="95" spans="1:43" outlineLevel="1" x14ac:dyDescent="0.25">
      <c r="A95" s="253"/>
      <c r="B95" s="465" t="s">
        <v>162</v>
      </c>
      <c r="C95" s="459"/>
      <c r="D95" s="255">
        <f>+D94-6201</f>
        <v>172</v>
      </c>
      <c r="E95" s="255">
        <f>+E94-D94</f>
        <v>213</v>
      </c>
      <c r="F95" s="255">
        <f t="shared" ref="F95:G95" si="287">+F94-E94</f>
        <v>541</v>
      </c>
      <c r="G95" s="255">
        <f t="shared" si="287"/>
        <v>202</v>
      </c>
      <c r="H95" s="290">
        <f>+SUM(D95:G95)</f>
        <v>1128</v>
      </c>
      <c r="I95" s="255">
        <f>+I94-G94</f>
        <v>204</v>
      </c>
      <c r="J95" s="255">
        <f t="shared" ref="J95:L95" si="288">+J94-I94</f>
        <v>109</v>
      </c>
      <c r="K95" s="255">
        <f t="shared" si="288"/>
        <v>49</v>
      </c>
      <c r="L95" s="255">
        <f t="shared" si="288"/>
        <v>87</v>
      </c>
      <c r="M95" s="290">
        <f>+SUM(I95:L95)</f>
        <v>449</v>
      </c>
      <c r="N95" s="255">
        <v>139</v>
      </c>
      <c r="O95" s="255">
        <v>70</v>
      </c>
      <c r="P95" s="255">
        <v>120</v>
      </c>
      <c r="Q95" s="63">
        <v>141</v>
      </c>
      <c r="R95" s="290">
        <f>+SUM(N95:Q95)</f>
        <v>470</v>
      </c>
      <c r="S95" s="63">
        <v>75</v>
      </c>
      <c r="T95" s="63">
        <v>75</v>
      </c>
      <c r="U95" s="63">
        <v>75</v>
      </c>
      <c r="V95" s="63">
        <v>75</v>
      </c>
      <c r="W95" s="290">
        <f>+SUM(S95:V95)</f>
        <v>300</v>
      </c>
      <c r="X95" s="63">
        <f>0.09/4*AVERAGE(S94:V94)</f>
        <v>189.79874999999998</v>
      </c>
      <c r="Y95" s="63">
        <f>0.09/4*AVERAGE(S94:V94)</f>
        <v>189.79874999999998</v>
      </c>
      <c r="Z95" s="63">
        <f>0.09/4*AVERAGE(S94:V94)</f>
        <v>189.79874999999998</v>
      </c>
      <c r="AA95" s="63">
        <f>0.09/4*AVERAGE(S94:V94)</f>
        <v>189.79874999999998</v>
      </c>
      <c r="AB95" s="290">
        <f>+SUM(X95:AA95)</f>
        <v>759.19499999999994</v>
      </c>
      <c r="AC95" s="63">
        <f>0.09/4*AVERAGE(X94:AA94)</f>
        <v>203.00617968749998</v>
      </c>
      <c r="AD95" s="63">
        <f>0.09/4*AVERAGE(X94:AA94)</f>
        <v>203.00617968749998</v>
      </c>
      <c r="AE95" s="63">
        <f>0.09/4*AVERAGE(X94:AA94)</f>
        <v>203.00617968749998</v>
      </c>
      <c r="AF95" s="63">
        <f>0.09/4*AVERAGE(X94:AA94)</f>
        <v>203.00617968749998</v>
      </c>
      <c r="AG95" s="290">
        <f>+SUM(AC95:AF95)</f>
        <v>812.02471874999992</v>
      </c>
      <c r="AH95" s="63">
        <f>AVERAGE(AC95,AD95,AE95,AF95)</f>
        <v>203.00617968749998</v>
      </c>
      <c r="AI95" s="63">
        <f>AVERAGE(AD95,AE95,AF95,AH95)</f>
        <v>203.00617968749998</v>
      </c>
      <c r="AJ95" s="63">
        <f>AVERAGE(AE95,AF95,AH95,AI95)</f>
        <v>203.00617968749998</v>
      </c>
      <c r="AK95" s="63">
        <f>AVERAGE(AF95,AH95,AI95,AJ95)</f>
        <v>203.00617968749998</v>
      </c>
      <c r="AL95" s="290">
        <f>+SUM(AH95:AK95)</f>
        <v>812.02471874999992</v>
      </c>
      <c r="AM95" s="63">
        <f>AVERAGE(AH95,AI95,AJ95,AK95)</f>
        <v>203.00617968749998</v>
      </c>
      <c r="AN95" s="63">
        <f>AVERAGE(AI95,AJ95,AK95,AM95)</f>
        <v>203.00617968749998</v>
      </c>
      <c r="AO95" s="63">
        <f>AVERAGE(AJ95,AK95,AM95,AN95)</f>
        <v>203.00617968749998</v>
      </c>
      <c r="AP95" s="63">
        <f>AVERAGE(AK95,AM95,AN95,AO95)</f>
        <v>203.00617968749998</v>
      </c>
      <c r="AQ95" s="290">
        <f>+SUM(AM95:AP95)</f>
        <v>812.02471874999992</v>
      </c>
    </row>
    <row r="96" spans="1:43" outlineLevel="1" x14ac:dyDescent="0.25">
      <c r="A96" s="253"/>
      <c r="B96" s="407" t="s">
        <v>165</v>
      </c>
      <c r="C96" s="394"/>
      <c r="D96" s="34">
        <f>AVERAGE(D94,6201)</f>
        <v>6287</v>
      </c>
      <c r="E96" s="34">
        <f>AVERAGE(E94,D94)</f>
        <v>6479.5</v>
      </c>
      <c r="F96" s="34">
        <f t="shared" ref="F96:G96" si="289">AVERAGE(F94,E94)</f>
        <v>6856.5</v>
      </c>
      <c r="G96" s="34">
        <f t="shared" si="289"/>
        <v>7228</v>
      </c>
      <c r="H96" s="50"/>
      <c r="I96" s="34">
        <f>AVERAGE(I94,G94)</f>
        <v>7431</v>
      </c>
      <c r="J96" s="34">
        <f>AVERAGE(J94,I94)</f>
        <v>7587.5</v>
      </c>
      <c r="K96" s="34">
        <f t="shared" ref="K96:L96" si="290">AVERAGE(K94,J94)</f>
        <v>7666.5</v>
      </c>
      <c r="L96" s="34">
        <f t="shared" si="290"/>
        <v>7734.5</v>
      </c>
      <c r="M96" s="18"/>
      <c r="N96" s="34">
        <f>AVERAGE(N94,L94)</f>
        <v>7847.5</v>
      </c>
      <c r="O96" s="34">
        <f>AVERAGE(O94,N94)</f>
        <v>7952</v>
      </c>
      <c r="P96" s="34">
        <f t="shared" ref="P96:Q96" si="291">AVERAGE(P94,O94)</f>
        <v>8047</v>
      </c>
      <c r="Q96" s="34">
        <f t="shared" si="291"/>
        <v>8177.5</v>
      </c>
      <c r="R96" s="18"/>
      <c r="S96" s="34">
        <f>AVERAGE(S94,Q94)</f>
        <v>8285.5</v>
      </c>
      <c r="T96" s="34">
        <f>AVERAGE(T94,S94)</f>
        <v>8360.5</v>
      </c>
      <c r="U96" s="34">
        <f t="shared" ref="U96:V96" si="292">AVERAGE(U94,T94)</f>
        <v>8435.5</v>
      </c>
      <c r="V96" s="34">
        <f t="shared" si="292"/>
        <v>8510.5</v>
      </c>
      <c r="W96" s="18"/>
      <c r="X96" s="34">
        <f>AVERAGE(X94,V94)</f>
        <v>8642.8993750000009</v>
      </c>
      <c r="Y96" s="34">
        <f>AVERAGE(Y94,X94)</f>
        <v>8832.698124999999</v>
      </c>
      <c r="Z96" s="34">
        <f t="shared" ref="Z96:AA96" si="293">AVERAGE(Z94,Y94)</f>
        <v>9022.4968750000007</v>
      </c>
      <c r="AA96" s="34">
        <f t="shared" si="293"/>
        <v>9212.2956249999988</v>
      </c>
      <c r="AB96" s="18"/>
      <c r="AC96" s="34">
        <f>AVERAGE(AC94,AA94)</f>
        <v>9408.6980898437505</v>
      </c>
      <c r="AD96" s="34">
        <f>AVERAGE(AD94,AC94)</f>
        <v>9611.7042695312484</v>
      </c>
      <c r="AE96" s="34">
        <f t="shared" ref="AE96:AF96" si="294">AVERAGE(AE94,AD94)</f>
        <v>9814.71044921875</v>
      </c>
      <c r="AF96" s="34">
        <f t="shared" si="294"/>
        <v>10017.716628906248</v>
      </c>
      <c r="AG96" s="18"/>
      <c r="AH96" s="34">
        <f>AVERAGE(AH94,AF94)</f>
        <v>10220.72280859375</v>
      </c>
      <c r="AI96" s="34">
        <f>AVERAGE(AI94,AH94)</f>
        <v>10423.728988281247</v>
      </c>
      <c r="AJ96" s="34">
        <f t="shared" ref="AJ96:AK96" si="295">AVERAGE(AJ94,AI94)</f>
        <v>10626.735167968749</v>
      </c>
      <c r="AK96" s="34">
        <f t="shared" si="295"/>
        <v>10829.741347656247</v>
      </c>
      <c r="AL96" s="18"/>
      <c r="AM96" s="34">
        <f>AVERAGE(AM94,AK94)</f>
        <v>11032.747527343749</v>
      </c>
      <c r="AN96" s="34">
        <f>AVERAGE(AN94,AM94)</f>
        <v>11235.753707031246</v>
      </c>
      <c r="AO96" s="34">
        <f t="shared" ref="AO96" si="296">AVERAGE(AO94,AN94)</f>
        <v>11438.759886718748</v>
      </c>
      <c r="AP96" s="34">
        <f t="shared" ref="AP96" si="297">AVERAGE(AP94,AO94)</f>
        <v>11641.766066406246</v>
      </c>
      <c r="AQ96" s="18"/>
    </row>
    <row r="97" spans="1:43" outlineLevel="1" x14ac:dyDescent="0.25">
      <c r="A97" s="253"/>
      <c r="B97" s="407" t="s">
        <v>164</v>
      </c>
      <c r="C97" s="394"/>
      <c r="D97" s="107">
        <f>+D98/D96</f>
        <v>3.5390488309209482E-2</v>
      </c>
      <c r="E97" s="277">
        <f>+E98/E96</f>
        <v>3.3197005941816495E-2</v>
      </c>
      <c r="F97" s="277">
        <f>+F98/F96</f>
        <v>3.335521038430686E-2</v>
      </c>
      <c r="G97" s="277">
        <f>+G98/G96</f>
        <v>3.468456004427227E-2</v>
      </c>
      <c r="H97" s="50"/>
      <c r="I97" s="277">
        <f t="shared" ref="I97:P97" si="298">+I98/I96</f>
        <v>3.4275333064190554E-2</v>
      </c>
      <c r="J97" s="277">
        <f t="shared" si="298"/>
        <v>2.97331136738056E-2</v>
      </c>
      <c r="K97" s="277">
        <f t="shared" si="298"/>
        <v>8.4784451835909474E-3</v>
      </c>
      <c r="L97" s="277">
        <f t="shared" si="298"/>
        <v>2.4397181459693579E-2</v>
      </c>
      <c r="M97" s="18"/>
      <c r="N97" s="277">
        <f t="shared" si="298"/>
        <v>2.5179993628544121E-2</v>
      </c>
      <c r="O97" s="277">
        <f t="shared" si="298"/>
        <v>2.5251509054325959E-2</v>
      </c>
      <c r="P97" s="277">
        <f t="shared" si="298"/>
        <v>2.6307940847520812E-2</v>
      </c>
      <c r="Q97" s="184">
        <v>0.04</v>
      </c>
      <c r="R97" s="18"/>
      <c r="S97" s="184">
        <v>3.5000000000000003E-2</v>
      </c>
      <c r="T97" s="184">
        <v>3.2000000000000001E-2</v>
      </c>
      <c r="U97" s="184">
        <v>3.2000000000000001E-2</v>
      </c>
      <c r="V97" s="184">
        <v>4.2000000000000003E-2</v>
      </c>
      <c r="W97" s="18"/>
      <c r="X97" s="184">
        <f>+S97*(1+2.25%)</f>
        <v>3.57875E-2</v>
      </c>
      <c r="Y97" s="184">
        <f>+T97*(1+2.25%)</f>
        <v>3.2719999999999999E-2</v>
      </c>
      <c r="Z97" s="184">
        <f>+U97*(1+2.25%)</f>
        <v>3.2719999999999999E-2</v>
      </c>
      <c r="AA97" s="184">
        <f>+V97*(1+2.25%)</f>
        <v>4.2945000000000004E-2</v>
      </c>
      <c r="AB97" s="18"/>
      <c r="AC97" s="184">
        <f>+X97*(1+2.25%)</f>
        <v>3.6592718749999996E-2</v>
      </c>
      <c r="AD97" s="184">
        <f>+Y97*(1+2.25%)</f>
        <v>3.3456199999999998E-2</v>
      </c>
      <c r="AE97" s="184">
        <f>+Z97*(1+2.25%)</f>
        <v>3.3456199999999998E-2</v>
      </c>
      <c r="AF97" s="184">
        <f>+AA97*(1+2.25%)</f>
        <v>4.3911262499999999E-2</v>
      </c>
      <c r="AG97" s="18"/>
      <c r="AH97" s="184">
        <f>+AC97*(1+2.25%)</f>
        <v>3.7416054921874997E-2</v>
      </c>
      <c r="AI97" s="184">
        <f>+AD97*(1+2.25%)</f>
        <v>3.4208964499999994E-2</v>
      </c>
      <c r="AJ97" s="184">
        <f>+AE97*(1+2.25%)</f>
        <v>3.4208964499999994E-2</v>
      </c>
      <c r="AK97" s="184">
        <f>+AF97*(1+2.25%)</f>
        <v>4.4899265906249999E-2</v>
      </c>
      <c r="AL97" s="18"/>
      <c r="AM97" s="184">
        <f>+AH97*(1+2.25%)</f>
        <v>3.8257916157617186E-2</v>
      </c>
      <c r="AN97" s="184">
        <f>+AI97*(1+2.25%)</f>
        <v>3.4978666201249994E-2</v>
      </c>
      <c r="AO97" s="184">
        <f>+AJ97*(1+2.25%)</f>
        <v>3.4978666201249994E-2</v>
      </c>
      <c r="AP97" s="184">
        <f>+AK97*(1+2.25%)</f>
        <v>4.5909499389140622E-2</v>
      </c>
      <c r="AQ97" s="18"/>
    </row>
    <row r="98" spans="1:43" s="20" customFormat="1" outlineLevel="1" x14ac:dyDescent="0.25">
      <c r="A98" s="268"/>
      <c r="B98" s="566" t="s">
        <v>294</v>
      </c>
      <c r="C98" s="567"/>
      <c r="D98" s="278">
        <v>222.5</v>
      </c>
      <c r="E98" s="278">
        <v>215.1</v>
      </c>
      <c r="F98" s="278">
        <v>228.7</v>
      </c>
      <c r="G98" s="278">
        <v>250.7</v>
      </c>
      <c r="H98" s="203">
        <f>SUM(D98:G98)</f>
        <v>917</v>
      </c>
      <c r="I98" s="278">
        <v>254.7</v>
      </c>
      <c r="J98" s="278">
        <v>225.6</v>
      </c>
      <c r="K98" s="278">
        <v>65</v>
      </c>
      <c r="L98" s="202">
        <v>188.7</v>
      </c>
      <c r="M98" s="203">
        <f>SUM(I98:L98)</f>
        <v>734</v>
      </c>
      <c r="N98" s="202">
        <v>197.6</v>
      </c>
      <c r="O98" s="202">
        <v>200.8</v>
      </c>
      <c r="P98" s="202">
        <v>211.7</v>
      </c>
      <c r="Q98" s="202">
        <f t="shared" ref="Q98" si="299">+Q96*Q97</f>
        <v>327.10000000000002</v>
      </c>
      <c r="R98" s="203">
        <f>SUM(N98:Q98)</f>
        <v>937.19999999999993</v>
      </c>
      <c r="S98" s="202">
        <f>+S96*S97</f>
        <v>289.99250000000001</v>
      </c>
      <c r="T98" s="202">
        <f>+T96*T97</f>
        <v>267.536</v>
      </c>
      <c r="U98" s="202">
        <f t="shared" ref="U98:V98" si="300">+U96*U97</f>
        <v>269.93599999999998</v>
      </c>
      <c r="V98" s="202">
        <f t="shared" si="300"/>
        <v>357.44100000000003</v>
      </c>
      <c r="W98" s="203">
        <f>SUM(S98:V98)</f>
        <v>1184.9055000000001</v>
      </c>
      <c r="X98" s="202">
        <f>+X96*X97</f>
        <v>309.30776138281254</v>
      </c>
      <c r="Y98" s="202">
        <f>+Y96*Y97</f>
        <v>289.00588264999993</v>
      </c>
      <c r="Z98" s="202">
        <f t="shared" ref="Z98:AA98" si="301">+Z96*Z97</f>
        <v>295.21609775000002</v>
      </c>
      <c r="AA98" s="202">
        <f t="shared" si="301"/>
        <v>395.62203561562501</v>
      </c>
      <c r="AB98" s="203">
        <f>SUM(X98:AA98)</f>
        <v>1289.1517773984374</v>
      </c>
      <c r="AC98" s="202">
        <f>+AC96*AC97</f>
        <v>344.28984300531454</v>
      </c>
      <c r="AD98" s="202">
        <f>+AD96*AD97</f>
        <v>321.57110038229132</v>
      </c>
      <c r="AE98" s="202">
        <f t="shared" ref="AE98:AF98" si="302">+AE96*AE97</f>
        <v>328.36291573115233</v>
      </c>
      <c r="AF98" s="202">
        <f t="shared" si="302"/>
        <v>439.89058454251733</v>
      </c>
      <c r="AG98" s="203">
        <f>SUM(AC98:AF98)</f>
        <v>1434.1144436612753</v>
      </c>
      <c r="AH98" s="202">
        <f>+AH96*AH97</f>
        <v>382.41912594760419</v>
      </c>
      <c r="AI98" s="202">
        <f>+AI96*AI97</f>
        <v>356.58497491773403</v>
      </c>
      <c r="AJ98" s="202">
        <f t="shared" ref="AJ98:AK98" si="303">+AJ96*AJ97</f>
        <v>363.52960611194442</v>
      </c>
      <c r="AK98" s="202">
        <f t="shared" si="303"/>
        <v>486.24743646432808</v>
      </c>
      <c r="AL98" s="203">
        <f>SUM(AH98:AK98)</f>
        <v>1588.7811434416108</v>
      </c>
      <c r="AM98" s="202">
        <f>+AM96*AM97</f>
        <v>422.08992988927548</v>
      </c>
      <c r="AN98" s="202">
        <f>+AN96*AN97</f>
        <v>393.01167843770321</v>
      </c>
      <c r="AO98" s="202">
        <f t="shared" ref="AO98:AP98" si="304">+AO96*AO97</f>
        <v>400.11256383378327</v>
      </c>
      <c r="AP98" s="202">
        <f t="shared" si="304"/>
        <v>534.46765211419552</v>
      </c>
      <c r="AQ98" s="203">
        <f>SUM(AM98:AP98)</f>
        <v>1749.6818242749575</v>
      </c>
    </row>
    <row r="99" spans="1:43" s="20" customFormat="1" outlineLevel="1" x14ac:dyDescent="0.25">
      <c r="A99" s="268"/>
      <c r="B99" s="552" t="s">
        <v>295</v>
      </c>
      <c r="C99" s="553"/>
      <c r="D99" s="258">
        <v>3.4</v>
      </c>
      <c r="E99" s="258">
        <v>4.9000000000000004</v>
      </c>
      <c r="F99" s="258">
        <v>3.8</v>
      </c>
      <c r="G99" s="258">
        <v>5.5</v>
      </c>
      <c r="H99" s="238">
        <f>SUM(D99:G99)</f>
        <v>17.600000000000001</v>
      </c>
      <c r="I99" s="258">
        <v>6.7</v>
      </c>
      <c r="J99" s="258">
        <v>6.6</v>
      </c>
      <c r="K99" s="258">
        <v>9.1</v>
      </c>
      <c r="L99" s="171">
        <v>5.3</v>
      </c>
      <c r="M99" s="238">
        <f>SUM(I99:L99)</f>
        <v>27.7</v>
      </c>
      <c r="N99" s="171">
        <v>15</v>
      </c>
      <c r="O99" s="171">
        <v>25.4</v>
      </c>
      <c r="P99" s="171">
        <v>13.4</v>
      </c>
      <c r="Q99" s="171">
        <f t="shared" ref="Q99" si="305">+L99*(1+Q100)</f>
        <v>7.9499999999999993</v>
      </c>
      <c r="R99" s="238">
        <f>SUM(N99:Q99)</f>
        <v>61.75</v>
      </c>
      <c r="S99" s="171">
        <f>+N99*(1+S100)</f>
        <v>22.5</v>
      </c>
      <c r="T99" s="171">
        <f>+O99*(1+T100)</f>
        <v>38.099999999999994</v>
      </c>
      <c r="U99" s="171">
        <f>+P99*(1+U100)</f>
        <v>16.75</v>
      </c>
      <c r="V99" s="171">
        <f t="shared" ref="V99" si="306">+Q99*(1+V100)</f>
        <v>9.9375</v>
      </c>
      <c r="W99" s="238">
        <f>SUM(S99:V99)</f>
        <v>87.287499999999994</v>
      </c>
      <c r="X99" s="171">
        <f>+S99*(1+X100)</f>
        <v>28.125</v>
      </c>
      <c r="Y99" s="171">
        <f>+T99*(1+Y100)</f>
        <v>47.624999999999993</v>
      </c>
      <c r="Z99" s="171">
        <f>+U99*(1+Z100)</f>
        <v>20.9375</v>
      </c>
      <c r="AA99" s="171">
        <f t="shared" ref="AA99" si="307">+V99*(1+AA100)</f>
        <v>12.421875</v>
      </c>
      <c r="AB99" s="238">
        <f>SUM(X99:AA99)</f>
        <v>109.109375</v>
      </c>
      <c r="AC99" s="171">
        <f>+X99*(1+AC100)</f>
        <v>35.15625</v>
      </c>
      <c r="AD99" s="171">
        <f>+Y99*(1+AD100)</f>
        <v>59.531249999999993</v>
      </c>
      <c r="AE99" s="171">
        <f>+Z99*(1+AE100)</f>
        <v>26.171875</v>
      </c>
      <c r="AF99" s="171">
        <f t="shared" ref="AF99" si="308">+AA99*(1+AF100)</f>
        <v>15.52734375</v>
      </c>
      <c r="AG99" s="238">
        <f>SUM(AC99:AF99)</f>
        <v>136.38671875</v>
      </c>
      <c r="AH99" s="171">
        <f>+AC99*(1+AH100)</f>
        <v>43.9453125</v>
      </c>
      <c r="AI99" s="171">
        <f>+AD99*(1+AI100)</f>
        <v>74.414062499999986</v>
      </c>
      <c r="AJ99" s="171">
        <f>+AE99*(1+AJ100)</f>
        <v>32.71484375</v>
      </c>
      <c r="AK99" s="171">
        <f t="shared" ref="AK99" si="309">+AF99*(1+AK100)</f>
        <v>19.4091796875</v>
      </c>
      <c r="AL99" s="238">
        <f>SUM(AH99:AK99)</f>
        <v>170.4833984375</v>
      </c>
      <c r="AM99" s="171">
        <f>+AH99*(1+AM100)</f>
        <v>54.931640625</v>
      </c>
      <c r="AN99" s="171">
        <f>+AI99*(1+AN100)</f>
        <v>93.017578124999986</v>
      </c>
      <c r="AO99" s="171">
        <f>+AJ99*(1+AO100)</f>
        <v>40.8935546875</v>
      </c>
      <c r="AP99" s="171">
        <f t="shared" ref="AP99" si="310">+AK99*(1+AP100)</f>
        <v>24.261474609375</v>
      </c>
      <c r="AQ99" s="238">
        <f>SUM(AM99:AP99)</f>
        <v>213.104248046875</v>
      </c>
    </row>
    <row r="100" spans="1:43" outlineLevel="1" x14ac:dyDescent="0.25">
      <c r="A100" s="253"/>
      <c r="B100" s="199" t="s">
        <v>169</v>
      </c>
      <c r="C100" s="200"/>
      <c r="D100" s="288"/>
      <c r="E100" s="288"/>
      <c r="F100" s="288"/>
      <c r="G100" s="288"/>
      <c r="H100" s="179"/>
      <c r="I100" s="288">
        <f>I99/D99-1</f>
        <v>0.97058823529411775</v>
      </c>
      <c r="J100" s="288">
        <f t="shared" ref="J100:L100" si="311">J99/E99-1</f>
        <v>0.3469387755102038</v>
      </c>
      <c r="K100" s="288">
        <f t="shared" si="311"/>
        <v>1.3947368421052633</v>
      </c>
      <c r="L100" s="288">
        <f t="shared" si="311"/>
        <v>-3.6363636363636376E-2</v>
      </c>
      <c r="M100" s="179"/>
      <c r="N100" s="288">
        <f>N99/I99-1</f>
        <v>1.2388059701492535</v>
      </c>
      <c r="O100" s="288">
        <f t="shared" ref="O100" si="312">O99/J99-1</f>
        <v>2.8484848484848486</v>
      </c>
      <c r="P100" s="288">
        <f t="shared" ref="P100" si="313">P99/K99-1</f>
        <v>0.47252747252747263</v>
      </c>
      <c r="Q100" s="201">
        <v>0.5</v>
      </c>
      <c r="R100" s="179"/>
      <c r="S100" s="201">
        <v>0.5</v>
      </c>
      <c r="T100" s="201">
        <v>0.5</v>
      </c>
      <c r="U100" s="201">
        <v>0.25</v>
      </c>
      <c r="V100" s="201">
        <v>0.25</v>
      </c>
      <c r="W100" s="179"/>
      <c r="X100" s="201">
        <v>0.25</v>
      </c>
      <c r="Y100" s="201">
        <v>0.25</v>
      </c>
      <c r="Z100" s="201">
        <v>0.25</v>
      </c>
      <c r="AA100" s="201">
        <v>0.25</v>
      </c>
      <c r="AB100" s="179"/>
      <c r="AC100" s="201">
        <v>0.25</v>
      </c>
      <c r="AD100" s="201">
        <v>0.25</v>
      </c>
      <c r="AE100" s="201">
        <v>0.25</v>
      </c>
      <c r="AF100" s="201">
        <v>0.25</v>
      </c>
      <c r="AG100" s="179"/>
      <c r="AH100" s="201">
        <v>0.25</v>
      </c>
      <c r="AI100" s="201">
        <v>0.25</v>
      </c>
      <c r="AJ100" s="201">
        <v>0.25</v>
      </c>
      <c r="AK100" s="201">
        <v>0.25</v>
      </c>
      <c r="AL100" s="179"/>
      <c r="AM100" s="201">
        <v>0.25</v>
      </c>
      <c r="AN100" s="201">
        <v>0.25</v>
      </c>
      <c r="AO100" s="201">
        <v>0.25</v>
      </c>
      <c r="AP100" s="201">
        <v>0.25</v>
      </c>
      <c r="AQ100" s="179"/>
    </row>
    <row r="101" spans="1:43" outlineLevel="1" x14ac:dyDescent="0.25">
      <c r="A101" s="253"/>
      <c r="B101" s="407" t="s">
        <v>296</v>
      </c>
      <c r="C101" s="408"/>
      <c r="D101" s="255">
        <f t="shared" ref="D101:G102" si="314">+D94+D83</f>
        <v>12212</v>
      </c>
      <c r="E101" s="255">
        <f t="shared" si="314"/>
        <v>12465</v>
      </c>
      <c r="F101" s="255">
        <f t="shared" si="314"/>
        <v>12773</v>
      </c>
      <c r="G101" s="255">
        <f t="shared" si="314"/>
        <v>13189</v>
      </c>
      <c r="H101" s="18"/>
      <c r="I101" s="255">
        <f>+I94+I83</f>
        <v>13592</v>
      </c>
      <c r="J101" s="255">
        <f t="shared" ref="J101:L102" si="315">+J94+J83</f>
        <v>13779</v>
      </c>
      <c r="K101" s="255">
        <f t="shared" si="315"/>
        <v>13945</v>
      </c>
      <c r="L101" s="34">
        <f t="shared" si="315"/>
        <v>14306</v>
      </c>
      <c r="M101" s="18"/>
      <c r="N101" s="34">
        <f>+N94+N83</f>
        <v>14630</v>
      </c>
      <c r="O101" s="34">
        <f t="shared" ref="O101:Q102" si="316">+O94+O83</f>
        <v>14823</v>
      </c>
      <c r="P101" s="34">
        <f t="shared" si="316"/>
        <v>15120</v>
      </c>
      <c r="Q101" s="34">
        <f t="shared" si="316"/>
        <v>15406</v>
      </c>
      <c r="R101" s="18"/>
      <c r="S101" s="34">
        <f>+S94+S83</f>
        <v>15556</v>
      </c>
      <c r="T101" s="34">
        <f t="shared" ref="T101:V102" si="317">+T94+T83</f>
        <v>15706</v>
      </c>
      <c r="U101" s="34">
        <f t="shared" si="317"/>
        <v>15856</v>
      </c>
      <c r="V101" s="34">
        <f t="shared" si="317"/>
        <v>16006</v>
      </c>
      <c r="W101" s="493">
        <f>W102/(AVERAGE(N101:Q101))</f>
        <v>4.0014004901715604E-2</v>
      </c>
      <c r="X101" s="34">
        <f>+X94+X83</f>
        <v>16361.0725</v>
      </c>
      <c r="Y101" s="34">
        <f t="shared" ref="Y101:AA102" si="318">+Y94+Y83</f>
        <v>16716.145</v>
      </c>
      <c r="Z101" s="34">
        <f t="shared" si="318"/>
        <v>17071.217499999999</v>
      </c>
      <c r="AA101" s="34">
        <f t="shared" si="318"/>
        <v>17426.29</v>
      </c>
      <c r="AB101" s="494">
        <f>AB102/(AVERAGE(S101:V101))</f>
        <v>0.09</v>
      </c>
      <c r="AC101" s="34">
        <f>+AC94+AC83</f>
        <v>17806.397828125002</v>
      </c>
      <c r="AD101" s="34">
        <f t="shared" ref="AD101:AF102" si="319">+AD94+AD83</f>
        <v>18186.505656249999</v>
      </c>
      <c r="AE101" s="34">
        <f t="shared" si="319"/>
        <v>18566.613484374997</v>
      </c>
      <c r="AF101" s="34">
        <f t="shared" si="319"/>
        <v>18946.721312499998</v>
      </c>
      <c r="AG101" s="494">
        <f>AG102/(AVERAGE(X101:AA101))</f>
        <v>8.9999999999999983E-2</v>
      </c>
      <c r="AH101" s="34">
        <f>+AH94+AH83</f>
        <v>19326.829140624999</v>
      </c>
      <c r="AI101" s="34">
        <f t="shared" ref="AI101:AK102" si="320">+AI94+AI83</f>
        <v>19706.936968749997</v>
      </c>
      <c r="AJ101" s="34">
        <f t="shared" si="320"/>
        <v>20087.044796874994</v>
      </c>
      <c r="AK101" s="34">
        <f t="shared" si="320"/>
        <v>20467.152624999995</v>
      </c>
      <c r="AL101" s="493">
        <f>AL102/(AVERAGE(AC101:AF101))</f>
        <v>8.2737538911052233E-2</v>
      </c>
      <c r="AM101" s="34">
        <f>+AM94+AM83</f>
        <v>20847.260453124996</v>
      </c>
      <c r="AN101" s="34">
        <f t="shared" ref="AN101:AP101" si="321">+AN94+AN83</f>
        <v>21227.368281249994</v>
      </c>
      <c r="AO101" s="34">
        <f t="shared" si="321"/>
        <v>21607.476109374991</v>
      </c>
      <c r="AP101" s="34">
        <f t="shared" si="321"/>
        <v>21987.583937499992</v>
      </c>
      <c r="AQ101" s="493">
        <f>AQ102/(AVERAGE(AH101:AK101))</f>
        <v>7.6415138422432777E-2</v>
      </c>
    </row>
    <row r="102" spans="1:43" outlineLevel="1" x14ac:dyDescent="0.25">
      <c r="A102" s="253"/>
      <c r="B102" s="407" t="s">
        <v>297</v>
      </c>
      <c r="C102" s="408"/>
      <c r="D102" s="255">
        <f t="shared" si="314"/>
        <v>360</v>
      </c>
      <c r="E102" s="255">
        <f t="shared" si="314"/>
        <v>253</v>
      </c>
      <c r="F102" s="255">
        <f t="shared" si="314"/>
        <v>308</v>
      </c>
      <c r="G102" s="255">
        <f t="shared" si="314"/>
        <v>416</v>
      </c>
      <c r="H102" s="50">
        <f>+H95+H84</f>
        <v>1337</v>
      </c>
      <c r="I102" s="255">
        <f>+I95+I84</f>
        <v>403</v>
      </c>
      <c r="J102" s="255">
        <f t="shared" si="315"/>
        <v>187</v>
      </c>
      <c r="K102" s="255">
        <f t="shared" si="315"/>
        <v>166</v>
      </c>
      <c r="L102" s="34">
        <f t="shared" si="315"/>
        <v>361</v>
      </c>
      <c r="M102" s="50">
        <f>+M95+M84</f>
        <v>1117</v>
      </c>
      <c r="N102" s="34">
        <f>+N95+N84</f>
        <v>324</v>
      </c>
      <c r="O102" s="34">
        <f t="shared" si="316"/>
        <v>193</v>
      </c>
      <c r="P102" s="34">
        <f t="shared" si="316"/>
        <v>297</v>
      </c>
      <c r="Q102" s="34">
        <f t="shared" si="316"/>
        <v>286</v>
      </c>
      <c r="R102" s="348">
        <f>+R95+R84</f>
        <v>1100</v>
      </c>
      <c r="S102" s="34">
        <f>+S95+S84</f>
        <v>150</v>
      </c>
      <c r="T102" s="34">
        <f t="shared" si="317"/>
        <v>150</v>
      </c>
      <c r="U102" s="34">
        <f t="shared" si="317"/>
        <v>150</v>
      </c>
      <c r="V102" s="34">
        <f t="shared" si="317"/>
        <v>150</v>
      </c>
      <c r="W102" s="50">
        <f>+W95+W84</f>
        <v>600</v>
      </c>
      <c r="X102" s="34">
        <f>+X95+X84</f>
        <v>355.07249999999999</v>
      </c>
      <c r="Y102" s="34">
        <f t="shared" si="318"/>
        <v>355.07249999999999</v>
      </c>
      <c r="Z102" s="34">
        <f t="shared" si="318"/>
        <v>355.07249999999999</v>
      </c>
      <c r="AA102" s="34">
        <f t="shared" si="318"/>
        <v>355.07249999999999</v>
      </c>
      <c r="AB102" s="50">
        <f>+AB95+AB84</f>
        <v>1420.29</v>
      </c>
      <c r="AC102" s="34">
        <f>+AC95+AC84</f>
        <v>380.10782812499997</v>
      </c>
      <c r="AD102" s="34">
        <f t="shared" si="319"/>
        <v>380.10782812499997</v>
      </c>
      <c r="AE102" s="34">
        <f t="shared" si="319"/>
        <v>380.10782812499997</v>
      </c>
      <c r="AF102" s="34">
        <f t="shared" si="319"/>
        <v>380.10782812499997</v>
      </c>
      <c r="AG102" s="50">
        <f>+AG95+AG84</f>
        <v>1520.4313124999999</v>
      </c>
      <c r="AH102" s="34">
        <f>+AH95+AH84</f>
        <v>380.10782812499997</v>
      </c>
      <c r="AI102" s="34">
        <f t="shared" si="320"/>
        <v>380.10782812499997</v>
      </c>
      <c r="AJ102" s="34">
        <f t="shared" si="320"/>
        <v>380.10782812499997</v>
      </c>
      <c r="AK102" s="34">
        <f t="shared" si="320"/>
        <v>380.10782812499997</v>
      </c>
      <c r="AL102" s="50">
        <f>+AL95+AL84</f>
        <v>1520.4313124999999</v>
      </c>
      <c r="AM102" s="34">
        <f>+AM95+AM84</f>
        <v>380.10782812499997</v>
      </c>
      <c r="AN102" s="34">
        <f t="shared" ref="AN102:AP102" si="322">+AN95+AN84</f>
        <v>380.10782812499997</v>
      </c>
      <c r="AO102" s="34">
        <f t="shared" si="322"/>
        <v>380.10782812499997</v>
      </c>
      <c r="AP102" s="34">
        <f t="shared" si="322"/>
        <v>380.10782812499997</v>
      </c>
      <c r="AQ102" s="50">
        <f>+AQ95+AQ84</f>
        <v>1520.4313124999999</v>
      </c>
    </row>
    <row r="103" spans="1:43" outlineLevel="1" x14ac:dyDescent="0.25">
      <c r="A103" s="253"/>
      <c r="B103" s="568" t="s">
        <v>298</v>
      </c>
      <c r="C103" s="569"/>
      <c r="D103" s="278">
        <f t="shared" ref="D103:G103" si="323">+D99+D98+D91</f>
        <v>1504</v>
      </c>
      <c r="E103" s="278">
        <f>+E99+E98+E91</f>
        <v>1529.4</v>
      </c>
      <c r="F103" s="278">
        <f t="shared" si="323"/>
        <v>1585.3</v>
      </c>
      <c r="G103" s="278">
        <f t="shared" si="323"/>
        <v>1572.1000000000001</v>
      </c>
      <c r="H103" s="203">
        <f>SUM(D103:G103)</f>
        <v>6190.8</v>
      </c>
      <c r="I103" s="278">
        <f>+I99+I98+I91</f>
        <v>1571.1</v>
      </c>
      <c r="J103" s="278">
        <f t="shared" ref="J103:L103" si="324">+J99+J98+J91</f>
        <v>1134.5999999999999</v>
      </c>
      <c r="K103" s="278">
        <f t="shared" si="324"/>
        <v>949.6</v>
      </c>
      <c r="L103" s="202">
        <f t="shared" si="324"/>
        <v>1492.3</v>
      </c>
      <c r="M103" s="203">
        <f>SUM(I103:L103)</f>
        <v>5147.5999999999995</v>
      </c>
      <c r="N103" s="202">
        <f>+N99+N98+N91</f>
        <v>1654.3</v>
      </c>
      <c r="O103" s="202">
        <f t="shared" ref="O103:Q103" si="325">+O99+O98+O91</f>
        <v>1610.9</v>
      </c>
      <c r="P103" s="202">
        <f t="shared" si="325"/>
        <v>1658.3999999999999</v>
      </c>
      <c r="Q103" s="202">
        <f t="shared" si="325"/>
        <v>1944.9359046982984</v>
      </c>
      <c r="R103" s="203">
        <f>SUM(N103:Q103)</f>
        <v>6868.5359046982976</v>
      </c>
      <c r="S103" s="202">
        <f>+S99+S98+S91</f>
        <v>1968.8151579024523</v>
      </c>
      <c r="T103" s="202">
        <f t="shared" ref="T103:V103" si="326">+T99+T98+T91</f>
        <v>1903.6192797245692</v>
      </c>
      <c r="U103" s="202">
        <f t="shared" si="326"/>
        <v>1995.5854576586089</v>
      </c>
      <c r="V103" s="202">
        <f t="shared" si="326"/>
        <v>2117.2137079103172</v>
      </c>
      <c r="W103" s="203">
        <f>SUM(S103:V103)</f>
        <v>7985.2336031959476</v>
      </c>
      <c r="X103" s="202">
        <f>+X99+X98+X91</f>
        <v>2245.1221360394088</v>
      </c>
      <c r="Y103" s="202">
        <f t="shared" ref="Y103:AA103" si="327">+Y99+Y98+Y91</f>
        <v>2166.4321511571829</v>
      </c>
      <c r="Z103" s="202">
        <f t="shared" si="327"/>
        <v>2241.9795260616756</v>
      </c>
      <c r="AA103" s="202">
        <f t="shared" si="327"/>
        <v>2360.2305151023497</v>
      </c>
      <c r="AB103" s="203">
        <f>SUM(X103:AA103)</f>
        <v>9013.7643283606176</v>
      </c>
      <c r="AC103" s="202">
        <f>+AC99+AC98+AC91</f>
        <v>2442.2720308426738</v>
      </c>
      <c r="AD103" s="202">
        <f t="shared" ref="AD103:AF103" si="328">+AD99+AD98+AD91</f>
        <v>2378.8674100655071</v>
      </c>
      <c r="AE103" s="202">
        <f t="shared" si="328"/>
        <v>2478.8681004142904</v>
      </c>
      <c r="AF103" s="202">
        <f t="shared" si="328"/>
        <v>2629.6852160425274</v>
      </c>
      <c r="AG103" s="203">
        <f>SUM(AC103:AF103)</f>
        <v>9929.6927573649991</v>
      </c>
      <c r="AH103" s="202">
        <f>+AH99+AH98+AH91</f>
        <v>2724.5802165026093</v>
      </c>
      <c r="AI103" s="202">
        <f t="shared" ref="AI103:AK103" si="329">+AI99+AI98+AI91</f>
        <v>2655.2730891634551</v>
      </c>
      <c r="AJ103" s="202">
        <f t="shared" si="329"/>
        <v>2762.3569462089858</v>
      </c>
      <c r="AK103" s="202">
        <f t="shared" si="329"/>
        <v>2927.3109133512398</v>
      </c>
      <c r="AL103" s="203">
        <f>SUM(AH103:AK103)</f>
        <v>11069.521165226291</v>
      </c>
      <c r="AM103" s="202">
        <f>+AM99+AM98+AM91</f>
        <v>3034.1109028280075</v>
      </c>
      <c r="AN103" s="202">
        <f t="shared" ref="AN103:AP103" si="330">+AN99+AN98+AN91</f>
        <v>2956.3148443608306</v>
      </c>
      <c r="AO103" s="202">
        <f t="shared" si="330"/>
        <v>3066.5304758497377</v>
      </c>
      <c r="AP103" s="202">
        <f t="shared" si="330"/>
        <v>3242.6690466063483</v>
      </c>
      <c r="AQ103" s="203">
        <f>SUM(AM103:AP103)</f>
        <v>12299.625269644923</v>
      </c>
    </row>
    <row r="104" spans="1:43" outlineLevel="1" x14ac:dyDescent="0.25">
      <c r="A104" s="253"/>
      <c r="B104" s="572" t="s">
        <v>262</v>
      </c>
      <c r="C104" s="573"/>
      <c r="D104" s="260">
        <v>462.7</v>
      </c>
      <c r="E104" s="260">
        <v>470.2</v>
      </c>
      <c r="F104" s="260">
        <v>476.1</v>
      </c>
      <c r="G104" s="260">
        <v>486.1</v>
      </c>
      <c r="H104" s="208">
        <f>SUM(D104:G104)</f>
        <v>1895.1</v>
      </c>
      <c r="I104" s="260">
        <v>488.5</v>
      </c>
      <c r="J104" s="260">
        <v>387.7</v>
      </c>
      <c r="K104" s="260">
        <v>337.7</v>
      </c>
      <c r="L104" s="169">
        <v>468</v>
      </c>
      <c r="M104" s="208">
        <f>SUM(I104:L104)</f>
        <v>1681.9</v>
      </c>
      <c r="N104" s="169">
        <v>520.4</v>
      </c>
      <c r="O104" s="169">
        <v>513.5</v>
      </c>
      <c r="P104" s="169">
        <v>501.7</v>
      </c>
      <c r="Q104" s="169">
        <f t="shared" ref="Q104" si="331">Q105*Q103</f>
        <v>606.72959455564649</v>
      </c>
      <c r="R104" s="208">
        <f>SUM(N104:Q104)</f>
        <v>2142.3295945556465</v>
      </c>
      <c r="S104" s="169">
        <f>S105*S103</f>
        <v>619.1008494553688</v>
      </c>
      <c r="T104" s="169">
        <f>T105*T103</f>
        <v>598.599776310484</v>
      </c>
      <c r="U104" s="169">
        <f t="shared" ref="U104" si="332">U105*U103</f>
        <v>627.51886434756864</v>
      </c>
      <c r="V104" s="169">
        <f t="shared" ref="V104" si="333">V105*V103</f>
        <v>655.17922678776756</v>
      </c>
      <c r="W104" s="208">
        <f>SUM(S104:V104)</f>
        <v>2500.3987169011889</v>
      </c>
      <c r="X104" s="169">
        <f>X105*X103</f>
        <v>700.37374498384895</v>
      </c>
      <c r="Y104" s="169">
        <f>Y105*Y103</f>
        <v>675.82612749792008</v>
      </c>
      <c r="Z104" s="169">
        <f t="shared" ref="Z104" si="334">Z105*Z103</f>
        <v>699.39339675076292</v>
      </c>
      <c r="AA104" s="169">
        <f t="shared" ref="AA104" si="335">AA105*AA103</f>
        <v>736.28220859445287</v>
      </c>
      <c r="AB104" s="208">
        <f>SUM(X104:AA104)</f>
        <v>2811.8754778269849</v>
      </c>
      <c r="AC104" s="169">
        <f>AC105*AC103</f>
        <v>767.98102799384424</v>
      </c>
      <c r="AD104" s="169">
        <f>AD105*AD103</f>
        <v>748.04322203731158</v>
      </c>
      <c r="AE104" s="169">
        <f t="shared" ref="AE104" si="336">AE105*AE103</f>
        <v>779.48879075540981</v>
      </c>
      <c r="AF104" s="169">
        <f t="shared" ref="AF104" si="337">AF105*AF103</f>
        <v>826.91376309122131</v>
      </c>
      <c r="AG104" s="208">
        <f>SUM(AC104:AF104)</f>
        <v>3122.4268038777868</v>
      </c>
      <c r="AH104" s="169">
        <f>AH105*AH103</f>
        <v>856.75382967039945</v>
      </c>
      <c r="AI104" s="169">
        <f>AI105*AI103</f>
        <v>834.9599597701415</v>
      </c>
      <c r="AJ104" s="169">
        <f t="shared" ref="AJ104" si="338">AJ105*AJ103</f>
        <v>868.63285516296037</v>
      </c>
      <c r="AK104" s="169">
        <f t="shared" ref="AK104" si="339">AK105*AK103</f>
        <v>920.50321016754242</v>
      </c>
      <c r="AL104" s="208">
        <f>SUM(AH104:AK104)</f>
        <v>3480.8498547710437</v>
      </c>
      <c r="AM104" s="169">
        <f>AM105*AM103</f>
        <v>954.0868424051846</v>
      </c>
      <c r="AN104" s="169">
        <f>AN105*AN103</f>
        <v>929.62359826162492</v>
      </c>
      <c r="AO104" s="169">
        <f t="shared" ref="AO104:AP104" si="340">AO105*AO103</f>
        <v>964.28129114059402</v>
      </c>
      <c r="AP104" s="169">
        <f t="shared" si="340"/>
        <v>1019.6686840807469</v>
      </c>
      <c r="AQ104" s="208">
        <f>SUM(AM104:AP104)</f>
        <v>3867.6604158881505</v>
      </c>
    </row>
    <row r="105" spans="1:43" s="468" customFormat="1" outlineLevel="1" x14ac:dyDescent="0.25">
      <c r="A105" s="469"/>
      <c r="B105" s="466" t="s">
        <v>341</v>
      </c>
      <c r="C105" s="467"/>
      <c r="D105" s="414">
        <f>D104/D103</f>
        <v>0.30764627659574467</v>
      </c>
      <c r="E105" s="414">
        <f t="shared" ref="E105:P105" si="341">E104/E103</f>
        <v>0.30744082646789589</v>
      </c>
      <c r="F105" s="414">
        <f t="shared" si="341"/>
        <v>0.30032170567085098</v>
      </c>
      <c r="G105" s="414">
        <f t="shared" si="341"/>
        <v>0.30920424909356908</v>
      </c>
      <c r="H105" s="475">
        <f>H104/H103</f>
        <v>0.30611552626477995</v>
      </c>
      <c r="I105" s="414">
        <f t="shared" si="341"/>
        <v>0.31092864871745912</v>
      </c>
      <c r="J105" s="414">
        <f t="shared" si="341"/>
        <v>0.34170632822139962</v>
      </c>
      <c r="K105" s="414">
        <f t="shared" si="341"/>
        <v>0.35562342038753159</v>
      </c>
      <c r="L105" s="474">
        <f t="shared" si="341"/>
        <v>0.31360986396837098</v>
      </c>
      <c r="M105" s="475">
        <f>M104/M103</f>
        <v>0.32673478902789654</v>
      </c>
      <c r="N105" s="474">
        <f t="shared" si="341"/>
        <v>0.31457414011968809</v>
      </c>
      <c r="O105" s="414">
        <f t="shared" si="341"/>
        <v>0.31876590725681292</v>
      </c>
      <c r="P105" s="414">
        <f t="shared" si="341"/>
        <v>0.30252050168837435</v>
      </c>
      <c r="Q105" s="476">
        <f>AVERAGE(N105:P105)</f>
        <v>0.31195351635495844</v>
      </c>
      <c r="R105" s="475">
        <f>R104/R103</f>
        <v>0.31190484031541932</v>
      </c>
      <c r="S105" s="476">
        <f>Q105+0.25%</f>
        <v>0.31445351635495844</v>
      </c>
      <c r="T105" s="476">
        <f>S105</f>
        <v>0.31445351635495844</v>
      </c>
      <c r="U105" s="476">
        <f>T105</f>
        <v>0.31445351635495844</v>
      </c>
      <c r="V105" s="476">
        <f>U105-0.5%</f>
        <v>0.30945351635495844</v>
      </c>
      <c r="W105" s="475">
        <f>W104/W103</f>
        <v>0.3131278108007321</v>
      </c>
      <c r="X105" s="476">
        <f>V105+0.25%</f>
        <v>0.31195351635495844</v>
      </c>
      <c r="Y105" s="476">
        <f>X105</f>
        <v>0.31195351635495844</v>
      </c>
      <c r="Z105" s="476">
        <f>Y105</f>
        <v>0.31195351635495844</v>
      </c>
      <c r="AA105" s="476">
        <f>Z105</f>
        <v>0.31195351635495844</v>
      </c>
      <c r="AB105" s="475">
        <f>AB104/AB103</f>
        <v>0.31195351635495844</v>
      </c>
      <c r="AC105" s="476">
        <f>AA105+0.25%</f>
        <v>0.31445351635495844</v>
      </c>
      <c r="AD105" s="476">
        <f>AC105</f>
        <v>0.31445351635495844</v>
      </c>
      <c r="AE105" s="476">
        <f>AD105</f>
        <v>0.31445351635495844</v>
      </c>
      <c r="AF105" s="476">
        <f>AE105</f>
        <v>0.31445351635495844</v>
      </c>
      <c r="AG105" s="475">
        <f>AG104/AG103</f>
        <v>0.31445351635495838</v>
      </c>
      <c r="AH105" s="476">
        <f>AF105</f>
        <v>0.31445351635495844</v>
      </c>
      <c r="AI105" s="476">
        <f>AH105</f>
        <v>0.31445351635495844</v>
      </c>
      <c r="AJ105" s="476">
        <f>AI105</f>
        <v>0.31445351635495844</v>
      </c>
      <c r="AK105" s="476">
        <f>AJ105</f>
        <v>0.31445351635495844</v>
      </c>
      <c r="AL105" s="475">
        <f>AL104/AL103</f>
        <v>0.31445351635495838</v>
      </c>
      <c r="AM105" s="476">
        <f>AK105</f>
        <v>0.31445351635495844</v>
      </c>
      <c r="AN105" s="476">
        <f>AM105</f>
        <v>0.31445351635495844</v>
      </c>
      <c r="AO105" s="476">
        <f>AN105</f>
        <v>0.31445351635495844</v>
      </c>
      <c r="AP105" s="476">
        <f>AO105</f>
        <v>0.31445351635495844</v>
      </c>
      <c r="AQ105" s="475">
        <f>AQ104/AQ103</f>
        <v>0.3144535163549585</v>
      </c>
    </row>
    <row r="106" spans="1:43" outlineLevel="1" x14ac:dyDescent="0.25">
      <c r="A106" s="253"/>
      <c r="B106" s="407" t="s">
        <v>141</v>
      </c>
      <c r="C106" s="36"/>
      <c r="D106" s="260">
        <v>603.70000000000005</v>
      </c>
      <c r="E106" s="260">
        <v>618.4</v>
      </c>
      <c r="F106" s="260">
        <v>609.20000000000005</v>
      </c>
      <c r="G106" s="260">
        <v>597.29999999999995</v>
      </c>
      <c r="H106" s="170">
        <f>SUM(D106:G106)</f>
        <v>2428.6</v>
      </c>
      <c r="I106" s="260">
        <v>607.1</v>
      </c>
      <c r="J106" s="260">
        <v>562.79999999999995</v>
      </c>
      <c r="K106" s="260">
        <v>483.4</v>
      </c>
      <c r="L106" s="169">
        <v>622.79999999999995</v>
      </c>
      <c r="M106" s="170">
        <f>SUM(I106:L106)</f>
        <v>2276.1000000000004</v>
      </c>
      <c r="N106" s="169">
        <v>628.5</v>
      </c>
      <c r="O106" s="169">
        <v>620.20000000000005</v>
      </c>
      <c r="P106" s="169">
        <v>620.1</v>
      </c>
      <c r="Q106" s="169">
        <f t="shared" ref="Q106" si="342">Q107*Q91</f>
        <v>706.45898535384435</v>
      </c>
      <c r="R106" s="170">
        <f>SUM(N106:Q106)</f>
        <v>2575.2589853538448</v>
      </c>
      <c r="S106" s="169">
        <f>S107*S91</f>
        <v>730.97742339222486</v>
      </c>
      <c r="T106" s="169">
        <f>T107*T91</f>
        <v>705.23076821045106</v>
      </c>
      <c r="U106" s="169">
        <f t="shared" ref="U106" si="343">U107*U91</f>
        <v>754.1809057768919</v>
      </c>
      <c r="V106" s="169">
        <f t="shared" ref="V106" si="344">V107*V91</f>
        <v>763.49772014135704</v>
      </c>
      <c r="W106" s="170">
        <f>SUM(S106:V106)</f>
        <v>2953.886817520925</v>
      </c>
      <c r="X106" s="169">
        <f>X107*X91</f>
        <v>837.14274164216374</v>
      </c>
      <c r="Y106" s="169">
        <f>Y107*Y91</f>
        <v>802.96345460022962</v>
      </c>
      <c r="Z106" s="169">
        <f t="shared" ref="Z106" si="345">Z107*Z91</f>
        <v>845.10152384877256</v>
      </c>
      <c r="AA106" s="169">
        <f t="shared" ref="AA106" si="346">AA107*AA91</f>
        <v>856.66926072348997</v>
      </c>
      <c r="AB106" s="170">
        <f>SUM(X106:AA106)</f>
        <v>3341.8769808146558</v>
      </c>
      <c r="AC106" s="169">
        <f>AC107*AC91</f>
        <v>910.37768622724946</v>
      </c>
      <c r="AD106" s="169">
        <f>AD107*AD91</f>
        <v>881.66466171487696</v>
      </c>
      <c r="AE106" s="169">
        <f t="shared" ref="AE106" si="347">AE107*AE91</f>
        <v>937.52245779512282</v>
      </c>
      <c r="AF106" s="169">
        <f t="shared" ref="AF106" si="348">AF107*AF91</f>
        <v>959.55959557917629</v>
      </c>
      <c r="AG106" s="170">
        <f>SUM(AC106:AF106)</f>
        <v>3689.1244013164255</v>
      </c>
      <c r="AH106" s="169">
        <f>AH107*AH91</f>
        <v>1014.2612249049748</v>
      </c>
      <c r="AI106" s="169">
        <f>AI107*AI91</f>
        <v>981.62885564958981</v>
      </c>
      <c r="AJ106" s="169">
        <f t="shared" ref="AJ106" si="349">AJ107*AJ91</f>
        <v>1044.2257779810964</v>
      </c>
      <c r="AK106" s="169">
        <f t="shared" ref="AK106" si="350">AK107*AK91</f>
        <v>1068.7377909538855</v>
      </c>
      <c r="AL106" s="170">
        <f>SUM(AH106:AK106)</f>
        <v>4108.8536494895461</v>
      </c>
      <c r="AM106" s="169">
        <f>AM107*AM91</f>
        <v>1128.5087253986717</v>
      </c>
      <c r="AN106" s="169">
        <f>AN107*AN91</f>
        <v>1090.2000195411015</v>
      </c>
      <c r="AO106" s="169">
        <f t="shared" ref="AO106:AP106" si="351">AO107*AO91</f>
        <v>1158.7108469577613</v>
      </c>
      <c r="AP106" s="169">
        <f t="shared" si="351"/>
        <v>1184.4911242474784</v>
      </c>
      <c r="AQ106" s="170">
        <f>SUM(AM106:AP106)</f>
        <v>4561.9107161450129</v>
      </c>
    </row>
    <row r="107" spans="1:43" s="472" customFormat="1" outlineLevel="1" x14ac:dyDescent="0.25">
      <c r="A107" s="470"/>
      <c r="B107" s="466" t="s">
        <v>340</v>
      </c>
      <c r="C107" s="477"/>
      <c r="D107" s="474">
        <f>D106/D91</f>
        <v>0.47234175729598632</v>
      </c>
      <c r="E107" s="474">
        <f t="shared" ref="E107" si="352">E106/E91</f>
        <v>0.4722773789521918</v>
      </c>
      <c r="F107" s="474">
        <f t="shared" ref="F107" si="353">F106/F91</f>
        <v>0.45032525133057366</v>
      </c>
      <c r="G107" s="474">
        <f t="shared" ref="G107" si="354">G106/G91</f>
        <v>0.45390987157078799</v>
      </c>
      <c r="H107" s="475">
        <f>H106/H91</f>
        <v>0.46204482325634483</v>
      </c>
      <c r="I107" s="474">
        <f t="shared" ref="I107" si="355">I106/I91</f>
        <v>0.46354126899289916</v>
      </c>
      <c r="J107" s="474">
        <f t="shared" ref="J107" si="356">J106/J91</f>
        <v>0.62367021276595747</v>
      </c>
      <c r="K107" s="474">
        <f t="shared" ref="K107" si="357">K106/K91</f>
        <v>0.5521416333523701</v>
      </c>
      <c r="L107" s="474">
        <f t="shared" ref="L107" si="358">L106/L91</f>
        <v>0.47970422860663942</v>
      </c>
      <c r="M107" s="475">
        <f>M106/M91</f>
        <v>0.51895848058551275</v>
      </c>
      <c r="N107" s="474">
        <f>N106/N91</f>
        <v>0.43594367760282998</v>
      </c>
      <c r="O107" s="474">
        <f t="shared" ref="O107:P107" si="359">O106/O91</f>
        <v>0.44789485087022463</v>
      </c>
      <c r="P107" s="474">
        <f t="shared" si="359"/>
        <v>0.4326379683248448</v>
      </c>
      <c r="Q107" s="476">
        <f>AVERAGE(N107:P107)</f>
        <v>0.43882549893263317</v>
      </c>
      <c r="R107" s="475">
        <f>R106/R91</f>
        <v>0.43874628077126937</v>
      </c>
      <c r="S107" s="476">
        <f>Q107+0.25%</f>
        <v>0.44132549893263318</v>
      </c>
      <c r="T107" s="476">
        <f>S107</f>
        <v>0.44132549893263318</v>
      </c>
      <c r="U107" s="476">
        <f>T107</f>
        <v>0.44132549893263318</v>
      </c>
      <c r="V107" s="476">
        <f>U107-0.5%</f>
        <v>0.43632549893263317</v>
      </c>
      <c r="W107" s="475">
        <f>W106/W91</f>
        <v>0.4400221884721861</v>
      </c>
      <c r="X107" s="476">
        <f>V107+0.25%</f>
        <v>0.43882549893263317</v>
      </c>
      <c r="Y107" s="476">
        <f>X107</f>
        <v>0.43882549893263317</v>
      </c>
      <c r="Z107" s="476">
        <f>Y107</f>
        <v>0.43882549893263317</v>
      </c>
      <c r="AA107" s="476">
        <f>Z107</f>
        <v>0.43882549893263317</v>
      </c>
      <c r="AB107" s="475">
        <f>AB106/AB91</f>
        <v>0.43882549893263312</v>
      </c>
      <c r="AC107" s="476">
        <f>AA107+0.25%</f>
        <v>0.44132549893263318</v>
      </c>
      <c r="AD107" s="476">
        <f>AC107</f>
        <v>0.44132549893263318</v>
      </c>
      <c r="AE107" s="476">
        <f>AD107</f>
        <v>0.44132549893263318</v>
      </c>
      <c r="AF107" s="476">
        <f>AE107</f>
        <v>0.44132549893263318</v>
      </c>
      <c r="AG107" s="475">
        <f>AG106/AG91</f>
        <v>0.44132549893263318</v>
      </c>
      <c r="AH107" s="476">
        <f>AF107</f>
        <v>0.44132549893263318</v>
      </c>
      <c r="AI107" s="476">
        <f>AH107</f>
        <v>0.44132549893263318</v>
      </c>
      <c r="AJ107" s="476">
        <f>AI107</f>
        <v>0.44132549893263318</v>
      </c>
      <c r="AK107" s="476">
        <f>AJ107</f>
        <v>0.44132549893263318</v>
      </c>
      <c r="AL107" s="475">
        <f>AL106/AL91</f>
        <v>0.44132549893263318</v>
      </c>
      <c r="AM107" s="476">
        <f>AK107</f>
        <v>0.44132549893263318</v>
      </c>
      <c r="AN107" s="476">
        <f>AM107</f>
        <v>0.44132549893263318</v>
      </c>
      <c r="AO107" s="476">
        <f>AN107</f>
        <v>0.44132549893263318</v>
      </c>
      <c r="AP107" s="476">
        <f>AO107</f>
        <v>0.44132549893263318</v>
      </c>
      <c r="AQ107" s="475">
        <f>AQ106/AQ91</f>
        <v>0.44132549893263318</v>
      </c>
    </row>
    <row r="108" spans="1:43" outlineLevel="1" x14ac:dyDescent="0.25">
      <c r="A108" s="253"/>
      <c r="B108" s="407" t="s">
        <v>142</v>
      </c>
      <c r="C108" s="36"/>
      <c r="D108" s="260">
        <v>31.3</v>
      </c>
      <c r="E108" s="260">
        <v>26.3</v>
      </c>
      <c r="F108" s="260">
        <v>26.7</v>
      </c>
      <c r="G108" s="260">
        <v>31.9</v>
      </c>
      <c r="H108" s="170">
        <f>SUM(D108:G108)</f>
        <v>116.19999999999999</v>
      </c>
      <c r="I108" s="260">
        <v>35.9</v>
      </c>
      <c r="J108" s="260">
        <v>31.8</v>
      </c>
      <c r="K108" s="260">
        <v>37.5</v>
      </c>
      <c r="L108" s="169">
        <v>36.200000000000003</v>
      </c>
      <c r="M108" s="170">
        <f>SUM(I108:L108)</f>
        <v>141.4</v>
      </c>
      <c r="N108" s="169">
        <v>34.299999999999997</v>
      </c>
      <c r="O108" s="169">
        <v>29.3</v>
      </c>
      <c r="P108" s="169">
        <v>38.299999999999997</v>
      </c>
      <c r="Q108" s="169">
        <f t="shared" ref="Q108" si="360">Q109*Q103</f>
        <v>40.206353170169436</v>
      </c>
      <c r="R108" s="170">
        <f>SUM(N108:Q108)</f>
        <v>142.10635317016943</v>
      </c>
      <c r="S108" s="169">
        <f>S109*S103</f>
        <v>40.699992927370097</v>
      </c>
      <c r="T108" s="169">
        <f>T109*T103</f>
        <v>39.352242342413966</v>
      </c>
      <c r="U108" s="169">
        <f t="shared" ref="U108" si="361">U109*U103</f>
        <v>41.253397347468095</v>
      </c>
      <c r="V108" s="169">
        <f t="shared" ref="V108" si="362">V109*V103</f>
        <v>43.76773644382434</v>
      </c>
      <c r="W108" s="170">
        <f>SUM(S108:V108)</f>
        <v>165.07336906107651</v>
      </c>
      <c r="X108" s="169">
        <f>X109*X103</f>
        <v>46.411901437835922</v>
      </c>
      <c r="Y108" s="169">
        <f>Y109*Y103</f>
        <v>44.785196251568692</v>
      </c>
      <c r="Z108" s="169">
        <f t="shared" ref="Z108" si="363">Z109*Z103</f>
        <v>46.346936373262011</v>
      </c>
      <c r="AA108" s="169">
        <f t="shared" ref="AA108" si="364">AA109*AA103</f>
        <v>48.791459617758697</v>
      </c>
      <c r="AB108" s="170">
        <f>SUM(X108:AA108)</f>
        <v>186.33549368042534</v>
      </c>
      <c r="AC108" s="169">
        <f>AC109*AC103</f>
        <v>50.487448749587266</v>
      </c>
      <c r="AD108" s="169">
        <f>AD109*AD103</f>
        <v>49.176727625343908</v>
      </c>
      <c r="AE108" s="169">
        <f t="shared" ref="AE108" si="365">AE109*AE103</f>
        <v>51.243974707220183</v>
      </c>
      <c r="AF108" s="169">
        <f t="shared" ref="AF108" si="366">AF109*AF103</f>
        <v>54.361715605728506</v>
      </c>
      <c r="AG108" s="170">
        <f>SUM(AC108:AF108)</f>
        <v>205.26986668787987</v>
      </c>
      <c r="AH108" s="169">
        <f>AH109*AH103</f>
        <v>56.323416191009898</v>
      </c>
      <c r="AI108" s="169">
        <f>AI109*AI103</f>
        <v>54.890676514459884</v>
      </c>
      <c r="AJ108" s="169">
        <f t="shared" ref="AJ108" si="367">AJ109*AJ103</f>
        <v>57.104349142332126</v>
      </c>
      <c r="AK108" s="169">
        <f t="shared" ref="AK108" si="368">AK109*AK103</f>
        <v>60.51433167374659</v>
      </c>
      <c r="AL108" s="170">
        <f>SUM(AH108:AK108)</f>
        <v>228.83277352154852</v>
      </c>
      <c r="AM108" s="169">
        <f>AM109*AM103</f>
        <v>62.722136098098247</v>
      </c>
      <c r="AN108" s="169">
        <f>AN109*AN103</f>
        <v>61.11391045198696</v>
      </c>
      <c r="AO108" s="169">
        <f t="shared" ref="AO108:AP108" si="369">AO109*AO103</f>
        <v>63.392324148711658</v>
      </c>
      <c r="AP108" s="169">
        <f t="shared" si="369"/>
        <v>67.033518475795518</v>
      </c>
      <c r="AQ108" s="170">
        <f>SUM(AM108:AP108)</f>
        <v>254.26188917459237</v>
      </c>
    </row>
    <row r="109" spans="1:43" s="472" customFormat="1" outlineLevel="1" x14ac:dyDescent="0.25">
      <c r="A109" s="470"/>
      <c r="B109" s="466" t="s">
        <v>342</v>
      </c>
      <c r="C109" s="477"/>
      <c r="D109" s="474">
        <f>D108/D103</f>
        <v>2.0811170212765958E-2</v>
      </c>
      <c r="E109" s="474">
        <f t="shared" ref="E109" si="370">E108/E103</f>
        <v>1.7196286125277887E-2</v>
      </c>
      <c r="F109" s="474">
        <f t="shared" ref="F109" si="371">F108/F103</f>
        <v>1.6842238062196431E-2</v>
      </c>
      <c r="G109" s="474">
        <f t="shared" ref="G109:H109" si="372">G108/G103</f>
        <v>2.0291330068061827E-2</v>
      </c>
      <c r="H109" s="475">
        <f t="shared" si="372"/>
        <v>1.8769787426503842E-2</v>
      </c>
      <c r="I109" s="474">
        <f t="shared" ref="I109" si="373">I108/I103</f>
        <v>2.2850232321303544E-2</v>
      </c>
      <c r="J109" s="474">
        <f t="shared" ref="J109" si="374">J108/J103</f>
        <v>2.8027498677948178E-2</v>
      </c>
      <c r="K109" s="474">
        <f t="shared" ref="K109" si="375">K108/K103</f>
        <v>3.9490311710193765E-2</v>
      </c>
      <c r="L109" s="474">
        <f t="shared" ref="L109:M109" si="376">L108/L103</f>
        <v>2.4257856999262885E-2</v>
      </c>
      <c r="M109" s="475">
        <f t="shared" si="376"/>
        <v>2.7469111819100167E-2</v>
      </c>
      <c r="N109" s="474">
        <f t="shared" ref="N109:P109" si="377">N108/N103</f>
        <v>2.0733845130871061E-2</v>
      </c>
      <c r="O109" s="474">
        <f t="shared" si="377"/>
        <v>1.8188590229064498E-2</v>
      </c>
      <c r="P109" s="474">
        <f t="shared" si="377"/>
        <v>2.3094548962855763E-2</v>
      </c>
      <c r="Q109" s="476">
        <f>AVERAGE(N109:P109)</f>
        <v>2.0672328107597105E-2</v>
      </c>
      <c r="R109" s="475">
        <f t="shared" ref="R109" si="378">R108/R103</f>
        <v>2.068946790726742E-2</v>
      </c>
      <c r="S109" s="476">
        <f>Q109</f>
        <v>2.0672328107597105E-2</v>
      </c>
      <c r="T109" s="476">
        <f>S109</f>
        <v>2.0672328107597105E-2</v>
      </c>
      <c r="U109" s="476">
        <f>T109</f>
        <v>2.0672328107597105E-2</v>
      </c>
      <c r="V109" s="476">
        <f>U109</f>
        <v>2.0672328107597105E-2</v>
      </c>
      <c r="W109" s="475">
        <f t="shared" ref="W109" si="379">W108/W103</f>
        <v>2.0672328107597105E-2</v>
      </c>
      <c r="X109" s="476">
        <f>V109</f>
        <v>2.0672328107597105E-2</v>
      </c>
      <c r="Y109" s="476">
        <f>X109</f>
        <v>2.0672328107597105E-2</v>
      </c>
      <c r="Z109" s="476">
        <f>Y109</f>
        <v>2.0672328107597105E-2</v>
      </c>
      <c r="AA109" s="476">
        <f>Z109</f>
        <v>2.0672328107597105E-2</v>
      </c>
      <c r="AB109" s="475">
        <f t="shared" ref="AB109" si="380">AB108/AB103</f>
        <v>2.0672328107597105E-2</v>
      </c>
      <c r="AC109" s="476">
        <f>AA109</f>
        <v>2.0672328107597105E-2</v>
      </c>
      <c r="AD109" s="476">
        <f>AC109</f>
        <v>2.0672328107597105E-2</v>
      </c>
      <c r="AE109" s="476">
        <f>AD109</f>
        <v>2.0672328107597105E-2</v>
      </c>
      <c r="AF109" s="476">
        <f>AE109</f>
        <v>2.0672328107597105E-2</v>
      </c>
      <c r="AG109" s="475">
        <f t="shared" ref="AG109" si="381">AG108/AG103</f>
        <v>2.0672328107597105E-2</v>
      </c>
      <c r="AH109" s="476">
        <f>AF109</f>
        <v>2.0672328107597105E-2</v>
      </c>
      <c r="AI109" s="476">
        <f>AH109</f>
        <v>2.0672328107597105E-2</v>
      </c>
      <c r="AJ109" s="476">
        <f>AI109</f>
        <v>2.0672328107597105E-2</v>
      </c>
      <c r="AK109" s="476">
        <f>AJ109</f>
        <v>2.0672328107597105E-2</v>
      </c>
      <c r="AL109" s="475">
        <f t="shared" ref="AL109" si="382">AL108/AL103</f>
        <v>2.0672328107597105E-2</v>
      </c>
      <c r="AM109" s="476">
        <f>AK109</f>
        <v>2.0672328107597105E-2</v>
      </c>
      <c r="AN109" s="476">
        <f>AM109</f>
        <v>2.0672328107597105E-2</v>
      </c>
      <c r="AO109" s="476">
        <f>AN109</f>
        <v>2.0672328107597105E-2</v>
      </c>
      <c r="AP109" s="476">
        <f>AO109</f>
        <v>2.0672328107597105E-2</v>
      </c>
      <c r="AQ109" s="475">
        <f t="shared" ref="AQ109" si="383">AQ108/AQ103</f>
        <v>2.0672328107597105E-2</v>
      </c>
    </row>
    <row r="110" spans="1:43" outlineLevel="1" x14ac:dyDescent="0.25">
      <c r="A110" s="253"/>
      <c r="B110" s="407" t="s">
        <v>143</v>
      </c>
      <c r="C110" s="36"/>
      <c r="D110" s="286">
        <v>127</v>
      </c>
      <c r="E110" s="286">
        <v>130.4</v>
      </c>
      <c r="F110" s="286">
        <v>127.7</v>
      </c>
      <c r="G110" s="286">
        <v>126.5</v>
      </c>
      <c r="H110" s="59">
        <f>SUM(D110:G110)</f>
        <v>511.59999999999997</v>
      </c>
      <c r="I110" s="286">
        <v>126.6</v>
      </c>
      <c r="J110" s="286">
        <v>130</v>
      </c>
      <c r="K110" s="286">
        <v>128.5</v>
      </c>
      <c r="L110" s="204">
        <v>133.1</v>
      </c>
      <c r="M110" s="59">
        <f>SUM(I110:L110)</f>
        <v>518.20000000000005</v>
      </c>
      <c r="N110" s="204">
        <v>140</v>
      </c>
      <c r="O110" s="204">
        <v>143.4</v>
      </c>
      <c r="P110" s="204">
        <v>129.69999999999999</v>
      </c>
      <c r="Q110" s="204">
        <f>(P110/(P75+P110+P125+P138))*Q245</f>
        <v>138.70448640860403</v>
      </c>
      <c r="R110" s="59">
        <f>SUM(N110:Q110)</f>
        <v>551.80448640860402</v>
      </c>
      <c r="S110" s="204">
        <f>(Q110/(Q75+Q110+Q125+Q138))*S245</f>
        <v>146.62150391974566</v>
      </c>
      <c r="T110" s="204">
        <f>(S110/(S75+S110+S125+S138))*T245</f>
        <v>147.6816967539547</v>
      </c>
      <c r="U110" s="204">
        <f>(T110/(T75+T110+T125+T138))*U245</f>
        <v>148.26771510564382</v>
      </c>
      <c r="V110" s="204">
        <f>(U110/(U75+U110+U125+U138))*V245</f>
        <v>151.09281900669822</v>
      </c>
      <c r="W110" s="59">
        <f>SUM(S110:V110)</f>
        <v>593.66373478604237</v>
      </c>
      <c r="X110" s="204">
        <f>(V110/(V75+V110+V125+V138))*X245</f>
        <v>152.95790915264695</v>
      </c>
      <c r="Y110" s="204">
        <f>(X110/(X75+X110+X125+X138))*Y245</f>
        <v>153.79358754796112</v>
      </c>
      <c r="Z110" s="204">
        <f>(Y110/(Y75+Y110+Y125+Y138))*Z245</f>
        <v>154.48915640990725</v>
      </c>
      <c r="AA110" s="204">
        <f>(Z110/(Z75+Z110+Z125+Z138))*AA245</f>
        <v>156.59748697520135</v>
      </c>
      <c r="AB110" s="59">
        <f>SUM(X110:AA110)</f>
        <v>617.83814008571665</v>
      </c>
      <c r="AC110" s="204">
        <f>(AA110/(AA75+AA110+AA125+AA138))*AC245</f>
        <v>157.96454834186693</v>
      </c>
      <c r="AD110" s="204">
        <f>(AC110/(AC75+AC110+AC125+AC138))*AD245</f>
        <v>158.34461924930318</v>
      </c>
      <c r="AE110" s="204">
        <f>(AD110/(AD75+AD110+AD125+AD138))*AE245</f>
        <v>158.60353148461655</v>
      </c>
      <c r="AF110" s="204">
        <f>(AE110/(AE75+AE110+AE125+AE138))*AF245</f>
        <v>160.1935162507676</v>
      </c>
      <c r="AG110" s="59">
        <f>SUM(AC110:AF110)</f>
        <v>635.10621532655421</v>
      </c>
      <c r="AH110" s="204">
        <f>(AF110/(AF75+AF110+AF125+AF138))*AH245</f>
        <v>161.77279976127107</v>
      </c>
      <c r="AI110" s="204">
        <f>(AH110/(AH75+AH110+AH125+AH138))*AI245</f>
        <v>162.77795394894565</v>
      </c>
      <c r="AJ110" s="204">
        <f>(AI110/(AI75+AI110+AI125+AI138))*AJ245</f>
        <v>163.60142412389879</v>
      </c>
      <c r="AK110" s="204">
        <f>(AJ110/(AJ75+AJ110+AJ125+AJ138))*AK245</f>
        <v>165.81862585027855</v>
      </c>
      <c r="AL110" s="59">
        <f>SUM(AH110:AK110)</f>
        <v>653.97080368439401</v>
      </c>
      <c r="AM110" s="204">
        <f>(AK110/(AK75+AK110+AK125+AK138))*AM245</f>
        <v>167.88012498330221</v>
      </c>
      <c r="AN110" s="204">
        <f>(AM110/(AM75+AM110+AM125+AM138))*AN245</f>
        <v>169.39748191425872</v>
      </c>
      <c r="AO110" s="204">
        <f>(AN110/(AN75+AN110+AN125+AN138))*AO245</f>
        <v>170.67907406686683</v>
      </c>
      <c r="AP110" s="204">
        <f>(AO110/(AO75+AO110+AO125+AO138))*AP245</f>
        <v>173.41081229445038</v>
      </c>
      <c r="AQ110" s="59">
        <f>SUM(AM110:AP110)</f>
        <v>681.36749325887808</v>
      </c>
    </row>
    <row r="111" spans="1:43" outlineLevel="1" x14ac:dyDescent="0.25">
      <c r="A111" s="253"/>
      <c r="B111" s="407" t="s">
        <v>144</v>
      </c>
      <c r="C111" s="36"/>
      <c r="D111" s="260">
        <v>69.3</v>
      </c>
      <c r="E111" s="260">
        <v>80.2</v>
      </c>
      <c r="F111" s="260">
        <v>86</v>
      </c>
      <c r="G111" s="260">
        <v>82.4</v>
      </c>
      <c r="H111" s="170">
        <f>SUM(D111:G111)</f>
        <v>317.89999999999998</v>
      </c>
      <c r="I111" s="260">
        <v>67.2</v>
      </c>
      <c r="J111" s="260">
        <v>63.7</v>
      </c>
      <c r="K111" s="260">
        <v>66.099999999999994</v>
      </c>
      <c r="L111" s="169">
        <v>82.5</v>
      </c>
      <c r="M111" s="170">
        <f>SUM(I111:L111)</f>
        <v>279.5</v>
      </c>
      <c r="N111" s="169">
        <v>82.6</v>
      </c>
      <c r="O111" s="169">
        <v>79.8</v>
      </c>
      <c r="P111" s="169">
        <v>92.3</v>
      </c>
      <c r="Q111" s="169">
        <f t="shared" ref="Q111" si="384">Q112*Q103</f>
        <v>100.56878714026679</v>
      </c>
      <c r="R111" s="170">
        <f>SUM(N111:Q111)</f>
        <v>355.2687871402668</v>
      </c>
      <c r="S111" s="169">
        <f>S112*S103</f>
        <v>101.80353607299813</v>
      </c>
      <c r="T111" s="169">
        <f>T112*T103</f>
        <v>98.432386217079682</v>
      </c>
      <c r="U111" s="169">
        <f t="shared" ref="U111" si="385">U112*U103</f>
        <v>103.18777530234985</v>
      </c>
      <c r="V111" s="169">
        <f t="shared" ref="V111" si="386">V112*V103</f>
        <v>109.47693145410724</v>
      </c>
      <c r="W111" s="170">
        <f>SUM(S111:V111)</f>
        <v>412.90062904653485</v>
      </c>
      <c r="X111" s="169">
        <f>X112*X103</f>
        <v>116.09082317716438</v>
      </c>
      <c r="Y111" s="169">
        <f>Y112*Y103</f>
        <v>112.02191976467945</v>
      </c>
      <c r="Z111" s="169">
        <f t="shared" ref="Z111" si="387">Z112*Z103</f>
        <v>115.92832503357413</v>
      </c>
      <c r="AA111" s="169">
        <f t="shared" ref="AA111" si="388">AA112*AA103</f>
        <v>122.04284969077733</v>
      </c>
      <c r="AB111" s="170">
        <f>SUM(X111:AA111)</f>
        <v>466.08391766619525</v>
      </c>
      <c r="AC111" s="169">
        <f>AC112*AC103</f>
        <v>126.28505413217941</v>
      </c>
      <c r="AD111" s="169">
        <f>AD112*AD103</f>
        <v>123.0065266520477</v>
      </c>
      <c r="AE111" s="169">
        <f t="shared" ref="AE111" si="389">AE112*AE103</f>
        <v>128.17736447620035</v>
      </c>
      <c r="AF111" s="169">
        <f t="shared" ref="AF111" si="390">AF112*AF103</f>
        <v>135.97581909986465</v>
      </c>
      <c r="AG111" s="170">
        <f>SUM(AC111:AF111)</f>
        <v>513.44476436029208</v>
      </c>
      <c r="AH111" s="169">
        <f>AH112*AH103</f>
        <v>140.88265180262454</v>
      </c>
      <c r="AI111" s="169">
        <f>AI112*AI103</f>
        <v>137.29891738760483</v>
      </c>
      <c r="AJ111" s="169">
        <f t="shared" ref="AJ111" si="391">AJ112*AJ103</f>
        <v>142.83601174601316</v>
      </c>
      <c r="AK111" s="169">
        <f t="shared" ref="AK111" si="392">AK112*AK103</f>
        <v>151.36545498853752</v>
      </c>
      <c r="AL111" s="170">
        <f>SUM(AH111:AK111)</f>
        <v>572.38303592478007</v>
      </c>
      <c r="AM111" s="169">
        <f>AM112*AM103</f>
        <v>156.88787111666073</v>
      </c>
      <c r="AN111" s="169">
        <f>AN112*AN103</f>
        <v>152.86519087026417</v>
      </c>
      <c r="AO111" s="169">
        <f t="shared" ref="AO111:AP111" si="393">AO112*AO103</f>
        <v>158.56422308822169</v>
      </c>
      <c r="AP111" s="169">
        <f t="shared" si="393"/>
        <v>167.67200005239894</v>
      </c>
      <c r="AQ111" s="170">
        <f>SUM(AM111:AP111)</f>
        <v>635.98928512754549</v>
      </c>
    </row>
    <row r="112" spans="1:43" s="472" customFormat="1" outlineLevel="1" x14ac:dyDescent="0.25">
      <c r="A112" s="470"/>
      <c r="B112" s="466" t="s">
        <v>343</v>
      </c>
      <c r="C112" s="477"/>
      <c r="D112" s="474">
        <f>D111/D103</f>
        <v>4.6077127659574467E-2</v>
      </c>
      <c r="E112" s="474">
        <f t="shared" ref="E112" si="394">E111/E103</f>
        <v>5.2438864914345497E-2</v>
      </c>
      <c r="F112" s="474">
        <f t="shared" ref="F112" si="395">F111/F103</f>
        <v>5.4248407241531571E-2</v>
      </c>
      <c r="G112" s="474">
        <f t="shared" ref="G112:H112" si="396">G111/G103</f>
        <v>5.2413968577062528E-2</v>
      </c>
      <c r="H112" s="475">
        <f t="shared" si="396"/>
        <v>5.1350390902629703E-2</v>
      </c>
      <c r="I112" s="474">
        <f t="shared" ref="I112" si="397">I111/I103</f>
        <v>4.277257972121444E-2</v>
      </c>
      <c r="J112" s="474">
        <f t="shared" ref="J112" si="398">J111/J103</f>
        <v>5.6143134144191795E-2</v>
      </c>
      <c r="K112" s="474">
        <f t="shared" ref="K112" si="399">K111/K103</f>
        <v>6.9608256107834873E-2</v>
      </c>
      <c r="L112" s="474">
        <f t="shared" ref="L112:M112" si="400">L111/L103</f>
        <v>5.5283790122629503E-2</v>
      </c>
      <c r="M112" s="475">
        <f t="shared" si="400"/>
        <v>5.4297148185562208E-2</v>
      </c>
      <c r="N112" s="474">
        <f t="shared" ref="N112:P112" si="401">N111/N103</f>
        <v>4.9930484192709908E-2</v>
      </c>
      <c r="O112" s="474">
        <f t="shared" si="401"/>
        <v>4.9537525606803648E-2</v>
      </c>
      <c r="P112" s="474">
        <f t="shared" si="401"/>
        <v>5.5656054027978775E-2</v>
      </c>
      <c r="Q112" s="476">
        <f>AVERAGE(N112:P112)</f>
        <v>5.1708021275830775E-2</v>
      </c>
      <c r="R112" s="475">
        <f t="shared" ref="R112" si="402">R111/R103</f>
        <v>5.172409259697567E-2</v>
      </c>
      <c r="S112" s="476">
        <f>Q112</f>
        <v>5.1708021275830775E-2</v>
      </c>
      <c r="T112" s="476">
        <f>S112</f>
        <v>5.1708021275830775E-2</v>
      </c>
      <c r="U112" s="476">
        <f>T112</f>
        <v>5.1708021275830775E-2</v>
      </c>
      <c r="V112" s="476">
        <f>U112</f>
        <v>5.1708021275830775E-2</v>
      </c>
      <c r="W112" s="475">
        <f t="shared" ref="W112" si="403">W111/W103</f>
        <v>5.1708021275830768E-2</v>
      </c>
      <c r="X112" s="476">
        <f>V112</f>
        <v>5.1708021275830775E-2</v>
      </c>
      <c r="Y112" s="476">
        <f>X112</f>
        <v>5.1708021275830775E-2</v>
      </c>
      <c r="Z112" s="476">
        <f>Y112</f>
        <v>5.1708021275830775E-2</v>
      </c>
      <c r="AA112" s="476">
        <f>Z112</f>
        <v>5.1708021275830775E-2</v>
      </c>
      <c r="AB112" s="475">
        <f t="shared" ref="AB112" si="404">AB111/AB103</f>
        <v>5.1708021275830768E-2</v>
      </c>
      <c r="AC112" s="476">
        <f>AA112</f>
        <v>5.1708021275830775E-2</v>
      </c>
      <c r="AD112" s="476">
        <f>AC112</f>
        <v>5.1708021275830775E-2</v>
      </c>
      <c r="AE112" s="476">
        <f>AD112</f>
        <v>5.1708021275830775E-2</v>
      </c>
      <c r="AF112" s="476">
        <f>AE112</f>
        <v>5.1708021275830775E-2</v>
      </c>
      <c r="AG112" s="475">
        <f t="shared" ref="AG112" si="405">AG111/AG103</f>
        <v>5.1708021275830768E-2</v>
      </c>
      <c r="AH112" s="476">
        <f>AF112</f>
        <v>5.1708021275830775E-2</v>
      </c>
      <c r="AI112" s="476">
        <f>AH112</f>
        <v>5.1708021275830775E-2</v>
      </c>
      <c r="AJ112" s="476">
        <f>AI112</f>
        <v>5.1708021275830775E-2</v>
      </c>
      <c r="AK112" s="476">
        <f>AJ112</f>
        <v>5.1708021275830775E-2</v>
      </c>
      <c r="AL112" s="475">
        <f t="shared" ref="AL112" si="406">AL111/AL103</f>
        <v>5.1708021275830768E-2</v>
      </c>
      <c r="AM112" s="476">
        <f>AK112</f>
        <v>5.1708021275830775E-2</v>
      </c>
      <c r="AN112" s="476">
        <f>AM112</f>
        <v>5.1708021275830775E-2</v>
      </c>
      <c r="AO112" s="476">
        <f>AN112</f>
        <v>5.1708021275830775E-2</v>
      </c>
      <c r="AP112" s="476">
        <f>AO112</f>
        <v>5.1708021275830775E-2</v>
      </c>
      <c r="AQ112" s="475">
        <f t="shared" ref="AQ112" si="407">AQ111/AQ103</f>
        <v>5.1708021275830775E-2</v>
      </c>
    </row>
    <row r="113" spans="1:43" ht="17.25" outlineLevel="1" x14ac:dyDescent="0.4">
      <c r="A113" s="253"/>
      <c r="B113" s="407" t="s">
        <v>152</v>
      </c>
      <c r="C113" s="36"/>
      <c r="D113" s="287">
        <v>6.4</v>
      </c>
      <c r="E113" s="287">
        <v>24.2</v>
      </c>
      <c r="F113" s="287">
        <v>16.600000000000001</v>
      </c>
      <c r="G113" s="287">
        <v>12</v>
      </c>
      <c r="H113" s="209">
        <f>SUM(D113:G113)</f>
        <v>59.2</v>
      </c>
      <c r="I113" s="287">
        <v>0.8</v>
      </c>
      <c r="J113" s="287">
        <v>-1.2</v>
      </c>
      <c r="K113" s="287">
        <v>-0.2</v>
      </c>
      <c r="L113" s="205">
        <v>-0.6</v>
      </c>
      <c r="M113" s="209">
        <f>SUM(I113:L113)</f>
        <v>-1.1999999999999997</v>
      </c>
      <c r="N113" s="205">
        <v>0</v>
      </c>
      <c r="O113" s="287">
        <v>0</v>
      </c>
      <c r="P113" s="287">
        <v>0</v>
      </c>
      <c r="Q113" s="291">
        <v>0</v>
      </c>
      <c r="R113" s="209">
        <f>SUM(N113:Q113)</f>
        <v>0</v>
      </c>
      <c r="S113" s="291">
        <v>0</v>
      </c>
      <c r="T113" s="291">
        <v>0</v>
      </c>
      <c r="U113" s="291">
        <v>0</v>
      </c>
      <c r="V113" s="291">
        <v>0</v>
      </c>
      <c r="W113" s="209">
        <f>SUM(S113:V113)</f>
        <v>0</v>
      </c>
      <c r="X113" s="291">
        <v>0</v>
      </c>
      <c r="Y113" s="291">
        <v>0</v>
      </c>
      <c r="Z113" s="291">
        <v>0</v>
      </c>
      <c r="AA113" s="291">
        <v>0</v>
      </c>
      <c r="AB113" s="209">
        <f>SUM(X113:AA113)</f>
        <v>0</v>
      </c>
      <c r="AC113" s="291">
        <v>0</v>
      </c>
      <c r="AD113" s="291">
        <v>0</v>
      </c>
      <c r="AE113" s="291">
        <v>0</v>
      </c>
      <c r="AF113" s="291">
        <v>0</v>
      </c>
      <c r="AG113" s="209">
        <f>SUM(AC113:AF113)</f>
        <v>0</v>
      </c>
      <c r="AH113" s="291">
        <v>0</v>
      </c>
      <c r="AI113" s="291">
        <v>0</v>
      </c>
      <c r="AJ113" s="291">
        <v>0</v>
      </c>
      <c r="AK113" s="291">
        <v>0</v>
      </c>
      <c r="AL113" s="209">
        <f>SUM(AH113:AK113)</f>
        <v>0</v>
      </c>
      <c r="AM113" s="291">
        <v>0</v>
      </c>
      <c r="AN113" s="291">
        <v>0</v>
      </c>
      <c r="AO113" s="291">
        <v>0</v>
      </c>
      <c r="AP113" s="291">
        <v>0</v>
      </c>
      <c r="AQ113" s="209">
        <f>SUM(AM113:AP113)</f>
        <v>0</v>
      </c>
    </row>
    <row r="114" spans="1:43" outlineLevel="1" x14ac:dyDescent="0.25">
      <c r="A114" s="253"/>
      <c r="B114" s="167" t="s">
        <v>299</v>
      </c>
      <c r="C114" s="39"/>
      <c r="D114" s="258">
        <f>D104+D106+D108+D110+D111+D113</f>
        <v>1300.4000000000001</v>
      </c>
      <c r="E114" s="258">
        <f t="shared" ref="E114:G114" si="408">E104+E106+E108+E110+E111+E113</f>
        <v>1349.7</v>
      </c>
      <c r="F114" s="258">
        <f t="shared" si="408"/>
        <v>1342.3000000000002</v>
      </c>
      <c r="G114" s="258">
        <f t="shared" si="408"/>
        <v>1336.2000000000003</v>
      </c>
      <c r="H114" s="450">
        <f>H104+H106+H108+H110+H111+H113</f>
        <v>5328.5999999999995</v>
      </c>
      <c r="I114" s="258">
        <f>I104+I106+I108+I110+I111+I113</f>
        <v>1326.1</v>
      </c>
      <c r="J114" s="258">
        <f t="shared" ref="J114" si="409">J104+J106+J108+J110+J111+J113</f>
        <v>1174.8</v>
      </c>
      <c r="K114" s="258">
        <f t="shared" ref="K114" si="410">K104+K106+K108+K110+K111+K113</f>
        <v>1052.9999999999998</v>
      </c>
      <c r="L114" s="258">
        <f t="shared" ref="L114" si="411">L104+L106+L108+L110+L111+L113</f>
        <v>1342</v>
      </c>
      <c r="M114" s="450">
        <f>M104+M106+M108+M110+M111+M113</f>
        <v>4895.9000000000005</v>
      </c>
      <c r="N114" s="258">
        <f>N104+N106+N108+N110+N111+N113</f>
        <v>1405.8</v>
      </c>
      <c r="O114" s="258">
        <f t="shared" ref="O114" si="412">O104+O106+O108+O110+O111+O113</f>
        <v>1386.2</v>
      </c>
      <c r="P114" s="258">
        <f t="shared" ref="P114" si="413">P104+P106+P108+P110+P111+P113</f>
        <v>1382.1</v>
      </c>
      <c r="Q114" s="258">
        <f t="shared" ref="Q114" si="414">Q104+Q106+Q108+Q110+Q111+Q113</f>
        <v>1592.6682066285309</v>
      </c>
      <c r="R114" s="450">
        <f>R104+R106+R108+R110+R111+R113</f>
        <v>5766.7682066285315</v>
      </c>
      <c r="S114" s="258">
        <f>S104+S106+S108+S110+S111+S113</f>
        <v>1639.2033057677079</v>
      </c>
      <c r="T114" s="258">
        <f t="shared" ref="T114" si="415">T104+T106+T108+T110+T111+T113</f>
        <v>1589.2968698343834</v>
      </c>
      <c r="U114" s="258">
        <f t="shared" ref="U114" si="416">U104+U106+U108+U110+U111+U113</f>
        <v>1674.4086578799222</v>
      </c>
      <c r="V114" s="258">
        <f t="shared" ref="V114" si="417">V104+V106+V108+V110+V111+V113</f>
        <v>1723.0144338337543</v>
      </c>
      <c r="W114" s="450">
        <f>W104+W106+W108+W110+W111+W113</f>
        <v>6625.9232673157676</v>
      </c>
      <c r="X114" s="258">
        <f>X104+X106+X108+X110+X111+X113</f>
        <v>1852.97712039366</v>
      </c>
      <c r="Y114" s="258">
        <f t="shared" ref="Y114" si="418">Y104+Y106+Y108+Y110+Y111+Y113</f>
        <v>1789.3902856623592</v>
      </c>
      <c r="Z114" s="258">
        <f t="shared" ref="Z114" si="419">Z104+Z106+Z108+Z110+Z111+Z113</f>
        <v>1861.2593384162788</v>
      </c>
      <c r="AA114" s="258">
        <f t="shared" ref="AA114" si="420">AA104+AA106+AA108+AA110+AA111+AA113</f>
        <v>1920.38326560168</v>
      </c>
      <c r="AB114" s="450">
        <f>AB104+AB106+AB108+AB110+AB111+AB113</f>
        <v>7424.0100100739783</v>
      </c>
      <c r="AC114" s="258">
        <f>AC104+AC106+AC108+AC110+AC111+AC113</f>
        <v>2013.095765444727</v>
      </c>
      <c r="AD114" s="258">
        <f t="shared" ref="AD114" si="421">AD104+AD106+AD108+AD110+AD111+AD113</f>
        <v>1960.2357572788833</v>
      </c>
      <c r="AE114" s="258">
        <f t="shared" ref="AE114" si="422">AE104+AE106+AE108+AE110+AE111+AE113</f>
        <v>2055.0361192185696</v>
      </c>
      <c r="AF114" s="258">
        <f t="shared" ref="AF114" si="423">AF104+AF106+AF108+AF110+AF111+AF113</f>
        <v>2137.0044096267584</v>
      </c>
      <c r="AG114" s="450">
        <f>AG104+AG106+AG108+AG110+AG111+AG113</f>
        <v>8165.3720515689383</v>
      </c>
      <c r="AH114" s="258">
        <f>AH104+AH106+AH108+AH110+AH111+AH113</f>
        <v>2229.9939223302799</v>
      </c>
      <c r="AI114" s="258">
        <f t="shared" ref="AI114" si="424">AI104+AI106+AI108+AI110+AI111+AI113</f>
        <v>2171.5563632707417</v>
      </c>
      <c r="AJ114" s="258">
        <f t="shared" ref="AJ114" si="425">AJ104+AJ106+AJ108+AJ110+AJ111+AJ113</f>
        <v>2276.4004181563009</v>
      </c>
      <c r="AK114" s="258">
        <f t="shared" ref="AK114" si="426">AK104+AK106+AK108+AK110+AK111+AK113</f>
        <v>2366.9394136339906</v>
      </c>
      <c r="AL114" s="450">
        <f>AL104+AL106+AL108+AL110+AL111+AL113</f>
        <v>9044.8901173913127</v>
      </c>
      <c r="AM114" s="258">
        <f>AM104+AM106+AM108+AM110+AM111+AM113</f>
        <v>2470.0857000019178</v>
      </c>
      <c r="AN114" s="258">
        <f t="shared" ref="AN114:AP114" si="427">AN104+AN106+AN108+AN110+AN111+AN113</f>
        <v>2403.2002010392362</v>
      </c>
      <c r="AO114" s="258">
        <f t="shared" si="427"/>
        <v>2515.6277594021553</v>
      </c>
      <c r="AP114" s="258">
        <f t="shared" si="427"/>
        <v>2612.2761391508698</v>
      </c>
      <c r="AQ114" s="450">
        <f>AQ104+AQ106+AQ108+AQ110+AQ111+AQ113</f>
        <v>10001.189799594178</v>
      </c>
    </row>
    <row r="115" spans="1:43" ht="17.25" outlineLevel="1" x14ac:dyDescent="0.4">
      <c r="A115" s="253"/>
      <c r="B115" s="407" t="s">
        <v>145</v>
      </c>
      <c r="C115" s="36"/>
      <c r="D115" s="287">
        <v>26.4</v>
      </c>
      <c r="E115" s="259">
        <v>22.1</v>
      </c>
      <c r="F115" s="259">
        <v>27.2</v>
      </c>
      <c r="G115" s="259">
        <v>26.8</v>
      </c>
      <c r="H115" s="480">
        <f>SUM(D115:G115)</f>
        <v>102.5</v>
      </c>
      <c r="I115" s="259">
        <v>30.9</v>
      </c>
      <c r="J115" s="259">
        <v>24.8</v>
      </c>
      <c r="K115" s="259">
        <v>17.399999999999999</v>
      </c>
      <c r="L115" s="259">
        <v>29.2</v>
      </c>
      <c r="M115" s="480">
        <f>SUM(I115:L115)</f>
        <v>102.3</v>
      </c>
      <c r="N115" s="259">
        <v>26.3</v>
      </c>
      <c r="O115" s="259">
        <v>26.8</v>
      </c>
      <c r="P115" s="259">
        <v>42</v>
      </c>
      <c r="Q115" s="177">
        <f>AVERAGE(P115,O115,N115,L115)</f>
        <v>31.074999999999999</v>
      </c>
      <c r="R115" s="480">
        <f>SUM(N115:Q115)</f>
        <v>126.175</v>
      </c>
      <c r="S115" s="177">
        <f>AVERAGE(Q115,P115,O115,N115)</f>
        <v>31.543749999999999</v>
      </c>
      <c r="T115" s="177">
        <f>AVERAGE(S115,Q115,P115,O115)</f>
        <v>32.854687500000004</v>
      </c>
      <c r="U115" s="177">
        <f>AVERAGE(T115,S115,Q115,P115)</f>
        <v>34.368359374999997</v>
      </c>
      <c r="V115" s="177">
        <f>AVERAGE(U115,T115,S115,Q115)</f>
        <v>32.46044921875</v>
      </c>
      <c r="W115" s="480">
        <f>SUM(S115:V115)</f>
        <v>131.22724609375001</v>
      </c>
      <c r="X115" s="177">
        <f>AVERAGE(V115,U115,T115,S115)</f>
        <v>32.806811523437496</v>
      </c>
      <c r="Y115" s="177">
        <f>AVERAGE(X115,V115,U115,T115)</f>
        <v>33.122576904296871</v>
      </c>
      <c r="Z115" s="177">
        <f>AVERAGE(Y115,X115,V115,U115)</f>
        <v>33.189549255371091</v>
      </c>
      <c r="AA115" s="177">
        <f>AVERAGE(Z115,Y115,X115,V115)</f>
        <v>32.894846725463864</v>
      </c>
      <c r="AB115" s="480">
        <f>SUM(X115:AA115)</f>
        <v>132.01378440856934</v>
      </c>
      <c r="AC115" s="177">
        <f>AVERAGE(AA115,Z115,Y115,X115)</f>
        <v>33.003446102142327</v>
      </c>
      <c r="AD115" s="177">
        <f>AVERAGE(AC115,AA115,Z115,Y115)</f>
        <v>33.052604746818538</v>
      </c>
      <c r="AE115" s="177">
        <f>AVERAGE(AD115,AC115,AA115,Z115)</f>
        <v>33.035111707448955</v>
      </c>
      <c r="AF115" s="177">
        <f>AVERAGE(AE115,AD115,AC115,AA115)</f>
        <v>32.996502320468423</v>
      </c>
      <c r="AG115" s="480">
        <f>SUM(AC115:AF115)</f>
        <v>132.08766487687825</v>
      </c>
      <c r="AH115" s="177">
        <f>AVERAGE(AF115,AE115,AD115,AC115)</f>
        <v>33.021916219219563</v>
      </c>
      <c r="AI115" s="177">
        <f>AVERAGE(AH115,AF115,AE115,AD115)</f>
        <v>33.026533748488866</v>
      </c>
      <c r="AJ115" s="177">
        <f>AVERAGE(AI115,AH115,AF115,AE115)</f>
        <v>33.020015998906452</v>
      </c>
      <c r="AK115" s="177">
        <f>AVERAGE(AJ115,AI115,AH115,AF115)</f>
        <v>33.016242071770826</v>
      </c>
      <c r="AL115" s="480">
        <f>SUM(AH115:AK115)</f>
        <v>132.08470803838568</v>
      </c>
      <c r="AM115" s="177">
        <f>AVERAGE(AK115,AJ115,AI115,AH115)</f>
        <v>33.021177009596428</v>
      </c>
      <c r="AN115" s="177">
        <f>AVERAGE(AM115,AK115,AJ115,AI115)</f>
        <v>33.020992207190645</v>
      </c>
      <c r="AO115" s="177">
        <f>AVERAGE(AN115,AM115,AK115,AJ115)</f>
        <v>33.019606821866084</v>
      </c>
      <c r="AP115" s="177">
        <f>AVERAGE(AO115,AN115,AM115,AK115)</f>
        <v>33.019504527605996</v>
      </c>
      <c r="AQ115" s="480">
        <f>SUM(AM115:AP115)</f>
        <v>132.08128056625915</v>
      </c>
    </row>
    <row r="116" spans="1:43" outlineLevel="1" x14ac:dyDescent="0.25">
      <c r="A116" s="253"/>
      <c r="B116" s="167" t="s">
        <v>300</v>
      </c>
      <c r="C116" s="144"/>
      <c r="D116" s="364">
        <f>+D103-D114+D115</f>
        <v>229.99999999999991</v>
      </c>
      <c r="E116" s="364">
        <f t="shared" ref="E116:V116" si="428">+E103-E114+E115</f>
        <v>201.80000000000004</v>
      </c>
      <c r="F116" s="364">
        <f t="shared" si="428"/>
        <v>270.19999999999976</v>
      </c>
      <c r="G116" s="364">
        <f t="shared" si="428"/>
        <v>262.69999999999987</v>
      </c>
      <c r="H116" s="238">
        <f>SUM(D116:G116)</f>
        <v>964.69999999999959</v>
      </c>
      <c r="I116" s="364">
        <f t="shared" si="428"/>
        <v>275.89999999999998</v>
      </c>
      <c r="J116" s="364">
        <f t="shared" si="428"/>
        <v>-15.400000000000045</v>
      </c>
      <c r="K116" s="364">
        <f>+K103-K114+K115</f>
        <v>-85.999999999999744</v>
      </c>
      <c r="L116" s="206">
        <f t="shared" si="428"/>
        <v>179.49999999999994</v>
      </c>
      <c r="M116" s="238">
        <f>SUM(I116:L116)</f>
        <v>354.00000000000011</v>
      </c>
      <c r="N116" s="206">
        <f t="shared" si="428"/>
        <v>274.8</v>
      </c>
      <c r="O116" s="206">
        <f t="shared" si="428"/>
        <v>251.50000000000006</v>
      </c>
      <c r="P116" s="206">
        <f t="shared" si="428"/>
        <v>318.29999999999995</v>
      </c>
      <c r="Q116" s="206">
        <f t="shared" si="428"/>
        <v>383.34269806976744</v>
      </c>
      <c r="R116" s="238">
        <f>SUM(N116:Q116)</f>
        <v>1227.9426980697674</v>
      </c>
      <c r="S116" s="206">
        <f t="shared" si="428"/>
        <v>361.15560213474436</v>
      </c>
      <c r="T116" s="206">
        <f t="shared" si="428"/>
        <v>347.17709739018579</v>
      </c>
      <c r="U116" s="206">
        <f t="shared" si="428"/>
        <v>355.54515915368671</v>
      </c>
      <c r="V116" s="206">
        <f t="shared" si="428"/>
        <v>426.65972329531292</v>
      </c>
      <c r="W116" s="238">
        <f>SUM(S116:V116)</f>
        <v>1490.5375819739297</v>
      </c>
      <c r="X116" s="206">
        <f t="shared" ref="X116:AA116" si="429">+X103-X114+X115</f>
        <v>424.95182716918629</v>
      </c>
      <c r="Y116" s="206">
        <f t="shared" si="429"/>
        <v>410.16444239912056</v>
      </c>
      <c r="Z116" s="206">
        <f t="shared" si="429"/>
        <v>413.909736900768</v>
      </c>
      <c r="AA116" s="206">
        <f t="shared" si="429"/>
        <v>472.74209622613358</v>
      </c>
      <c r="AB116" s="238">
        <f>SUM(X116:AA116)</f>
        <v>1721.7681026952084</v>
      </c>
      <c r="AC116" s="206">
        <f t="shared" ref="AC116:AF116" si="430">+AC103-AC114+AC115</f>
        <v>462.17971150008907</v>
      </c>
      <c r="AD116" s="206">
        <f t="shared" si="430"/>
        <v>451.68425753344235</v>
      </c>
      <c r="AE116" s="206">
        <f t="shared" si="430"/>
        <v>456.86709290316975</v>
      </c>
      <c r="AF116" s="206">
        <f t="shared" si="430"/>
        <v>525.67730873623736</v>
      </c>
      <c r="AG116" s="238">
        <f>SUM(AC116:AF116)</f>
        <v>1896.4083706729386</v>
      </c>
      <c r="AH116" s="206">
        <f t="shared" ref="AH116:AK116" si="431">+AH103-AH114+AH115</f>
        <v>527.60821039154894</v>
      </c>
      <c r="AI116" s="206">
        <f t="shared" si="431"/>
        <v>516.74325964120226</v>
      </c>
      <c r="AJ116" s="206">
        <f t="shared" si="431"/>
        <v>518.97654405159142</v>
      </c>
      <c r="AK116" s="206">
        <f t="shared" si="431"/>
        <v>593.38774178902008</v>
      </c>
      <c r="AL116" s="238">
        <f>SUM(AH116:AK116)</f>
        <v>2156.7157558733625</v>
      </c>
      <c r="AM116" s="206">
        <f t="shared" ref="AM116:AP116" si="432">+AM103-AM114+AM115</f>
        <v>597.04637983568614</v>
      </c>
      <c r="AN116" s="206">
        <f t="shared" si="432"/>
        <v>586.13563552878509</v>
      </c>
      <c r="AO116" s="206">
        <f t="shared" si="432"/>
        <v>583.9223232694485</v>
      </c>
      <c r="AP116" s="206">
        <f t="shared" si="432"/>
        <v>663.41241198308455</v>
      </c>
      <c r="AQ116" s="238">
        <f>SUM(AM116:AP116)</f>
        <v>2430.5167506170042</v>
      </c>
    </row>
    <row r="117" spans="1:43" outlineLevel="1" x14ac:dyDescent="0.25">
      <c r="A117" s="253"/>
      <c r="B117" s="167" t="s">
        <v>301</v>
      </c>
      <c r="C117" s="144"/>
      <c r="D117" s="365">
        <f t="shared" ref="D117:G117" si="433">+D116/D103</f>
        <v>0.15292553191489355</v>
      </c>
      <c r="E117" s="365">
        <f t="shared" si="433"/>
        <v>0.1319471688243756</v>
      </c>
      <c r="F117" s="365">
        <f t="shared" si="433"/>
        <v>0.17044092600769556</v>
      </c>
      <c r="G117" s="365">
        <f t="shared" si="433"/>
        <v>0.16710132943196987</v>
      </c>
      <c r="H117" s="239">
        <f>H116/H103</f>
        <v>0.15582800284292814</v>
      </c>
      <c r="I117" s="365">
        <f t="shared" ref="I117:L117" si="434">+I116/I103</f>
        <v>0.17560944561135511</v>
      </c>
      <c r="J117" s="365">
        <f t="shared" si="434"/>
        <v>-1.3573065397496956E-2</v>
      </c>
      <c r="K117" s="365">
        <f t="shared" si="434"/>
        <v>-9.0564448188710761E-2</v>
      </c>
      <c r="L117" s="207">
        <f t="shared" si="434"/>
        <v>0.12028412517590294</v>
      </c>
      <c r="M117" s="239">
        <f>M116/M103</f>
        <v>6.8769912192089541E-2</v>
      </c>
      <c r="N117" s="207">
        <f t="shared" ref="N117:Q117" si="435">+N116/N103</f>
        <v>0.16611255515928189</v>
      </c>
      <c r="O117" s="207">
        <f t="shared" si="435"/>
        <v>0.1561239058911168</v>
      </c>
      <c r="P117" s="207">
        <f t="shared" si="435"/>
        <v>0.19193198263386396</v>
      </c>
      <c r="Q117" s="207">
        <f t="shared" si="435"/>
        <v>0.19709785661509097</v>
      </c>
      <c r="R117" s="239">
        <f>R116/R103</f>
        <v>0.17877793973964895</v>
      </c>
      <c r="S117" s="207">
        <f t="shared" ref="S117:V117" si="436">+S116/S103</f>
        <v>0.18343804429031033</v>
      </c>
      <c r="T117" s="207">
        <f t="shared" si="436"/>
        <v>0.18237738033437975</v>
      </c>
      <c r="U117" s="207">
        <f t="shared" si="436"/>
        <v>0.17816583989885484</v>
      </c>
      <c r="V117" s="207">
        <f t="shared" si="436"/>
        <v>0.20151944118878043</v>
      </c>
      <c r="W117" s="239">
        <f>W116/W103</f>
        <v>0.18666173790800167</v>
      </c>
      <c r="X117" s="207">
        <f t="shared" ref="X117:AA117" si="437">+X116/X103</f>
        <v>0.18927782161501394</v>
      </c>
      <c r="Y117" s="207">
        <f t="shared" si="437"/>
        <v>0.18932715810187473</v>
      </c>
      <c r="Z117" s="207">
        <f t="shared" si="437"/>
        <v>0.18461798249685782</v>
      </c>
      <c r="AA117" s="207">
        <f t="shared" si="437"/>
        <v>0.2002948835722656</v>
      </c>
      <c r="AB117" s="239">
        <f>AB116/AB103</f>
        <v>0.19101543372704929</v>
      </c>
      <c r="AC117" s="207">
        <f t="shared" ref="AC117:AF117" si="438">+AC116/AC103</f>
        <v>0.18924170021331327</v>
      </c>
      <c r="AD117" s="207">
        <f t="shared" si="438"/>
        <v>0.18987365820485316</v>
      </c>
      <c r="AE117" s="207">
        <f t="shared" si="438"/>
        <v>0.18430472070168399</v>
      </c>
      <c r="AF117" s="207">
        <f t="shared" si="438"/>
        <v>0.19990122982375091</v>
      </c>
      <c r="AG117" s="239">
        <f>AG116/AG103</f>
        <v>0.19098359002763149</v>
      </c>
      <c r="AH117" s="207">
        <f t="shared" ref="AH117:AK117" si="439">+AH116/AH103</f>
        <v>0.19364752309212976</v>
      </c>
      <c r="AI117" s="207">
        <f t="shared" si="439"/>
        <v>0.19461021231680634</v>
      </c>
      <c r="AJ117" s="207">
        <f t="shared" si="439"/>
        <v>0.18787454125500561</v>
      </c>
      <c r="AK117" s="207">
        <f t="shared" si="439"/>
        <v>0.20270745382139774</v>
      </c>
      <c r="AL117" s="239">
        <f>AL116/AL103</f>
        <v>0.19483369909878784</v>
      </c>
      <c r="AM117" s="207">
        <f t="shared" ref="AM117:AP117" si="440">+AM116/AM103</f>
        <v>0.19677803447434844</v>
      </c>
      <c r="AN117" s="207">
        <f t="shared" si="440"/>
        <v>0.19826563352913462</v>
      </c>
      <c r="AO117" s="207">
        <f t="shared" si="440"/>
        <v>0.19041790970873793</v>
      </c>
      <c r="AP117" s="207">
        <f t="shared" si="440"/>
        <v>0.20458838149930419</v>
      </c>
      <c r="AQ117" s="239">
        <f>AQ116/AQ103</f>
        <v>0.19760900818787064</v>
      </c>
    </row>
    <row r="118" spans="1:43" ht="18" x14ac:dyDescent="0.4">
      <c r="A118" s="253"/>
      <c r="B118" s="532" t="s">
        <v>173</v>
      </c>
      <c r="C118" s="533"/>
      <c r="D118" s="32" t="s">
        <v>119</v>
      </c>
      <c r="E118" s="32" t="s">
        <v>243</v>
      </c>
      <c r="F118" s="32" t="s">
        <v>247</v>
      </c>
      <c r="G118" s="32" t="s">
        <v>257</v>
      </c>
      <c r="H118" s="86" t="s">
        <v>258</v>
      </c>
      <c r="I118" s="32" t="s">
        <v>259</v>
      </c>
      <c r="J118" s="32" t="s">
        <v>260</v>
      </c>
      <c r="K118" s="32" t="s">
        <v>261</v>
      </c>
      <c r="L118" s="32" t="s">
        <v>322</v>
      </c>
      <c r="M118" s="86" t="s">
        <v>333</v>
      </c>
      <c r="N118" s="32" t="s">
        <v>339</v>
      </c>
      <c r="O118" s="32" t="s">
        <v>347</v>
      </c>
      <c r="P118" s="32" t="s">
        <v>349</v>
      </c>
      <c r="Q118" s="30" t="s">
        <v>129</v>
      </c>
      <c r="R118" s="89" t="s">
        <v>130</v>
      </c>
      <c r="S118" s="30" t="s">
        <v>131</v>
      </c>
      <c r="T118" s="30" t="s">
        <v>132</v>
      </c>
      <c r="U118" s="30" t="s">
        <v>133</v>
      </c>
      <c r="V118" s="30" t="s">
        <v>134</v>
      </c>
      <c r="W118" s="89" t="s">
        <v>135</v>
      </c>
      <c r="X118" s="30" t="s">
        <v>136</v>
      </c>
      <c r="Y118" s="30" t="s">
        <v>137</v>
      </c>
      <c r="Z118" s="30" t="s">
        <v>138</v>
      </c>
      <c r="AA118" s="30" t="s">
        <v>139</v>
      </c>
      <c r="AB118" s="89" t="s">
        <v>140</v>
      </c>
      <c r="AC118" s="30" t="s">
        <v>252</v>
      </c>
      <c r="AD118" s="30" t="s">
        <v>253</v>
      </c>
      <c r="AE118" s="30" t="s">
        <v>254</v>
      </c>
      <c r="AF118" s="30" t="s">
        <v>255</v>
      </c>
      <c r="AG118" s="89" t="s">
        <v>256</v>
      </c>
      <c r="AH118" s="30" t="s">
        <v>285</v>
      </c>
      <c r="AI118" s="30" t="s">
        <v>286</v>
      </c>
      <c r="AJ118" s="30" t="s">
        <v>287</v>
      </c>
      <c r="AK118" s="30" t="s">
        <v>288</v>
      </c>
      <c r="AL118" s="89" t="s">
        <v>289</v>
      </c>
      <c r="AM118" s="30" t="s">
        <v>356</v>
      </c>
      <c r="AN118" s="30" t="s">
        <v>357</v>
      </c>
      <c r="AO118" s="30" t="s">
        <v>358</v>
      </c>
      <c r="AP118" s="30" t="s">
        <v>359</v>
      </c>
      <c r="AQ118" s="89" t="s">
        <v>360</v>
      </c>
    </row>
    <row r="119" spans="1:43" s="20" customFormat="1" outlineLevel="1" x14ac:dyDescent="0.25">
      <c r="A119" s="268"/>
      <c r="B119" s="552" t="s">
        <v>302</v>
      </c>
      <c r="C119" s="553"/>
      <c r="D119" s="171">
        <v>504.6</v>
      </c>
      <c r="E119" s="171">
        <v>446.6</v>
      </c>
      <c r="F119" s="258">
        <v>533.29999999999995</v>
      </c>
      <c r="G119" s="171">
        <v>508.1</v>
      </c>
      <c r="H119" s="59">
        <f>SUM(D119:G119)</f>
        <v>1992.6</v>
      </c>
      <c r="I119" s="171">
        <v>494.6</v>
      </c>
      <c r="J119" s="171">
        <v>519.1</v>
      </c>
      <c r="K119" s="171">
        <v>447.3</v>
      </c>
      <c r="L119" s="171">
        <v>464</v>
      </c>
      <c r="M119" s="59">
        <f>SUM(I119:L119)</f>
        <v>1925</v>
      </c>
      <c r="N119" s="171">
        <v>371.4</v>
      </c>
      <c r="O119" s="171">
        <v>369.9</v>
      </c>
      <c r="P119" s="171">
        <v>414</v>
      </c>
      <c r="Q119" s="171">
        <f t="shared" ref="Q119" si="441">+L119*(1+Q120)</f>
        <v>394.70000000000005</v>
      </c>
      <c r="R119" s="460">
        <f>SUM(N119:Q119)</f>
        <v>1550</v>
      </c>
      <c r="S119" s="171">
        <f>+N119*(1+S120)</f>
        <v>391.82699999999994</v>
      </c>
      <c r="T119" s="171">
        <f>+O119*(1+T120)</f>
        <v>390.24449999999996</v>
      </c>
      <c r="U119" s="171">
        <f>+P119*(1+U120)</f>
        <v>436.77</v>
      </c>
      <c r="V119" s="171">
        <f t="shared" ref="V119" si="442">+Q119*(1+V120)</f>
        <v>416.4085</v>
      </c>
      <c r="W119" s="59">
        <f>SUM(S119:V119)</f>
        <v>1635.25</v>
      </c>
      <c r="X119" s="171">
        <f>+S119*(1+X120)</f>
        <v>415.33661999999998</v>
      </c>
      <c r="Y119" s="171">
        <f>+T119*(1+Y120)</f>
        <v>413.65916999999996</v>
      </c>
      <c r="Z119" s="171">
        <f>+U119*(1+Z120)</f>
        <v>462.97620000000001</v>
      </c>
      <c r="AA119" s="171">
        <f t="shared" ref="AA119" si="443">+V119*(1+AA120)</f>
        <v>441.39301</v>
      </c>
      <c r="AB119" s="59">
        <f>SUM(X119:AA119)</f>
        <v>1733.365</v>
      </c>
      <c r="AC119" s="171">
        <f>+X119*(1+AC120)</f>
        <v>438.18013409999998</v>
      </c>
      <c r="AD119" s="171">
        <f>+Y119*(1+AD120)</f>
        <v>436.41042434999991</v>
      </c>
      <c r="AE119" s="171">
        <f>+Z119*(1+AE120)</f>
        <v>488.43989099999999</v>
      </c>
      <c r="AF119" s="171">
        <f t="shared" ref="AF119" si="444">+AA119*(1+AF120)</f>
        <v>465.66962554999998</v>
      </c>
      <c r="AG119" s="59">
        <f>SUM(AC119:AF119)</f>
        <v>1828.7000749999997</v>
      </c>
      <c r="AH119" s="171">
        <f>+AC119*(1+AH120)</f>
        <v>460.089140805</v>
      </c>
      <c r="AI119" s="171">
        <f>+AD119*(1+AI120)</f>
        <v>458.23094556749993</v>
      </c>
      <c r="AJ119" s="171">
        <f>+AE119*(1+AJ120)</f>
        <v>512.86188555000001</v>
      </c>
      <c r="AK119" s="171">
        <f t="shared" ref="AK119" si="445">+AF119*(1+AK120)</f>
        <v>488.95310682749999</v>
      </c>
      <c r="AL119" s="59">
        <f>SUM(AH119:AK119)</f>
        <v>1920.13507875</v>
      </c>
      <c r="AM119" s="171">
        <f>+AH119*(1+AM120)</f>
        <v>483.09359784525003</v>
      </c>
      <c r="AN119" s="171">
        <f>+AI119*(1+AN120)</f>
        <v>481.14249284587493</v>
      </c>
      <c r="AO119" s="171">
        <f>+AJ119*(1+AO120)</f>
        <v>538.50497982750005</v>
      </c>
      <c r="AP119" s="171">
        <f t="shared" ref="AP119" si="446">+AK119*(1+AP120)</f>
        <v>513.40076216887496</v>
      </c>
      <c r="AQ119" s="59">
        <f>SUM(AM119:AP119)</f>
        <v>2016.1418326874998</v>
      </c>
    </row>
    <row r="120" spans="1:43" outlineLevel="1" x14ac:dyDescent="0.25">
      <c r="A120" s="253"/>
      <c r="B120" s="199" t="s">
        <v>180</v>
      </c>
      <c r="C120" s="200"/>
      <c r="D120" s="288"/>
      <c r="E120" s="288"/>
      <c r="F120" s="288"/>
      <c r="G120" s="288"/>
      <c r="H120" s="179"/>
      <c r="I120" s="288">
        <f>I119/D119-1</f>
        <v>-1.9817677368212494E-2</v>
      </c>
      <c r="J120" s="288">
        <f t="shared" ref="J120" si="447">J119/E119-1</f>
        <v>0.16233766233766223</v>
      </c>
      <c r="K120" s="288">
        <f>K119/F119-1</f>
        <v>-0.1612600787549221</v>
      </c>
      <c r="L120" s="288">
        <f>L119/G119-1</f>
        <v>-8.6793938201141563E-2</v>
      </c>
      <c r="M120" s="415">
        <f>M119/H119-1</f>
        <v>-3.3925524440429511E-2</v>
      </c>
      <c r="N120" s="288">
        <f>N119/I119-1</f>
        <v>-0.24909017387788124</v>
      </c>
      <c r="O120" s="288">
        <f t="shared" ref="O120" si="448">O119/J119-1</f>
        <v>-0.28742053554228475</v>
      </c>
      <c r="P120" s="288">
        <f>P119/K119-1</f>
        <v>-7.4446680080482941E-2</v>
      </c>
      <c r="Q120" s="201">
        <v>-0.14935344827586197</v>
      </c>
      <c r="R120" s="415">
        <f>R119/M119-1</f>
        <v>-0.19480519480519476</v>
      </c>
      <c r="S120" s="502">
        <v>5.5E-2</v>
      </c>
      <c r="T120" s="502">
        <v>5.5E-2</v>
      </c>
      <c r="U120" s="502">
        <v>5.5E-2</v>
      </c>
      <c r="V120" s="502">
        <v>5.5E-2</v>
      </c>
      <c r="W120" s="415">
        <f>W119/R119-1</f>
        <v>5.4999999999999938E-2</v>
      </c>
      <c r="X120" s="502">
        <v>0.06</v>
      </c>
      <c r="Y120" s="502">
        <v>0.06</v>
      </c>
      <c r="Z120" s="502">
        <v>0.06</v>
      </c>
      <c r="AA120" s="502">
        <v>0.06</v>
      </c>
      <c r="AB120" s="501">
        <f>AB119/W119-1</f>
        <v>6.0000000000000053E-2</v>
      </c>
      <c r="AC120" s="502">
        <v>5.5E-2</v>
      </c>
      <c r="AD120" s="502">
        <v>5.5E-2</v>
      </c>
      <c r="AE120" s="502">
        <v>5.5E-2</v>
      </c>
      <c r="AF120" s="502">
        <v>5.5E-2</v>
      </c>
      <c r="AG120" s="501">
        <f>AG119/AB119-1</f>
        <v>5.4999999999999938E-2</v>
      </c>
      <c r="AH120" s="201">
        <v>0.05</v>
      </c>
      <c r="AI120" s="201">
        <v>0.05</v>
      </c>
      <c r="AJ120" s="201">
        <v>0.05</v>
      </c>
      <c r="AK120" s="201">
        <v>0.05</v>
      </c>
      <c r="AL120" s="415">
        <f>AL119/AG119-1</f>
        <v>5.0000000000000266E-2</v>
      </c>
      <c r="AM120" s="201">
        <v>0.05</v>
      </c>
      <c r="AN120" s="201">
        <v>0.05</v>
      </c>
      <c r="AO120" s="201">
        <v>0.05</v>
      </c>
      <c r="AP120" s="201">
        <v>0.05</v>
      </c>
      <c r="AQ120" s="415">
        <f>AQ119/AL119-1</f>
        <v>4.9999999999999822E-2</v>
      </c>
    </row>
    <row r="121" spans="1:43" outlineLevel="1" x14ac:dyDescent="0.25">
      <c r="A121" s="253"/>
      <c r="B121" s="572" t="s">
        <v>262</v>
      </c>
      <c r="C121" s="573"/>
      <c r="D121" s="169">
        <v>348.4</v>
      </c>
      <c r="E121" s="169">
        <v>305.39999999999998</v>
      </c>
      <c r="F121" s="169">
        <v>377.1</v>
      </c>
      <c r="G121" s="169">
        <v>359.1</v>
      </c>
      <c r="H121" s="208">
        <f>SUM(D121:G121)</f>
        <v>1390</v>
      </c>
      <c r="I121" s="169">
        <v>338.8</v>
      </c>
      <c r="J121" s="169">
        <v>351.6</v>
      </c>
      <c r="K121" s="169">
        <v>319.89999999999998</v>
      </c>
      <c r="L121" s="169">
        <v>327.8</v>
      </c>
      <c r="M121" s="208">
        <f>SUM(I121:L121)</f>
        <v>1338.1000000000001</v>
      </c>
      <c r="N121" s="169">
        <v>233.5</v>
      </c>
      <c r="O121" s="169">
        <v>231.9</v>
      </c>
      <c r="P121" s="169">
        <v>268.3</v>
      </c>
      <c r="Q121" s="169">
        <f t="shared" ref="Q121:V121" si="449">Q122*Q119</f>
        <v>255.79229468599038</v>
      </c>
      <c r="R121" s="208">
        <f>SUM(N121:Q121)</f>
        <v>989.49229468599037</v>
      </c>
      <c r="S121" s="169">
        <f t="shared" si="449"/>
        <v>253.93039637681159</v>
      </c>
      <c r="T121" s="169">
        <f t="shared" si="449"/>
        <v>252.90482934782608</v>
      </c>
      <c r="U121" s="169">
        <f t="shared" si="449"/>
        <v>283.05650000000003</v>
      </c>
      <c r="V121" s="169">
        <f t="shared" si="449"/>
        <v>269.86087089371983</v>
      </c>
      <c r="W121" s="208">
        <f>SUM(S121:V121)</f>
        <v>1059.7525966183575</v>
      </c>
      <c r="X121" s="169">
        <f t="shared" ref="X121" si="450">X122*X119</f>
        <v>269.16622015942028</v>
      </c>
      <c r="Y121" s="169">
        <f t="shared" ref="Y121" si="451">Y122*Y119</f>
        <v>268.07911910869564</v>
      </c>
      <c r="Z121" s="169">
        <f t="shared" ref="Z121" si="452">Z122*Z119</f>
        <v>300.03989000000001</v>
      </c>
      <c r="AA121" s="169">
        <f t="shared" ref="AA121" si="453">AA122*AA119</f>
        <v>286.05252314734304</v>
      </c>
      <c r="AB121" s="208">
        <f>SUM(X121:AA121)</f>
        <v>1123.3377524154589</v>
      </c>
      <c r="AC121" s="169">
        <f t="shared" ref="AC121" si="454">AC122*AC119</f>
        <v>283.97036226818841</v>
      </c>
      <c r="AD121" s="169">
        <f t="shared" ref="AD121" si="455">AD122*AD119</f>
        <v>282.82347065967389</v>
      </c>
      <c r="AE121" s="169">
        <f t="shared" ref="AE121" si="456">AE122*AE119</f>
        <v>316.54208395000001</v>
      </c>
      <c r="AF121" s="169">
        <f t="shared" ref="AF121" si="457">AF122*AF119</f>
        <v>301.78541192044685</v>
      </c>
      <c r="AG121" s="208">
        <f>SUM(AC121:AF121)</f>
        <v>1185.1213287983092</v>
      </c>
      <c r="AH121" s="169">
        <f t="shared" ref="AH121" si="458">AH122*AH119</f>
        <v>298.16888038159783</v>
      </c>
      <c r="AI121" s="169">
        <f t="shared" ref="AI121" si="459">AI122*AI119</f>
        <v>296.9646441926576</v>
      </c>
      <c r="AJ121" s="169">
        <f t="shared" ref="AJ121" si="460">AJ122*AJ119</f>
        <v>332.36918814750004</v>
      </c>
      <c r="AK121" s="169">
        <f t="shared" ref="AK121" si="461">AK122*AK119</f>
        <v>316.87468251646925</v>
      </c>
      <c r="AL121" s="208">
        <f>SUM(AH121:AK121)</f>
        <v>1244.3773952382248</v>
      </c>
      <c r="AM121" s="169">
        <f t="shared" ref="AM121:AP121" si="462">AM122*AM119</f>
        <v>313.07732440067775</v>
      </c>
      <c r="AN121" s="169">
        <f t="shared" si="462"/>
        <v>311.81287640229044</v>
      </c>
      <c r="AO121" s="169">
        <f t="shared" si="462"/>
        <v>348.98764755487508</v>
      </c>
      <c r="AP121" s="169">
        <f t="shared" si="462"/>
        <v>332.71841664229265</v>
      </c>
      <c r="AQ121" s="208">
        <f>SUM(AM121:AP121)</f>
        <v>1306.5962650001359</v>
      </c>
    </row>
    <row r="122" spans="1:43" s="468" customFormat="1" outlineLevel="1" x14ac:dyDescent="0.25">
      <c r="A122" s="469"/>
      <c r="B122" s="466" t="s">
        <v>341</v>
      </c>
      <c r="C122" s="467"/>
      <c r="D122" s="414">
        <f>D121/D119</f>
        <v>0.69044787950852149</v>
      </c>
      <c r="E122" s="414">
        <f t="shared" ref="E122:P122" si="463">E121/E119</f>
        <v>0.68383340797133896</v>
      </c>
      <c r="F122" s="414">
        <f t="shared" si="463"/>
        <v>0.70710669416838567</v>
      </c>
      <c r="G122" s="414">
        <f t="shared" si="463"/>
        <v>0.70675063963786655</v>
      </c>
      <c r="H122" s="475">
        <f t="shared" si="463"/>
        <v>0.69758104988457292</v>
      </c>
      <c r="I122" s="414">
        <f t="shared" si="463"/>
        <v>0.68499797816417307</v>
      </c>
      <c r="J122" s="414">
        <f t="shared" si="463"/>
        <v>0.6773261413985745</v>
      </c>
      <c r="K122" s="414">
        <f t="shared" si="463"/>
        <v>0.71517996870109535</v>
      </c>
      <c r="L122" s="474">
        <f t="shared" si="463"/>
        <v>0.70646551724137929</v>
      </c>
      <c r="M122" s="475">
        <f t="shared" si="463"/>
        <v>0.69511688311688313</v>
      </c>
      <c r="N122" s="474">
        <f t="shared" si="463"/>
        <v>0.62870220786214326</v>
      </c>
      <c r="O122" s="414">
        <f t="shared" si="463"/>
        <v>0.62692619626926205</v>
      </c>
      <c r="P122" s="414">
        <f t="shared" si="463"/>
        <v>0.6480676328502416</v>
      </c>
      <c r="Q122" s="476">
        <f>P122</f>
        <v>0.6480676328502416</v>
      </c>
      <c r="R122" s="475">
        <f t="shared" ref="R122" si="464">R121/R119</f>
        <v>0.63838212560386476</v>
      </c>
      <c r="S122" s="476">
        <f>Q122</f>
        <v>0.6480676328502416</v>
      </c>
      <c r="T122" s="476">
        <f>S122</f>
        <v>0.6480676328502416</v>
      </c>
      <c r="U122" s="476">
        <f>T122</f>
        <v>0.6480676328502416</v>
      </c>
      <c r="V122" s="476">
        <f>U122</f>
        <v>0.6480676328502416</v>
      </c>
      <c r="W122" s="475">
        <f t="shared" ref="W122" si="465">W121/W119</f>
        <v>0.6480676328502416</v>
      </c>
      <c r="X122" s="476">
        <f>V122</f>
        <v>0.6480676328502416</v>
      </c>
      <c r="Y122" s="476">
        <f>X122</f>
        <v>0.6480676328502416</v>
      </c>
      <c r="Z122" s="476">
        <f>Y122</f>
        <v>0.6480676328502416</v>
      </c>
      <c r="AA122" s="476">
        <f>Z122</f>
        <v>0.6480676328502416</v>
      </c>
      <c r="AB122" s="475">
        <f t="shared" ref="AB122" si="466">AB121/AB119</f>
        <v>0.64806763285024149</v>
      </c>
      <c r="AC122" s="476">
        <f>AA122</f>
        <v>0.6480676328502416</v>
      </c>
      <c r="AD122" s="476">
        <f>AC122</f>
        <v>0.6480676328502416</v>
      </c>
      <c r="AE122" s="476">
        <f>AD122</f>
        <v>0.6480676328502416</v>
      </c>
      <c r="AF122" s="476">
        <f>AE122</f>
        <v>0.6480676328502416</v>
      </c>
      <c r="AG122" s="475">
        <f t="shared" ref="AG122" si="467">AG121/AG119</f>
        <v>0.6480676328502416</v>
      </c>
      <c r="AH122" s="476">
        <f>AF122</f>
        <v>0.6480676328502416</v>
      </c>
      <c r="AI122" s="476">
        <f>AH122</f>
        <v>0.6480676328502416</v>
      </c>
      <c r="AJ122" s="476">
        <f>AI122</f>
        <v>0.6480676328502416</v>
      </c>
      <c r="AK122" s="476">
        <f>AJ122</f>
        <v>0.6480676328502416</v>
      </c>
      <c r="AL122" s="475">
        <f t="shared" ref="AL122" si="468">AL121/AL119</f>
        <v>0.6480676328502416</v>
      </c>
      <c r="AM122" s="476">
        <f>AK122</f>
        <v>0.6480676328502416</v>
      </c>
      <c r="AN122" s="476">
        <f>AM122</f>
        <v>0.6480676328502416</v>
      </c>
      <c r="AO122" s="476">
        <f>AN122</f>
        <v>0.6480676328502416</v>
      </c>
      <c r="AP122" s="476">
        <f>AO122</f>
        <v>0.6480676328502416</v>
      </c>
      <c r="AQ122" s="475">
        <f t="shared" ref="AQ122" si="469">AQ121/AQ119</f>
        <v>0.6480676328502416</v>
      </c>
    </row>
    <row r="123" spans="1:43" outlineLevel="1" x14ac:dyDescent="0.25">
      <c r="A123" s="253"/>
      <c r="B123" s="407" t="s">
        <v>142</v>
      </c>
      <c r="C123" s="36"/>
      <c r="D123" s="169">
        <v>18.600000000000001</v>
      </c>
      <c r="E123" s="169">
        <v>17.100000000000001</v>
      </c>
      <c r="F123" s="169">
        <v>20.2</v>
      </c>
      <c r="G123" s="169">
        <v>20.3</v>
      </c>
      <c r="H123" s="170">
        <f>SUM(D123:G123)</f>
        <v>76.2</v>
      </c>
      <c r="I123" s="169">
        <v>20.6</v>
      </c>
      <c r="J123" s="169">
        <v>17.7</v>
      </c>
      <c r="K123" s="169">
        <v>51.4</v>
      </c>
      <c r="L123" s="169">
        <v>18.5</v>
      </c>
      <c r="M123" s="170">
        <f>SUM(I123:L123)</f>
        <v>108.19999999999999</v>
      </c>
      <c r="N123" s="169">
        <v>11.1</v>
      </c>
      <c r="O123" s="169">
        <v>13.1</v>
      </c>
      <c r="P123" s="169">
        <v>-9.9</v>
      </c>
      <c r="Q123" s="169">
        <f t="shared" ref="Q123:V123" si="470">Q124*Q119</f>
        <v>11.841000000000001</v>
      </c>
      <c r="R123" s="170">
        <f>SUM(N123:Q123)</f>
        <v>26.140999999999998</v>
      </c>
      <c r="S123" s="169">
        <f t="shared" si="470"/>
        <v>11.754809999999997</v>
      </c>
      <c r="T123" s="169">
        <f t="shared" si="470"/>
        <v>11.707334999999999</v>
      </c>
      <c r="U123" s="169">
        <f t="shared" si="470"/>
        <v>13.1031</v>
      </c>
      <c r="V123" s="169">
        <f t="shared" si="470"/>
        <v>12.492255</v>
      </c>
      <c r="W123" s="170">
        <f>SUM(S123:V123)</f>
        <v>49.057499999999997</v>
      </c>
      <c r="X123" s="169">
        <f t="shared" ref="X123" si="471">X124*X119</f>
        <v>12.460098599999998</v>
      </c>
      <c r="Y123" s="169">
        <f t="shared" ref="Y123" si="472">Y124*Y119</f>
        <v>12.409775099999999</v>
      </c>
      <c r="Z123" s="169">
        <f t="shared" ref="Z123" si="473">Z124*Z119</f>
        <v>13.889286</v>
      </c>
      <c r="AA123" s="169">
        <f t="shared" ref="AA123" si="474">AA124*AA119</f>
        <v>13.2417903</v>
      </c>
      <c r="AB123" s="170">
        <f>SUM(X123:AA123)</f>
        <v>52.000949999999996</v>
      </c>
      <c r="AC123" s="169">
        <f t="shared" ref="AC123" si="475">AC124*AC119</f>
        <v>13.145404022999999</v>
      </c>
      <c r="AD123" s="169">
        <f t="shared" ref="AD123" si="476">AD124*AD119</f>
        <v>13.092312730499996</v>
      </c>
      <c r="AE123" s="169">
        <f t="shared" ref="AE123" si="477">AE124*AE119</f>
        <v>14.653196729999999</v>
      </c>
      <c r="AF123" s="169">
        <f t="shared" ref="AF123" si="478">AF124*AF119</f>
        <v>13.970088766499998</v>
      </c>
      <c r="AG123" s="170">
        <f>SUM(AC123:AF123)</f>
        <v>54.861002249999991</v>
      </c>
      <c r="AH123" s="169">
        <f t="shared" ref="AH123" si="479">AH124*AH119</f>
        <v>13.80267422415</v>
      </c>
      <c r="AI123" s="169">
        <f t="shared" ref="AI123" si="480">AI124*AI119</f>
        <v>13.746928367024998</v>
      </c>
      <c r="AJ123" s="169">
        <f t="shared" ref="AJ123" si="481">AJ124*AJ119</f>
        <v>15.385856566499999</v>
      </c>
      <c r="AK123" s="169">
        <f t="shared" ref="AK123" si="482">AK124*AK119</f>
        <v>14.668593204824999</v>
      </c>
      <c r="AL123" s="170">
        <f>SUM(AH123:AK123)</f>
        <v>57.604052362499999</v>
      </c>
      <c r="AM123" s="169">
        <f t="shared" ref="AM123:AP123" si="483">AM124*AM119</f>
        <v>14.492807935357501</v>
      </c>
      <c r="AN123" s="169">
        <f t="shared" si="483"/>
        <v>14.434274785376248</v>
      </c>
      <c r="AO123" s="169">
        <f t="shared" si="483"/>
        <v>16.155149394825003</v>
      </c>
      <c r="AP123" s="169">
        <f t="shared" si="483"/>
        <v>15.402022865066249</v>
      </c>
      <c r="AQ123" s="170">
        <f>SUM(AM123:AP123)</f>
        <v>60.484254980625003</v>
      </c>
    </row>
    <row r="124" spans="1:43" s="472" customFormat="1" outlineLevel="1" x14ac:dyDescent="0.25">
      <c r="A124" s="470"/>
      <c r="B124" s="466" t="s">
        <v>344</v>
      </c>
      <c r="C124" s="477"/>
      <c r="D124" s="474">
        <f>D123/D119</f>
        <v>3.6860879904875153E-2</v>
      </c>
      <c r="E124" s="474">
        <f t="shared" ref="E124:P124" si="484">E123/E119</f>
        <v>3.8289296909986566E-2</v>
      </c>
      <c r="F124" s="474">
        <f t="shared" si="484"/>
        <v>3.7877367335458469E-2</v>
      </c>
      <c r="G124" s="474">
        <f t="shared" si="484"/>
        <v>3.9952765203700058E-2</v>
      </c>
      <c r="H124" s="475">
        <f t="shared" si="484"/>
        <v>3.8241493526046375E-2</v>
      </c>
      <c r="I124" s="474">
        <f t="shared" si="484"/>
        <v>4.1649818034775576E-2</v>
      </c>
      <c r="J124" s="474">
        <f t="shared" si="484"/>
        <v>3.4097476401464072E-2</v>
      </c>
      <c r="K124" s="474">
        <f t="shared" si="484"/>
        <v>0.11491169237648111</v>
      </c>
      <c r="L124" s="474">
        <f t="shared" si="484"/>
        <v>3.9870689655172417E-2</v>
      </c>
      <c r="M124" s="475">
        <f t="shared" si="484"/>
        <v>5.62077922077922E-2</v>
      </c>
      <c r="N124" s="474">
        <f t="shared" si="484"/>
        <v>2.9886914378029081E-2</v>
      </c>
      <c r="O124" s="474">
        <f t="shared" si="484"/>
        <v>3.5414977020816439E-2</v>
      </c>
      <c r="P124" s="474">
        <f t="shared" si="484"/>
        <v>-2.391304347826087E-2</v>
      </c>
      <c r="Q124" s="476">
        <v>0.03</v>
      </c>
      <c r="R124" s="475">
        <f t="shared" ref="R124" si="485">R123/R119</f>
        <v>1.6865161290322579E-2</v>
      </c>
      <c r="S124" s="476">
        <f>Q124</f>
        <v>0.03</v>
      </c>
      <c r="T124" s="476">
        <f>S124</f>
        <v>0.03</v>
      </c>
      <c r="U124" s="476">
        <f>T124</f>
        <v>0.03</v>
      </c>
      <c r="V124" s="476">
        <f>U124</f>
        <v>0.03</v>
      </c>
      <c r="W124" s="475">
        <f t="shared" ref="W124" si="486">W123/W119</f>
        <v>0.03</v>
      </c>
      <c r="X124" s="476">
        <f>V124</f>
        <v>0.03</v>
      </c>
      <c r="Y124" s="476">
        <f>X124</f>
        <v>0.03</v>
      </c>
      <c r="Z124" s="476">
        <f>Y124</f>
        <v>0.03</v>
      </c>
      <c r="AA124" s="476">
        <f>Z124</f>
        <v>0.03</v>
      </c>
      <c r="AB124" s="475">
        <f t="shared" ref="AB124" si="487">AB123/AB119</f>
        <v>0.03</v>
      </c>
      <c r="AC124" s="476">
        <f>AA124</f>
        <v>0.03</v>
      </c>
      <c r="AD124" s="476">
        <f>AC124</f>
        <v>0.03</v>
      </c>
      <c r="AE124" s="476">
        <f>AD124</f>
        <v>0.03</v>
      </c>
      <c r="AF124" s="476">
        <f>AE124</f>
        <v>0.03</v>
      </c>
      <c r="AG124" s="475">
        <f t="shared" ref="AG124" si="488">AG123/AG119</f>
        <v>0.03</v>
      </c>
      <c r="AH124" s="476">
        <f>AF124</f>
        <v>0.03</v>
      </c>
      <c r="AI124" s="476">
        <f>AH124</f>
        <v>0.03</v>
      </c>
      <c r="AJ124" s="476">
        <f>AI124</f>
        <v>0.03</v>
      </c>
      <c r="AK124" s="476">
        <f>AJ124</f>
        <v>0.03</v>
      </c>
      <c r="AL124" s="475">
        <f t="shared" ref="AL124" si="489">AL123/AL119</f>
        <v>0.03</v>
      </c>
      <c r="AM124" s="476">
        <f>AK124</f>
        <v>0.03</v>
      </c>
      <c r="AN124" s="476">
        <f>AM124</f>
        <v>0.03</v>
      </c>
      <c r="AO124" s="476">
        <f>AN124</f>
        <v>0.03</v>
      </c>
      <c r="AP124" s="476">
        <f>AO124</f>
        <v>0.03</v>
      </c>
      <c r="AQ124" s="475">
        <f t="shared" ref="AQ124" si="490">AQ123/AQ119</f>
        <v>3.0000000000000006E-2</v>
      </c>
    </row>
    <row r="125" spans="1:43" outlineLevel="1" x14ac:dyDescent="0.25">
      <c r="A125" s="253"/>
      <c r="B125" s="407" t="s">
        <v>143</v>
      </c>
      <c r="C125" s="36"/>
      <c r="D125" s="204">
        <v>0</v>
      </c>
      <c r="E125" s="204">
        <v>12.3</v>
      </c>
      <c r="F125" s="204">
        <v>0.2</v>
      </c>
      <c r="G125" s="204">
        <v>0.3</v>
      </c>
      <c r="H125" s="59">
        <f>SUM(D125:G125)</f>
        <v>12.8</v>
      </c>
      <c r="I125" s="204">
        <v>0.3</v>
      </c>
      <c r="J125" s="204">
        <v>0.3</v>
      </c>
      <c r="K125" s="204">
        <v>0.3</v>
      </c>
      <c r="L125" s="204">
        <v>0.3</v>
      </c>
      <c r="M125" s="59">
        <f>SUM(I125:L125)</f>
        <v>1.2</v>
      </c>
      <c r="N125" s="204">
        <v>0.2</v>
      </c>
      <c r="O125" s="204">
        <v>0.3</v>
      </c>
      <c r="P125" s="204">
        <v>0.2</v>
      </c>
      <c r="Q125" s="204">
        <f>(P125/(P75+P110+P125+P138))*Q245</f>
        <v>0.21388509854834858</v>
      </c>
      <c r="R125" s="59">
        <f>SUM(N125:Q125)</f>
        <v>0.91388509854834854</v>
      </c>
      <c r="S125" s="204">
        <f>(Q125/(Q75+Q110+Q125+Q138))*S245</f>
        <v>0.22609329825712524</v>
      </c>
      <c r="T125" s="204">
        <f>(S125/(S75+S110+S125+S138))*T245</f>
        <v>0.22772813686037743</v>
      </c>
      <c r="U125" s="204">
        <f>(T125/(T75+T110+T125+T138))*U245</f>
        <v>0.22863178890615865</v>
      </c>
      <c r="V125" s="204">
        <f>(U125/(U75+U110+U125+U138))*V245</f>
        <v>0.23298815575435358</v>
      </c>
      <c r="W125" s="59">
        <f>SUM(S125:V125)</f>
        <v>0.91544137977801499</v>
      </c>
      <c r="X125" s="204">
        <f>(V125/(V75+V110+V125+V138))*X245</f>
        <v>0.23586416214748965</v>
      </c>
      <c r="Y125" s="204">
        <f>(X125/(X75+X110+X125+X138))*Y245</f>
        <v>0.23715279498529099</v>
      </c>
      <c r="Z125" s="204">
        <f>(Y125/(Y75+Y110+Y125+Y138))*Z245</f>
        <v>0.2382253761139666</v>
      </c>
      <c r="AA125" s="204">
        <f>(Z125/(Z75+Z110+Z125+Z138))*AA245</f>
        <v>0.24147646410979404</v>
      </c>
      <c r="AB125" s="59">
        <f>SUM(X125:AA125)</f>
        <v>0.9527187973565413</v>
      </c>
      <c r="AC125" s="204">
        <f>(AA125/(AA75+AA110+AA125+AA138))*AC245</f>
        <v>0.24358450014166078</v>
      </c>
      <c r="AD125" s="204">
        <f>(AC125/(AC75+AC110+AC125+AC138))*AD245</f>
        <v>0.24417057709992793</v>
      </c>
      <c r="AE125" s="204">
        <f>(AD125/(AD75+AD110+AD125+AD138))*AE245</f>
        <v>0.24456982495700327</v>
      </c>
      <c r="AF125" s="204">
        <f>(AE125/(AE75+AE110+AE125+AE138))*AF245</f>
        <v>0.24702161333965716</v>
      </c>
      <c r="AG125" s="59">
        <f>SUM(AC125:AF125)</f>
        <v>0.97934651553824925</v>
      </c>
      <c r="AH125" s="204">
        <f>(AF125/(AF75+AF110+AF125+AF138))*AH245</f>
        <v>0.24945690017158229</v>
      </c>
      <c r="AI125" s="204">
        <f>(AH125/(AH75+AH110+AH125+AH138))*AI245</f>
        <v>0.25100686807855926</v>
      </c>
      <c r="AJ125" s="204">
        <f>(AI125/(AI75+AI110+AI125+AI138))*AJ245</f>
        <v>0.25227667559583478</v>
      </c>
      <c r="AK125" s="204">
        <f>(AJ125/(AJ75+AJ110+AJ125+AJ138))*AK245</f>
        <v>0.25569564510451598</v>
      </c>
      <c r="AL125" s="59">
        <f>SUM(AH125:AK125)</f>
        <v>1.0084360889504924</v>
      </c>
      <c r="AM125" s="204">
        <f>(AK125/(AK75+AK110+AK125+AK138))*AM245</f>
        <v>0.25887451809298728</v>
      </c>
      <c r="AN125" s="204">
        <f>(AM125/(AM75+AM110+AM125+AM138))*AN245</f>
        <v>0.26121431289785468</v>
      </c>
      <c r="AO125" s="204">
        <f>(AN125/(AN75+AN110+AN125+AN138))*AO245</f>
        <v>0.26319055368830663</v>
      </c>
      <c r="AP125" s="204">
        <f>(AO125/(AO75+AO110+AO125+AO138))*AP245</f>
        <v>0.26740294879637688</v>
      </c>
      <c r="AQ125" s="59">
        <f>SUM(AM125:AP125)</f>
        <v>1.0506823334755255</v>
      </c>
    </row>
    <row r="126" spans="1:43" outlineLevel="1" x14ac:dyDescent="0.25">
      <c r="A126" s="253"/>
      <c r="B126" s="407" t="s">
        <v>144</v>
      </c>
      <c r="C126" s="36"/>
      <c r="D126" s="169">
        <v>3.2</v>
      </c>
      <c r="E126" s="169">
        <v>3.1</v>
      </c>
      <c r="F126" s="169">
        <v>2.7</v>
      </c>
      <c r="G126" s="169">
        <v>2.6</v>
      </c>
      <c r="H126" s="170">
        <f>SUM(D126:G126)</f>
        <v>11.6</v>
      </c>
      <c r="I126" s="169">
        <v>2.4</v>
      </c>
      <c r="J126" s="169">
        <v>3</v>
      </c>
      <c r="K126" s="169">
        <v>2.5</v>
      </c>
      <c r="L126" s="169">
        <v>2.5</v>
      </c>
      <c r="M126" s="170">
        <f>SUM(I126:L126)</f>
        <v>10.4</v>
      </c>
      <c r="N126" s="169">
        <v>2.2000000000000002</v>
      </c>
      <c r="O126" s="169">
        <v>2.2999999999999998</v>
      </c>
      <c r="P126" s="169">
        <v>2.9</v>
      </c>
      <c r="Q126" s="169">
        <f t="shared" ref="Q126:V126" si="491">Q127*Q119</f>
        <v>2.7648067632850242</v>
      </c>
      <c r="R126" s="170">
        <f>SUM(N126:Q126)</f>
        <v>10.164806763285025</v>
      </c>
      <c r="S126" s="169">
        <f t="shared" si="491"/>
        <v>2.7446818840579703</v>
      </c>
      <c r="T126" s="169">
        <f t="shared" si="491"/>
        <v>2.7335967391304341</v>
      </c>
      <c r="U126" s="169">
        <f t="shared" si="491"/>
        <v>3.0594999999999994</v>
      </c>
      <c r="V126" s="169">
        <f t="shared" si="491"/>
        <v>2.9168711352657004</v>
      </c>
      <c r="W126" s="170">
        <f>SUM(S126:V126)</f>
        <v>11.454649758454103</v>
      </c>
      <c r="X126" s="169">
        <f t="shared" ref="X126" si="492">X127*X119</f>
        <v>2.9093627971014491</v>
      </c>
      <c r="Y126" s="169">
        <f t="shared" ref="Y126" si="493">Y127*Y119</f>
        <v>2.8976125434782602</v>
      </c>
      <c r="Z126" s="169">
        <f t="shared" ref="Z126" si="494">Z127*Z119</f>
        <v>3.2430699999999999</v>
      </c>
      <c r="AA126" s="169">
        <f t="shared" ref="AA126" si="495">AA127*AA119</f>
        <v>3.0918834033816425</v>
      </c>
      <c r="AB126" s="170">
        <f>SUM(X126:AA126)</f>
        <v>12.141928743961351</v>
      </c>
      <c r="AC126" s="169">
        <f t="shared" ref="AC126" si="496">AC127*AC119</f>
        <v>3.0693777509420284</v>
      </c>
      <c r="AD126" s="169">
        <f t="shared" ref="AD126" si="497">AD127*AD119</f>
        <v>3.0569812333695645</v>
      </c>
      <c r="AE126" s="169">
        <f t="shared" ref="AE126" si="498">AE127*AE119</f>
        <v>3.4214388499999995</v>
      </c>
      <c r="AF126" s="169">
        <f t="shared" ref="AF126" si="499">AF127*AF119</f>
        <v>3.2619369905676323</v>
      </c>
      <c r="AG126" s="170">
        <f>SUM(AC126:AF126)</f>
        <v>12.809734824879223</v>
      </c>
      <c r="AH126" s="169">
        <f t="shared" ref="AH126" si="500">AH127*AH119</f>
        <v>3.2228466384891301</v>
      </c>
      <c r="AI126" s="169">
        <f t="shared" ref="AI126" si="501">AI127*AI119</f>
        <v>3.2098302950380426</v>
      </c>
      <c r="AJ126" s="169">
        <f t="shared" ref="AJ126" si="502">AJ127*AJ119</f>
        <v>3.5925107924999997</v>
      </c>
      <c r="AK126" s="169">
        <f t="shared" ref="AK126" si="503">AK127*AK119</f>
        <v>3.4250338400960141</v>
      </c>
      <c r="AL126" s="170">
        <f>SUM(AH126:AK126)</f>
        <v>13.450221566123187</v>
      </c>
      <c r="AM126" s="169">
        <f t="shared" ref="AM126:AP126" si="504">AM127*AM119</f>
        <v>3.3839889704135868</v>
      </c>
      <c r="AN126" s="169">
        <f t="shared" si="504"/>
        <v>3.370321809789945</v>
      </c>
      <c r="AO126" s="169">
        <f t="shared" si="504"/>
        <v>3.7721363321250001</v>
      </c>
      <c r="AP126" s="169">
        <f t="shared" si="504"/>
        <v>3.5962855321008145</v>
      </c>
      <c r="AQ126" s="170">
        <f>SUM(AM126:AP126)</f>
        <v>14.122732644429348</v>
      </c>
    </row>
    <row r="127" spans="1:43" s="472" customFormat="1" outlineLevel="1" x14ac:dyDescent="0.25">
      <c r="A127" s="470"/>
      <c r="B127" s="466" t="s">
        <v>343</v>
      </c>
      <c r="C127" s="477"/>
      <c r="D127" s="474">
        <f>D126/D119</f>
        <v>6.3416567578279829E-3</v>
      </c>
      <c r="E127" s="474">
        <f t="shared" ref="E127:P127" si="505">E126/E119</f>
        <v>6.9413345275414241E-3</v>
      </c>
      <c r="F127" s="474">
        <f t="shared" si="505"/>
        <v>5.0628164260266275E-3</v>
      </c>
      <c r="G127" s="474">
        <f t="shared" si="505"/>
        <v>5.1171029324936033E-3</v>
      </c>
      <c r="H127" s="475">
        <f t="shared" si="505"/>
        <v>5.8215396968784505E-3</v>
      </c>
      <c r="I127" s="474">
        <f t="shared" si="505"/>
        <v>4.8524059846340476E-3</v>
      </c>
      <c r="J127" s="474">
        <f t="shared" si="505"/>
        <v>5.7792332883837404E-3</v>
      </c>
      <c r="K127" s="474">
        <f t="shared" si="505"/>
        <v>5.5890900961323492E-3</v>
      </c>
      <c r="L127" s="474">
        <f t="shared" si="505"/>
        <v>5.387931034482759E-3</v>
      </c>
      <c r="M127" s="475">
        <f t="shared" si="505"/>
        <v>5.4025974025974028E-3</v>
      </c>
      <c r="N127" s="474">
        <f t="shared" si="505"/>
        <v>5.9235325794291874E-3</v>
      </c>
      <c r="O127" s="474">
        <f t="shared" si="505"/>
        <v>6.2178967288456337E-3</v>
      </c>
      <c r="P127" s="474">
        <f t="shared" si="505"/>
        <v>7.0048309178743955E-3</v>
      </c>
      <c r="Q127" s="476">
        <f>P127</f>
        <v>7.0048309178743955E-3</v>
      </c>
      <c r="R127" s="475">
        <f t="shared" ref="R127" si="506">R126/R119</f>
        <v>6.557939847280661E-3</v>
      </c>
      <c r="S127" s="476">
        <f>Q127</f>
        <v>7.0048309178743955E-3</v>
      </c>
      <c r="T127" s="476">
        <f>S127</f>
        <v>7.0048309178743955E-3</v>
      </c>
      <c r="U127" s="476">
        <f>T127</f>
        <v>7.0048309178743955E-3</v>
      </c>
      <c r="V127" s="476">
        <f>U127</f>
        <v>7.0048309178743955E-3</v>
      </c>
      <c r="W127" s="475">
        <f t="shared" ref="W127" si="507">W126/W119</f>
        <v>7.0048309178743938E-3</v>
      </c>
      <c r="X127" s="476">
        <f>V127</f>
        <v>7.0048309178743955E-3</v>
      </c>
      <c r="Y127" s="476">
        <f>X127</f>
        <v>7.0048309178743955E-3</v>
      </c>
      <c r="Z127" s="476">
        <f>Y127</f>
        <v>7.0048309178743955E-3</v>
      </c>
      <c r="AA127" s="476">
        <f>Z127</f>
        <v>7.0048309178743955E-3</v>
      </c>
      <c r="AB127" s="475">
        <f t="shared" ref="AB127" si="508">AB126/AB119</f>
        <v>7.0048309178743955E-3</v>
      </c>
      <c r="AC127" s="476">
        <f>AA127</f>
        <v>7.0048309178743955E-3</v>
      </c>
      <c r="AD127" s="476">
        <f>AC127</f>
        <v>7.0048309178743955E-3</v>
      </c>
      <c r="AE127" s="476">
        <f>AD127</f>
        <v>7.0048309178743955E-3</v>
      </c>
      <c r="AF127" s="476">
        <f>AE127</f>
        <v>7.0048309178743955E-3</v>
      </c>
      <c r="AG127" s="475">
        <f t="shared" ref="AG127" si="509">AG126/AG119</f>
        <v>7.0048309178743955E-3</v>
      </c>
      <c r="AH127" s="476">
        <f>AF127</f>
        <v>7.0048309178743955E-3</v>
      </c>
      <c r="AI127" s="476">
        <f>AH127</f>
        <v>7.0048309178743955E-3</v>
      </c>
      <c r="AJ127" s="476">
        <f>AI127</f>
        <v>7.0048309178743955E-3</v>
      </c>
      <c r="AK127" s="476">
        <f>AJ127</f>
        <v>7.0048309178743955E-3</v>
      </c>
      <c r="AL127" s="475">
        <f t="shared" ref="AL127" si="510">AL126/AL119</f>
        <v>7.0048309178743946E-3</v>
      </c>
      <c r="AM127" s="476">
        <f>AK127</f>
        <v>7.0048309178743955E-3</v>
      </c>
      <c r="AN127" s="476">
        <f>AM127</f>
        <v>7.0048309178743955E-3</v>
      </c>
      <c r="AO127" s="476">
        <f>AN127</f>
        <v>7.0048309178743955E-3</v>
      </c>
      <c r="AP127" s="476">
        <f>AO127</f>
        <v>7.0048309178743955E-3</v>
      </c>
      <c r="AQ127" s="475">
        <f t="shared" ref="AQ127" si="511">AQ126/AQ119</f>
        <v>7.0048309178743972E-3</v>
      </c>
    </row>
    <row r="128" spans="1:43" ht="17.25" outlineLevel="1" x14ac:dyDescent="0.4">
      <c r="A128" s="253"/>
      <c r="B128" s="407" t="s">
        <v>152</v>
      </c>
      <c r="C128" s="36"/>
      <c r="D128" s="205">
        <v>0</v>
      </c>
      <c r="E128" s="205">
        <v>0</v>
      </c>
      <c r="F128" s="205">
        <v>0</v>
      </c>
      <c r="G128" s="205">
        <v>0</v>
      </c>
      <c r="H128" s="209">
        <f>SUM(D128:G128)</f>
        <v>0</v>
      </c>
      <c r="I128" s="205">
        <v>0</v>
      </c>
      <c r="J128" s="205">
        <v>0</v>
      </c>
      <c r="K128" s="205">
        <v>0</v>
      </c>
      <c r="L128" s="205">
        <v>0</v>
      </c>
      <c r="M128" s="209">
        <f>SUM(I128:L128)</f>
        <v>0</v>
      </c>
      <c r="N128" s="205">
        <v>0</v>
      </c>
      <c r="O128" s="287">
        <v>0</v>
      </c>
      <c r="P128" s="205">
        <v>0</v>
      </c>
      <c r="Q128" s="291">
        <v>0</v>
      </c>
      <c r="R128" s="209">
        <f>SUM(N128:Q128)</f>
        <v>0</v>
      </c>
      <c r="S128" s="291">
        <v>0</v>
      </c>
      <c r="T128" s="291">
        <v>0</v>
      </c>
      <c r="U128" s="291">
        <v>0</v>
      </c>
      <c r="V128" s="291">
        <v>0</v>
      </c>
      <c r="W128" s="209">
        <f>SUM(S128:V128)</f>
        <v>0</v>
      </c>
      <c r="X128" s="291">
        <v>0</v>
      </c>
      <c r="Y128" s="291">
        <v>0</v>
      </c>
      <c r="Z128" s="291">
        <v>0</v>
      </c>
      <c r="AA128" s="291">
        <v>0</v>
      </c>
      <c r="AB128" s="209">
        <f>SUM(X128:AA128)</f>
        <v>0</v>
      </c>
      <c r="AC128" s="291">
        <v>0</v>
      </c>
      <c r="AD128" s="291">
        <v>0</v>
      </c>
      <c r="AE128" s="291">
        <v>0</v>
      </c>
      <c r="AF128" s="291">
        <v>0</v>
      </c>
      <c r="AG128" s="209">
        <f>SUM(AC128:AF128)</f>
        <v>0</v>
      </c>
      <c r="AH128" s="291">
        <v>0</v>
      </c>
      <c r="AI128" s="291">
        <v>0</v>
      </c>
      <c r="AJ128" s="291">
        <v>0</v>
      </c>
      <c r="AK128" s="291">
        <v>0</v>
      </c>
      <c r="AL128" s="209">
        <f>SUM(AH128:AK128)</f>
        <v>0</v>
      </c>
      <c r="AM128" s="291">
        <v>0</v>
      </c>
      <c r="AN128" s="291">
        <v>0</v>
      </c>
      <c r="AO128" s="291">
        <v>0</v>
      </c>
      <c r="AP128" s="291">
        <v>0</v>
      </c>
      <c r="AQ128" s="209">
        <f>SUM(AM128:AP128)</f>
        <v>0</v>
      </c>
    </row>
    <row r="129" spans="1:43" outlineLevel="1" x14ac:dyDescent="0.25">
      <c r="A129" s="253"/>
      <c r="B129" s="167" t="s">
        <v>174</v>
      </c>
      <c r="C129" s="39"/>
      <c r="D129" s="171">
        <f>D121+D123+D125+D126+D128</f>
        <v>370.2</v>
      </c>
      <c r="E129" s="171">
        <f t="shared" ref="E129:W129" si="512">E121+E123+E125+E126+E128</f>
        <v>337.90000000000003</v>
      </c>
      <c r="F129" s="171">
        <f t="shared" si="512"/>
        <v>400.2</v>
      </c>
      <c r="G129" s="171">
        <f t="shared" si="512"/>
        <v>382.30000000000007</v>
      </c>
      <c r="H129" s="50">
        <f t="shared" si="512"/>
        <v>1490.6</v>
      </c>
      <c r="I129" s="171">
        <f t="shared" si="512"/>
        <v>362.1</v>
      </c>
      <c r="J129" s="171">
        <f t="shared" si="512"/>
        <v>372.6</v>
      </c>
      <c r="K129" s="171">
        <f t="shared" si="512"/>
        <v>374.09999999999997</v>
      </c>
      <c r="L129" s="171">
        <f t="shared" si="512"/>
        <v>349.1</v>
      </c>
      <c r="M129" s="50">
        <f t="shared" si="512"/>
        <v>1457.9000000000003</v>
      </c>
      <c r="N129" s="171">
        <f t="shared" si="512"/>
        <v>246.99999999999997</v>
      </c>
      <c r="O129" s="171">
        <f t="shared" si="512"/>
        <v>247.60000000000002</v>
      </c>
      <c r="P129" s="171">
        <f t="shared" si="512"/>
        <v>261.5</v>
      </c>
      <c r="Q129" s="171">
        <f t="shared" si="512"/>
        <v>270.61198654782379</v>
      </c>
      <c r="R129" s="50">
        <f t="shared" si="512"/>
        <v>1026.7119865478237</v>
      </c>
      <c r="S129" s="171">
        <f t="shared" si="512"/>
        <v>268.6559815591267</v>
      </c>
      <c r="T129" s="171">
        <f t="shared" si="512"/>
        <v>267.57348922381692</v>
      </c>
      <c r="U129" s="171">
        <f t="shared" si="512"/>
        <v>299.4477317889062</v>
      </c>
      <c r="V129" s="171">
        <f t="shared" si="512"/>
        <v>285.50298518473988</v>
      </c>
      <c r="W129" s="50">
        <f t="shared" si="512"/>
        <v>1121.1801877565895</v>
      </c>
      <c r="X129" s="171">
        <f t="shared" ref="X129" si="513">X121+X123+X125+X126+X128</f>
        <v>284.77154571866919</v>
      </c>
      <c r="Y129" s="171">
        <f t="shared" ref="Y129" si="514">Y121+Y123+Y125+Y126+Y128</f>
        <v>283.62365954715915</v>
      </c>
      <c r="Z129" s="171">
        <f t="shared" ref="Z129" si="515">Z121+Z123+Z125+Z126+Z128</f>
        <v>317.410471376114</v>
      </c>
      <c r="AA129" s="171">
        <f t="shared" ref="AA129" si="516">AA121+AA123+AA125+AA126+AA128</f>
        <v>302.62767331483445</v>
      </c>
      <c r="AB129" s="50">
        <f t="shared" ref="AB129" si="517">AB121+AB123+AB125+AB126+AB128</f>
        <v>1188.433349956777</v>
      </c>
      <c r="AC129" s="171">
        <f t="shared" ref="AC129" si="518">AC121+AC123+AC125+AC126+AC128</f>
        <v>300.4287285422721</v>
      </c>
      <c r="AD129" s="171">
        <f t="shared" ref="AD129" si="519">AD121+AD123+AD125+AD126+AD128</f>
        <v>299.21693520064338</v>
      </c>
      <c r="AE129" s="171">
        <f t="shared" ref="AE129" si="520">AE121+AE123+AE125+AE126+AE128</f>
        <v>334.86128935495702</v>
      </c>
      <c r="AF129" s="171">
        <f t="shared" ref="AF129" si="521">AF121+AF123+AF125+AF126+AF128</f>
        <v>319.26445929085412</v>
      </c>
      <c r="AG129" s="50">
        <f t="shared" ref="AG129" si="522">AG121+AG123+AG125+AG126+AG128</f>
        <v>1253.7714123887265</v>
      </c>
      <c r="AH129" s="171">
        <f t="shared" ref="AH129" si="523">AH121+AH123+AH125+AH126+AH128</f>
        <v>315.44385814440852</v>
      </c>
      <c r="AI129" s="171">
        <f t="shared" ref="AI129" si="524">AI121+AI123+AI125+AI126+AI128</f>
        <v>314.17240972279922</v>
      </c>
      <c r="AJ129" s="171">
        <f t="shared" ref="AJ129" si="525">AJ121+AJ123+AJ125+AJ126+AJ128</f>
        <v>351.59983218209589</v>
      </c>
      <c r="AK129" s="171">
        <f t="shared" ref="AK129" si="526">AK121+AK123+AK125+AK126+AK128</f>
        <v>335.22400520649484</v>
      </c>
      <c r="AL129" s="50">
        <f t="shared" ref="AL129:AP129" si="527">AL121+AL123+AL125+AL126+AL128</f>
        <v>1316.4401052557985</v>
      </c>
      <c r="AM129" s="171">
        <f t="shared" si="527"/>
        <v>331.21299582454185</v>
      </c>
      <c r="AN129" s="171">
        <f t="shared" si="527"/>
        <v>329.87868731035451</v>
      </c>
      <c r="AO129" s="171">
        <f t="shared" si="527"/>
        <v>369.17812383551342</v>
      </c>
      <c r="AP129" s="171">
        <f t="shared" si="527"/>
        <v>351.98412798825609</v>
      </c>
      <c r="AQ129" s="50">
        <f t="shared" ref="AQ129" si="528">AQ121+AQ123+AQ125+AQ126+AQ128</f>
        <v>1382.2539349586659</v>
      </c>
    </row>
    <row r="130" spans="1:43" ht="17.25" outlineLevel="1" x14ac:dyDescent="0.4">
      <c r="A130" s="253"/>
      <c r="B130" s="168" t="s">
        <v>145</v>
      </c>
      <c r="C130" s="144"/>
      <c r="D130" s="173">
        <v>41.4</v>
      </c>
      <c r="E130" s="259">
        <v>40.200000000000003</v>
      </c>
      <c r="F130" s="259">
        <v>48.8</v>
      </c>
      <c r="G130" s="259">
        <v>65.099999999999994</v>
      </c>
      <c r="H130" s="480">
        <f>SUM(D130:G130)</f>
        <v>195.49999999999997</v>
      </c>
      <c r="I130" s="259">
        <v>43</v>
      </c>
      <c r="J130" s="259">
        <v>43.1</v>
      </c>
      <c r="K130" s="259">
        <v>51</v>
      </c>
      <c r="L130" s="259">
        <v>83</v>
      </c>
      <c r="M130" s="480">
        <f>SUM(I130:L130)</f>
        <v>220.1</v>
      </c>
      <c r="N130" s="259">
        <v>56.4</v>
      </c>
      <c r="O130" s="259">
        <v>50.3</v>
      </c>
      <c r="P130" s="259">
        <v>63.5</v>
      </c>
      <c r="Q130" s="177">
        <f>AVERAGE(P130,O130,N130,L130)</f>
        <v>63.3</v>
      </c>
      <c r="R130" s="480">
        <f>SUM(N130:Q130)</f>
        <v>233.5</v>
      </c>
      <c r="S130" s="177">
        <f>AVERAGE(Q130,P130,O130,N130)</f>
        <v>58.375</v>
      </c>
      <c r="T130" s="177">
        <f>AVERAGE(S130,Q130,P130,O130)</f>
        <v>58.868750000000006</v>
      </c>
      <c r="U130" s="177">
        <f>AVERAGE(T130,S130,Q130,P130)</f>
        <v>61.010937499999997</v>
      </c>
      <c r="V130" s="177">
        <f>AVERAGE(U130,T130,S130,Q130)</f>
        <v>60.388671875</v>
      </c>
      <c r="W130" s="480">
        <f>SUM(S130:V130)</f>
        <v>238.64335937499999</v>
      </c>
      <c r="X130" s="177">
        <f>AVERAGE(V130,U130,T130,S130)</f>
        <v>59.660839843749997</v>
      </c>
      <c r="Y130" s="177">
        <f>AVERAGE(X130,V130,U130,T130)</f>
        <v>59.9822998046875</v>
      </c>
      <c r="Z130" s="177">
        <f>AVERAGE(Y130,X130,V130,U130)</f>
        <v>60.260687255859381</v>
      </c>
      <c r="AA130" s="177">
        <f>AVERAGE(Z130,Y130,X130,V130)</f>
        <v>60.073124694824216</v>
      </c>
      <c r="AB130" s="480">
        <f>SUM(X130:AA130)</f>
        <v>239.97695159912109</v>
      </c>
      <c r="AC130" s="177">
        <f>AVERAGE(AA130,Z130,Y130,X130)</f>
        <v>59.994237899780273</v>
      </c>
      <c r="AD130" s="177">
        <f>AVERAGE(AC130,AA130,Z130,Y130)</f>
        <v>60.077587413787839</v>
      </c>
      <c r="AE130" s="177">
        <f>AVERAGE(AD130,AC130,AA130,Z130)</f>
        <v>60.101409316062927</v>
      </c>
      <c r="AF130" s="177">
        <f>AVERAGE(AE130,AD130,AC130,AA130)</f>
        <v>60.061589831113821</v>
      </c>
      <c r="AG130" s="480">
        <f>SUM(AC130:AF130)</f>
        <v>240.23482446074487</v>
      </c>
      <c r="AH130" s="177">
        <f>AVERAGE(AF130,AE130,AD130,AC130)</f>
        <v>60.058706115186212</v>
      </c>
      <c r="AI130" s="177">
        <f>AVERAGE(AH130,AF130,AE130,AD130)</f>
        <v>60.0748231690377</v>
      </c>
      <c r="AJ130" s="177">
        <f>AVERAGE(AI130,AH130,AF130,AE130)</f>
        <v>60.074132107850161</v>
      </c>
      <c r="AK130" s="177">
        <f>AVERAGE(AJ130,AI130,AH130,AF130)</f>
        <v>60.067312805796973</v>
      </c>
      <c r="AL130" s="480">
        <f>SUM(AH130:AK130)</f>
        <v>240.27497419787105</v>
      </c>
      <c r="AM130" s="177">
        <f>AVERAGE(AK130,AJ130,AI130,AH130)</f>
        <v>60.068743549467769</v>
      </c>
      <c r="AN130" s="177">
        <f>AVERAGE(AM130,AK130,AJ130,AI130)</f>
        <v>60.071252908038147</v>
      </c>
      <c r="AO130" s="177">
        <f>AVERAGE(AN130,AM130,AK130,AJ130)</f>
        <v>60.070360342788263</v>
      </c>
      <c r="AP130" s="177">
        <f>AVERAGE(AO130,AN130,AM130,AK130)</f>
        <v>60.069417401522784</v>
      </c>
      <c r="AQ130" s="480">
        <f>SUM(AM130:AP130)</f>
        <v>240.27977420181696</v>
      </c>
    </row>
    <row r="131" spans="1:43" outlineLevel="1" x14ac:dyDescent="0.25">
      <c r="A131" s="253"/>
      <c r="B131" s="167" t="s">
        <v>175</v>
      </c>
      <c r="C131" s="144"/>
      <c r="D131" s="364">
        <f t="shared" ref="D131:AL131" si="529">D119-D129+D130</f>
        <v>175.80000000000004</v>
      </c>
      <c r="E131" s="364">
        <f t="shared" si="529"/>
        <v>148.89999999999998</v>
      </c>
      <c r="F131" s="364">
        <f t="shared" si="529"/>
        <v>181.89999999999998</v>
      </c>
      <c r="G131" s="364">
        <f t="shared" si="529"/>
        <v>190.89999999999995</v>
      </c>
      <c r="H131" s="238">
        <f t="shared" si="529"/>
        <v>697.5</v>
      </c>
      <c r="I131" s="364">
        <f t="shared" si="529"/>
        <v>175.5</v>
      </c>
      <c r="J131" s="364">
        <f t="shared" si="529"/>
        <v>189.6</v>
      </c>
      <c r="K131" s="364">
        <f t="shared" si="529"/>
        <v>124.20000000000005</v>
      </c>
      <c r="L131" s="206">
        <f t="shared" si="529"/>
        <v>197.89999999999998</v>
      </c>
      <c r="M131" s="238">
        <f t="shared" si="529"/>
        <v>687.1999999999997</v>
      </c>
      <c r="N131" s="206">
        <f t="shared" si="529"/>
        <v>180.8</v>
      </c>
      <c r="O131" s="206">
        <f t="shared" si="529"/>
        <v>172.59999999999997</v>
      </c>
      <c r="P131" s="206">
        <f t="shared" si="529"/>
        <v>216</v>
      </c>
      <c r="Q131" s="206">
        <f t="shared" si="529"/>
        <v>187.38801345217627</v>
      </c>
      <c r="R131" s="238">
        <f t="shared" si="529"/>
        <v>756.7880134521763</v>
      </c>
      <c r="S131" s="206">
        <f t="shared" si="529"/>
        <v>181.54601844087324</v>
      </c>
      <c r="T131" s="206">
        <f t="shared" si="529"/>
        <v>181.53976077618304</v>
      </c>
      <c r="U131" s="206">
        <f t="shared" si="529"/>
        <v>198.3332057110938</v>
      </c>
      <c r="V131" s="206">
        <f t="shared" si="529"/>
        <v>191.29418669026012</v>
      </c>
      <c r="W131" s="238">
        <f t="shared" si="529"/>
        <v>752.71317161841057</v>
      </c>
      <c r="X131" s="206">
        <f t="shared" si="529"/>
        <v>190.22591412508081</v>
      </c>
      <c r="Y131" s="206">
        <f t="shared" si="529"/>
        <v>190.01781025752831</v>
      </c>
      <c r="Z131" s="206">
        <f t="shared" si="529"/>
        <v>205.82641587974538</v>
      </c>
      <c r="AA131" s="206">
        <f t="shared" si="529"/>
        <v>198.83846137998978</v>
      </c>
      <c r="AB131" s="238">
        <f t="shared" si="529"/>
        <v>784.90860164234414</v>
      </c>
      <c r="AC131" s="206">
        <f t="shared" si="529"/>
        <v>197.74564345750815</v>
      </c>
      <c r="AD131" s="206">
        <f t="shared" si="529"/>
        <v>197.27107656314439</v>
      </c>
      <c r="AE131" s="206">
        <f t="shared" si="529"/>
        <v>213.68001096110589</v>
      </c>
      <c r="AF131" s="206">
        <f t="shared" si="529"/>
        <v>206.46675609025968</v>
      </c>
      <c r="AG131" s="238">
        <f t="shared" si="529"/>
        <v>815.16348707201814</v>
      </c>
      <c r="AH131" s="206">
        <f t="shared" si="529"/>
        <v>204.7039887757777</v>
      </c>
      <c r="AI131" s="206">
        <f t="shared" si="529"/>
        <v>204.13335901373841</v>
      </c>
      <c r="AJ131" s="206">
        <f t="shared" si="529"/>
        <v>221.33618547575429</v>
      </c>
      <c r="AK131" s="206">
        <f t="shared" si="529"/>
        <v>213.79641442680213</v>
      </c>
      <c r="AL131" s="238">
        <f t="shared" si="529"/>
        <v>843.96994769207265</v>
      </c>
      <c r="AM131" s="206">
        <f t="shared" ref="AM131:AQ131" si="530">AM119-AM129+AM130</f>
        <v>211.94934557017595</v>
      </c>
      <c r="AN131" s="206">
        <f t="shared" si="530"/>
        <v>211.33505844355858</v>
      </c>
      <c r="AO131" s="206">
        <f t="shared" si="530"/>
        <v>229.3972163347749</v>
      </c>
      <c r="AP131" s="206">
        <f t="shared" si="530"/>
        <v>221.48605158214167</v>
      </c>
      <c r="AQ131" s="238">
        <f t="shared" si="530"/>
        <v>874.16767193065084</v>
      </c>
    </row>
    <row r="132" spans="1:43" outlineLevel="1" x14ac:dyDescent="0.25">
      <c r="A132" s="253"/>
      <c r="B132" s="167" t="s">
        <v>176</v>
      </c>
      <c r="C132" s="144"/>
      <c r="D132" s="365">
        <f>+D131/D119</f>
        <v>0.34839476813317488</v>
      </c>
      <c r="E132" s="365">
        <f>+E131/E119</f>
        <v>0.33340797133900574</v>
      </c>
      <c r="F132" s="365">
        <f>+F131/F119</f>
        <v>0.34108381773860863</v>
      </c>
      <c r="G132" s="365">
        <f>+G131/G119</f>
        <v>0.37571344223578024</v>
      </c>
      <c r="H132" s="305">
        <f>H131/H119</f>
        <v>0.35004516711833789</v>
      </c>
      <c r="I132" s="365">
        <f t="shared" ref="I132:AL132" si="531">+I131/I119</f>
        <v>0.3548321876263647</v>
      </c>
      <c r="J132" s="365">
        <f t="shared" si="531"/>
        <v>0.36524754382585239</v>
      </c>
      <c r="K132" s="365">
        <f t="shared" si="531"/>
        <v>0.27766599597585523</v>
      </c>
      <c r="L132" s="207">
        <f t="shared" si="531"/>
        <v>0.42650862068965512</v>
      </c>
      <c r="M132" s="239">
        <f t="shared" si="531"/>
        <v>0.35698701298701285</v>
      </c>
      <c r="N132" s="207">
        <f t="shared" si="531"/>
        <v>0.48680667743672595</v>
      </c>
      <c r="O132" s="207">
        <f t="shared" si="531"/>
        <v>0.46661259799945926</v>
      </c>
      <c r="P132" s="207">
        <f t="shared" si="531"/>
        <v>0.52173913043478259</v>
      </c>
      <c r="Q132" s="207">
        <f t="shared" si="531"/>
        <v>0.47476061173594186</v>
      </c>
      <c r="R132" s="239">
        <f t="shared" si="531"/>
        <v>0.4882503312594686</v>
      </c>
      <c r="S132" s="207">
        <f t="shared" si="531"/>
        <v>0.46333207880231142</v>
      </c>
      <c r="T132" s="207">
        <f t="shared" si="531"/>
        <v>0.46519492465924073</v>
      </c>
      <c r="U132" s="207">
        <f t="shared" si="531"/>
        <v>0.45409072443412735</v>
      </c>
      <c r="V132" s="207">
        <f t="shared" si="531"/>
        <v>0.4593906865259958</v>
      </c>
      <c r="W132" s="239">
        <f t="shared" si="531"/>
        <v>0.46030464553946526</v>
      </c>
      <c r="X132" s="207">
        <f t="shared" si="531"/>
        <v>0.45800419458578157</v>
      </c>
      <c r="Y132" s="207">
        <f t="shared" si="531"/>
        <v>0.45935838980078292</v>
      </c>
      <c r="Z132" s="207">
        <f t="shared" si="531"/>
        <v>0.4445723470877021</v>
      </c>
      <c r="AA132" s="207">
        <f t="shared" si="531"/>
        <v>0.45047940695750888</v>
      </c>
      <c r="AB132" s="239">
        <f t="shared" si="531"/>
        <v>0.4528236128238104</v>
      </c>
      <c r="AC132" s="207">
        <f t="shared" si="531"/>
        <v>0.45128847263618599</v>
      </c>
      <c r="AD132" s="207">
        <f t="shared" si="531"/>
        <v>0.45203108256858127</v>
      </c>
      <c r="AE132" s="207">
        <f t="shared" si="531"/>
        <v>0.43747452838798928</v>
      </c>
      <c r="AF132" s="207">
        <f t="shared" si="531"/>
        <v>0.44337604336207859</v>
      </c>
      <c r="AG132" s="239">
        <f t="shared" si="531"/>
        <v>0.4457611711269921</v>
      </c>
      <c r="AH132" s="207">
        <f t="shared" si="531"/>
        <v>0.44492245223961413</v>
      </c>
      <c r="AI132" s="207">
        <f t="shared" si="531"/>
        <v>0.44548139096308248</v>
      </c>
      <c r="AJ132" s="207">
        <f t="shared" si="531"/>
        <v>0.43157074392141731</v>
      </c>
      <c r="AK132" s="207">
        <f t="shared" si="531"/>
        <v>0.43725341232411546</v>
      </c>
      <c r="AL132" s="239">
        <f t="shared" si="531"/>
        <v>0.43953675813344006</v>
      </c>
      <c r="AM132" s="207">
        <f t="shared" ref="AM132:AQ132" si="532">+AM131/AM119</f>
        <v>0.43873350115906512</v>
      </c>
      <c r="AN132" s="207">
        <f t="shared" si="532"/>
        <v>0.43923590534177959</v>
      </c>
      <c r="AO132" s="207">
        <f t="shared" si="532"/>
        <v>0.42598903432287288</v>
      </c>
      <c r="AP132" s="207">
        <f t="shared" si="532"/>
        <v>0.4314096664883551</v>
      </c>
      <c r="AQ132" s="239">
        <f t="shared" si="532"/>
        <v>0.43358441244453166</v>
      </c>
    </row>
    <row r="133" spans="1:43" ht="18" x14ac:dyDescent="0.4">
      <c r="A133" s="253"/>
      <c r="B133" s="532" t="s">
        <v>177</v>
      </c>
      <c r="C133" s="533"/>
      <c r="D133" s="32" t="s">
        <v>119</v>
      </c>
      <c r="E133" s="32" t="s">
        <v>243</v>
      </c>
      <c r="F133" s="32" t="s">
        <v>247</v>
      </c>
      <c r="G133" s="32" t="s">
        <v>257</v>
      </c>
      <c r="H133" s="86" t="s">
        <v>258</v>
      </c>
      <c r="I133" s="32" t="s">
        <v>259</v>
      </c>
      <c r="J133" s="32" t="s">
        <v>260</v>
      </c>
      <c r="K133" s="32" t="s">
        <v>261</v>
      </c>
      <c r="L133" s="32" t="s">
        <v>322</v>
      </c>
      <c r="M133" s="86" t="s">
        <v>333</v>
      </c>
      <c r="N133" s="32" t="s">
        <v>339</v>
      </c>
      <c r="O133" s="32" t="s">
        <v>347</v>
      </c>
      <c r="P133" s="32" t="s">
        <v>349</v>
      </c>
      <c r="Q133" s="30" t="s">
        <v>129</v>
      </c>
      <c r="R133" s="89" t="s">
        <v>130</v>
      </c>
      <c r="S133" s="30" t="s">
        <v>131</v>
      </c>
      <c r="T133" s="30" t="s">
        <v>132</v>
      </c>
      <c r="U133" s="30" t="s">
        <v>133</v>
      </c>
      <c r="V133" s="30" t="s">
        <v>134</v>
      </c>
      <c r="W133" s="89" t="s">
        <v>135</v>
      </c>
      <c r="X133" s="30" t="s">
        <v>136</v>
      </c>
      <c r="Y133" s="30" t="s">
        <v>137</v>
      </c>
      <c r="Z133" s="30" t="s">
        <v>138</v>
      </c>
      <c r="AA133" s="30" t="s">
        <v>139</v>
      </c>
      <c r="AB133" s="89" t="s">
        <v>140</v>
      </c>
      <c r="AC133" s="30" t="s">
        <v>252</v>
      </c>
      <c r="AD133" s="30" t="s">
        <v>253</v>
      </c>
      <c r="AE133" s="30" t="s">
        <v>254</v>
      </c>
      <c r="AF133" s="30" t="s">
        <v>255</v>
      </c>
      <c r="AG133" s="89" t="s">
        <v>256</v>
      </c>
      <c r="AH133" s="30" t="s">
        <v>285</v>
      </c>
      <c r="AI133" s="30" t="s">
        <v>286</v>
      </c>
      <c r="AJ133" s="30" t="s">
        <v>287</v>
      </c>
      <c r="AK133" s="30" t="s">
        <v>288</v>
      </c>
      <c r="AL133" s="89" t="s">
        <v>289</v>
      </c>
      <c r="AM133" s="30" t="s">
        <v>356</v>
      </c>
      <c r="AN133" s="30" t="s">
        <v>357</v>
      </c>
      <c r="AO133" s="30" t="s">
        <v>358</v>
      </c>
      <c r="AP133" s="30" t="s">
        <v>359</v>
      </c>
      <c r="AQ133" s="89" t="s">
        <v>360</v>
      </c>
    </row>
    <row r="134" spans="1:43" s="20" customFormat="1" outlineLevel="1" x14ac:dyDescent="0.25">
      <c r="A134" s="268"/>
      <c r="B134" s="562" t="s">
        <v>303</v>
      </c>
      <c r="C134" s="563"/>
      <c r="D134" s="169">
        <v>11.6</v>
      </c>
      <c r="E134" s="169">
        <v>15.8</v>
      </c>
      <c r="F134" s="169">
        <v>23.3</v>
      </c>
      <c r="G134" s="169">
        <v>15.4</v>
      </c>
      <c r="H134" s="59">
        <f>SUM(D134:G134)</f>
        <v>66.100000000000009</v>
      </c>
      <c r="I134" s="169">
        <v>20.5</v>
      </c>
      <c r="J134" s="169">
        <v>12</v>
      </c>
      <c r="K134" s="169">
        <v>19.7</v>
      </c>
      <c r="L134" s="169">
        <v>13.9</v>
      </c>
      <c r="M134" s="59">
        <f>SUM(I134:L134)</f>
        <v>66.100000000000009</v>
      </c>
      <c r="N134" s="169">
        <v>20.5</v>
      </c>
      <c r="O134" s="169">
        <v>22.6</v>
      </c>
      <c r="P134" s="169">
        <v>23.8</v>
      </c>
      <c r="Q134" s="169">
        <f t="shared" ref="Q134" si="533">+L134*(1+Q135)</f>
        <v>15.290000000000001</v>
      </c>
      <c r="R134" s="59">
        <f>SUM(N134:Q134)</f>
        <v>82.190000000000012</v>
      </c>
      <c r="S134" s="169">
        <f>+N134*(1+S135)</f>
        <v>22.55</v>
      </c>
      <c r="T134" s="169">
        <f>+O134*(1+T135)</f>
        <v>24.860000000000003</v>
      </c>
      <c r="U134" s="169">
        <f>+P134*(1+U135)</f>
        <v>26.180000000000003</v>
      </c>
      <c r="V134" s="169">
        <f t="shared" ref="V134" si="534">+Q134*(1+V135)</f>
        <v>16.819000000000003</v>
      </c>
      <c r="W134" s="59">
        <f>SUM(S134:V134)</f>
        <v>90.409000000000006</v>
      </c>
      <c r="X134" s="169">
        <f>+S134*(1+X135)</f>
        <v>24.805000000000003</v>
      </c>
      <c r="Y134" s="169">
        <f>+T134*(1+Y135)</f>
        <v>27.346000000000007</v>
      </c>
      <c r="Z134" s="169">
        <f>+U134*(1+Z135)</f>
        <v>28.798000000000005</v>
      </c>
      <c r="AA134" s="169">
        <f t="shared" ref="AA134" si="535">+V134*(1+AA135)</f>
        <v>18.500900000000005</v>
      </c>
      <c r="AB134" s="59">
        <f>SUM(X134:AA134)</f>
        <v>99.449900000000014</v>
      </c>
      <c r="AC134" s="169">
        <f>+X134*(1+AC135)</f>
        <v>27.285500000000006</v>
      </c>
      <c r="AD134" s="169">
        <f>+Y134*(1+AD135)</f>
        <v>30.080600000000011</v>
      </c>
      <c r="AE134" s="169">
        <f>+Z134*(1+AE135)</f>
        <v>31.677800000000008</v>
      </c>
      <c r="AF134" s="169">
        <f t="shared" ref="AF134" si="536">+AA134*(1+AF135)</f>
        <v>20.350990000000007</v>
      </c>
      <c r="AG134" s="59">
        <f>SUM(AC134:AF134)</f>
        <v>109.39489000000003</v>
      </c>
      <c r="AH134" s="169">
        <f>+AC134*(1+AH135)</f>
        <v>30.014050000000008</v>
      </c>
      <c r="AI134" s="169">
        <f>+AD134*(1+AI135)</f>
        <v>33.088660000000012</v>
      </c>
      <c r="AJ134" s="169">
        <f>+AE134*(1+AJ135)</f>
        <v>34.845580000000012</v>
      </c>
      <c r="AK134" s="169">
        <f t="shared" ref="AK134" si="537">+AF134*(1+AK135)</f>
        <v>22.386089000000009</v>
      </c>
      <c r="AL134" s="59">
        <f>SUM(AH134:AK134)</f>
        <v>120.33437900000004</v>
      </c>
      <c r="AM134" s="169">
        <f>+AH134*(1+AM135)</f>
        <v>33.01545500000001</v>
      </c>
      <c r="AN134" s="169">
        <f>+AI134*(1+AN135)</f>
        <v>36.397526000000013</v>
      </c>
      <c r="AO134" s="169">
        <f>+AJ134*(1+AO135)</f>
        <v>38.330138000000019</v>
      </c>
      <c r="AP134" s="169">
        <f t="shared" ref="AP134" si="538">+AK134*(1+AP135)</f>
        <v>24.624697900000012</v>
      </c>
      <c r="AQ134" s="59">
        <f>SUM(AM134:AP134)</f>
        <v>132.36781690000007</v>
      </c>
    </row>
    <row r="135" spans="1:43" s="20" customFormat="1" outlineLevel="1" x14ac:dyDescent="0.25">
      <c r="A135" s="268"/>
      <c r="B135" s="78" t="s">
        <v>304</v>
      </c>
      <c r="C135" s="394"/>
      <c r="D135" s="56"/>
      <c r="E135" s="56"/>
      <c r="F135" s="56"/>
      <c r="G135" s="284"/>
      <c r="H135" s="317"/>
      <c r="I135" s="284">
        <f t="shared" ref="I135:J135" si="539">I134/D134-1</f>
        <v>0.76724137931034497</v>
      </c>
      <c r="J135" s="284">
        <f t="shared" si="539"/>
        <v>-0.24050632911392411</v>
      </c>
      <c r="K135" s="284">
        <f>K134/F134-1</f>
        <v>-0.15450643776824036</v>
      </c>
      <c r="L135" s="284">
        <f>L134/G134-1</f>
        <v>-9.740259740259738E-2</v>
      </c>
      <c r="M135" s="310">
        <f>M134/H134-1</f>
        <v>0</v>
      </c>
      <c r="N135" s="284">
        <f t="shared" ref="N135" si="540">N134/I134-1</f>
        <v>0</v>
      </c>
      <c r="O135" s="284">
        <v>0.1</v>
      </c>
      <c r="P135" s="284">
        <v>0.1</v>
      </c>
      <c r="Q135" s="64">
        <v>0.1</v>
      </c>
      <c r="R135" s="310">
        <f>R134/M134-1</f>
        <v>0.2434190620272314</v>
      </c>
      <c r="S135" s="64">
        <v>0.1</v>
      </c>
      <c r="T135" s="64">
        <v>0.1</v>
      </c>
      <c r="U135" s="64">
        <f>AVERAGE(T135,S135,Q135,P135)</f>
        <v>0.1</v>
      </c>
      <c r="V135" s="64">
        <f>AVERAGE(U135,T135,S135,Q135)</f>
        <v>0.1</v>
      </c>
      <c r="W135" s="310">
        <f>W134/R134-1</f>
        <v>9.9999999999999867E-2</v>
      </c>
      <c r="X135" s="64">
        <f>AVERAGE(V135,U135,T135,S135)</f>
        <v>0.1</v>
      </c>
      <c r="Y135" s="64">
        <f>AVERAGE(X135,V135,U135,T135)</f>
        <v>0.1</v>
      </c>
      <c r="Z135" s="64">
        <f>AVERAGE(Y135,X135,V135,U135)</f>
        <v>0.1</v>
      </c>
      <c r="AA135" s="64">
        <f>AVERAGE(Z135,Y135,X135,V135)</f>
        <v>0.1</v>
      </c>
      <c r="AB135" s="310">
        <f>AB134/W134-1</f>
        <v>0.10000000000000009</v>
      </c>
      <c r="AC135" s="64">
        <f>AVERAGE(AA135,Z135,Y135,X135)</f>
        <v>0.1</v>
      </c>
      <c r="AD135" s="64">
        <f>AVERAGE(AC135,AA135,Z135,Y135)</f>
        <v>0.1</v>
      </c>
      <c r="AE135" s="64">
        <f>AVERAGE(AD135,AC135,AA135,Z135)</f>
        <v>0.1</v>
      </c>
      <c r="AF135" s="64">
        <f>AVERAGE(AE135,AD135,AC135,AA135)</f>
        <v>0.1</v>
      </c>
      <c r="AG135" s="310">
        <f>AG134/AB134-1</f>
        <v>0.10000000000000009</v>
      </c>
      <c r="AH135" s="64">
        <f>AVERAGE(AF135,AE135,AD135,AC135)</f>
        <v>0.1</v>
      </c>
      <c r="AI135" s="64">
        <f>AVERAGE(AH135,AF135,AE135,AD135)</f>
        <v>0.1</v>
      </c>
      <c r="AJ135" s="64">
        <f>AVERAGE(AI135,AH135,AF135,AE135)</f>
        <v>0.1</v>
      </c>
      <c r="AK135" s="64">
        <f>AVERAGE(AJ135,AI135,AH135,AF135)</f>
        <v>0.1</v>
      </c>
      <c r="AL135" s="310">
        <f>AL134/AG134-1</f>
        <v>0.10000000000000009</v>
      </c>
      <c r="AM135" s="64">
        <f>AVERAGE(AK135,AJ135,AI135,AH135)</f>
        <v>0.1</v>
      </c>
      <c r="AN135" s="64">
        <f>AVERAGE(AM135,AK135,AJ135,AI135)</f>
        <v>0.1</v>
      </c>
      <c r="AO135" s="64">
        <f>AVERAGE(AN135,AM135,AK135,AJ135)</f>
        <v>0.1</v>
      </c>
      <c r="AP135" s="64">
        <f>AVERAGE(AO135,AN135,AM135,AK135)</f>
        <v>0.1</v>
      </c>
      <c r="AQ135" s="310">
        <f>AQ134/AL134-1</f>
        <v>0.10000000000000009</v>
      </c>
    </row>
    <row r="136" spans="1:43" outlineLevel="1" x14ac:dyDescent="0.25">
      <c r="A136" s="253"/>
      <c r="B136" s="572" t="s">
        <v>262</v>
      </c>
      <c r="C136" s="573"/>
      <c r="D136" s="169">
        <v>13.4</v>
      </c>
      <c r="E136" s="169">
        <v>15.9</v>
      </c>
      <c r="F136" s="169">
        <v>22.4</v>
      </c>
      <c r="G136" s="260">
        <v>15.5</v>
      </c>
      <c r="H136" s="272"/>
      <c r="I136" s="260">
        <v>20.7</v>
      </c>
      <c r="J136" s="260">
        <v>10.199999999999999</v>
      </c>
      <c r="K136" s="260">
        <v>20.8</v>
      </c>
      <c r="L136" s="260">
        <v>11.6</v>
      </c>
      <c r="M136" s="59">
        <f>SUM(I136:L136)</f>
        <v>63.300000000000004</v>
      </c>
      <c r="N136" s="260">
        <v>19</v>
      </c>
      <c r="O136" s="260">
        <v>19.399999999999999</v>
      </c>
      <c r="P136" s="260">
        <v>19.8</v>
      </c>
      <c r="Q136" s="231">
        <f>AVERAGE(P136,O136,N136,L136)</f>
        <v>17.45</v>
      </c>
      <c r="R136" s="59">
        <f>SUM(N136:Q136)</f>
        <v>75.650000000000006</v>
      </c>
      <c r="S136" s="231">
        <f>AVERAGE(Q136,P136,O136,N136)</f>
        <v>18.912500000000001</v>
      </c>
      <c r="T136" s="231">
        <f>AVERAGE(S136,Q136,P136,O136)</f>
        <v>18.890625</v>
      </c>
      <c r="U136" s="231">
        <f>AVERAGE(T136,S136,Q136,P136)</f>
        <v>18.763281249999999</v>
      </c>
      <c r="V136" s="231">
        <f>AVERAGE(U136,T136,S136,Q136)</f>
        <v>18.504101562500001</v>
      </c>
      <c r="W136" s="59">
        <f>SUM(S136:V136)</f>
        <v>75.070507812499997</v>
      </c>
      <c r="X136" s="231">
        <f>AVERAGE(V136,U136,T136,S136)</f>
        <v>18.767626953125003</v>
      </c>
      <c r="Y136" s="231">
        <f>AVERAGE(X136,V136,U136,T136)</f>
        <v>18.731408691406251</v>
      </c>
      <c r="Z136" s="231">
        <f>AVERAGE(Y136,X136,V136,U136)</f>
        <v>18.691604614257813</v>
      </c>
      <c r="AA136" s="231">
        <f>AVERAGE(Z136,Y136,X136,V136)</f>
        <v>18.673685455322268</v>
      </c>
      <c r="AB136" s="59">
        <f>SUM(X136:AA136)</f>
        <v>74.864325714111331</v>
      </c>
      <c r="AC136" s="231">
        <f>AVERAGE(AA136,Z136,Y136,X136)</f>
        <v>18.716081428527836</v>
      </c>
      <c r="AD136" s="231">
        <f>AVERAGE(AC136,AA136,Z136,Y136)</f>
        <v>18.703195047378543</v>
      </c>
      <c r="AE136" s="231">
        <f>AVERAGE(AD136,AC136,AA136,Z136)</f>
        <v>18.696141636371614</v>
      </c>
      <c r="AF136" s="231">
        <f>AVERAGE(AE136,AD136,AC136,AA136)</f>
        <v>18.697275891900066</v>
      </c>
      <c r="AG136" s="59">
        <f>SUM(AC136:AF136)</f>
        <v>74.812694004178056</v>
      </c>
      <c r="AH136" s="231">
        <f>AVERAGE(AF136,AE136,AD136,AC136)</f>
        <v>18.703173501044517</v>
      </c>
      <c r="AI136" s="231">
        <f>AVERAGE(AH136,AF136,AE136,AD136)</f>
        <v>18.699946519173686</v>
      </c>
      <c r="AJ136" s="231">
        <f>AVERAGE(AI136,AH136,AF136,AE136)</f>
        <v>18.69913438712247</v>
      </c>
      <c r="AK136" s="231">
        <f>AVERAGE(AJ136,AI136,AH136,AF136)</f>
        <v>18.699882574810186</v>
      </c>
      <c r="AL136" s="59">
        <f>SUM(AH136:AK136)</f>
        <v>74.802136982150856</v>
      </c>
      <c r="AM136" s="231">
        <f>AVERAGE(AK136,AJ136,AI136,AH136)</f>
        <v>18.700534245537717</v>
      </c>
      <c r="AN136" s="231">
        <f>AVERAGE(AM136,AK136,AJ136,AI136)</f>
        <v>18.699874431661016</v>
      </c>
      <c r="AO136" s="231">
        <f>AVERAGE(AN136,AM136,AK136,AJ136)</f>
        <v>18.699856409782846</v>
      </c>
      <c r="AP136" s="231">
        <f>AVERAGE(AO136,AN136,AM136,AK136)</f>
        <v>18.700036915447942</v>
      </c>
      <c r="AQ136" s="59">
        <f>SUM(AM136:AP136)</f>
        <v>74.800302002429518</v>
      </c>
    </row>
    <row r="137" spans="1:43" outlineLevel="1" x14ac:dyDescent="0.25">
      <c r="A137" s="253"/>
      <c r="B137" s="407" t="s">
        <v>142</v>
      </c>
      <c r="C137" s="36"/>
      <c r="D137" s="169">
        <v>3.2</v>
      </c>
      <c r="E137" s="169">
        <v>4.3</v>
      </c>
      <c r="F137" s="169">
        <v>5.8</v>
      </c>
      <c r="G137" s="260">
        <f>5.2+0.1</f>
        <v>5.3</v>
      </c>
      <c r="H137" s="272"/>
      <c r="I137" s="260">
        <v>2.8</v>
      </c>
      <c r="J137" s="260">
        <v>3.7</v>
      </c>
      <c r="K137" s="260">
        <v>4</v>
      </c>
      <c r="L137" s="260">
        <v>3.4</v>
      </c>
      <c r="M137" s="59">
        <f t="shared" ref="M137:M140" si="541">SUM(I137:L137)</f>
        <v>13.9</v>
      </c>
      <c r="N137" s="260">
        <v>3.6</v>
      </c>
      <c r="O137" s="260">
        <v>3.4</v>
      </c>
      <c r="P137" s="260">
        <v>3.3</v>
      </c>
      <c r="Q137" s="231">
        <f t="shared" ref="Q137" si="542">AVERAGE(P137,O137,N137,L137)</f>
        <v>3.4249999999999998</v>
      </c>
      <c r="R137" s="59">
        <f t="shared" ref="R137:R140" si="543">SUM(N137:Q137)</f>
        <v>13.725000000000001</v>
      </c>
      <c r="S137" s="231">
        <f t="shared" ref="S137" si="544">AVERAGE(Q137,P137,O137,N137)</f>
        <v>3.4312499999999999</v>
      </c>
      <c r="T137" s="231">
        <f t="shared" ref="T137" si="545">AVERAGE(S137,Q137,P137,O137)</f>
        <v>3.3890625000000001</v>
      </c>
      <c r="U137" s="231">
        <f t="shared" ref="U137" si="546">AVERAGE(T137,S137,Q137,P137)</f>
        <v>3.3863281250000004</v>
      </c>
      <c r="V137" s="231">
        <f t="shared" ref="V137" si="547">AVERAGE(U137,T137,S137,Q137)</f>
        <v>3.4079101562499998</v>
      </c>
      <c r="W137" s="59">
        <f t="shared" ref="W137:W140" si="548">SUM(S137:V137)</f>
        <v>13.614550781249999</v>
      </c>
      <c r="X137" s="231">
        <f t="shared" ref="X137" si="549">AVERAGE(V137,U137,T137,S137)</f>
        <v>3.4036376953125003</v>
      </c>
      <c r="Y137" s="231">
        <f t="shared" ref="Y137" si="550">AVERAGE(X137,V137,U137,T137)</f>
        <v>3.3967346191406249</v>
      </c>
      <c r="Z137" s="231">
        <f t="shared" ref="Z137" si="551">AVERAGE(Y137,X137,V137,U137)</f>
        <v>3.3986526489257813</v>
      </c>
      <c r="AA137" s="231">
        <f t="shared" ref="AA137" si="552">AVERAGE(Z137,Y137,X137,V137)</f>
        <v>3.4017337799072269</v>
      </c>
      <c r="AB137" s="59">
        <f t="shared" ref="AB137:AB140" si="553">SUM(X137:AA137)</f>
        <v>13.600758743286134</v>
      </c>
      <c r="AC137" s="231">
        <f t="shared" ref="AC137" si="554">AVERAGE(AA137,Z137,Y137,X137)</f>
        <v>3.4001896858215335</v>
      </c>
      <c r="AD137" s="231">
        <f t="shared" ref="AD137" si="555">AVERAGE(AC137,AA137,Z137,Y137)</f>
        <v>3.3993276834487918</v>
      </c>
      <c r="AE137" s="231">
        <f t="shared" ref="AE137" si="556">AVERAGE(AD137,AC137,AA137,Z137)</f>
        <v>3.399975949525833</v>
      </c>
      <c r="AF137" s="231">
        <f t="shared" ref="AF137" si="557">AVERAGE(AE137,AD137,AC137,AA137)</f>
        <v>3.4003067746758462</v>
      </c>
      <c r="AG137" s="59">
        <f t="shared" ref="AG137:AG140" si="558">SUM(AC137:AF137)</f>
        <v>13.599800093472004</v>
      </c>
      <c r="AH137" s="231">
        <f t="shared" ref="AH137" si="559">AVERAGE(AF137,AE137,AD137,AC137)</f>
        <v>3.3999500233680013</v>
      </c>
      <c r="AI137" s="231">
        <f t="shared" ref="AI137" si="560">AVERAGE(AH137,AF137,AE137,AD137)</f>
        <v>3.3998901077546182</v>
      </c>
      <c r="AJ137" s="231">
        <f t="shared" ref="AJ137" si="561">AVERAGE(AI137,AH137,AF137,AE137)</f>
        <v>3.4000307138310748</v>
      </c>
      <c r="AK137" s="231">
        <f t="shared" ref="AK137" si="562">AVERAGE(AJ137,AI137,AH137,AF137)</f>
        <v>3.4000444049073848</v>
      </c>
      <c r="AL137" s="59">
        <f t="shared" ref="AL137:AL140" si="563">SUM(AH137:AK137)</f>
        <v>13.59991524986108</v>
      </c>
      <c r="AM137" s="231">
        <f t="shared" ref="AM137" si="564">AVERAGE(AK137,AJ137,AI137,AH137)</f>
        <v>3.3999788124652697</v>
      </c>
      <c r="AN137" s="231">
        <f t="shared" ref="AN137" si="565">AVERAGE(AM137,AK137,AJ137,AI137)</f>
        <v>3.3999860097395871</v>
      </c>
      <c r="AO137" s="231">
        <f t="shared" ref="AO137" si="566">AVERAGE(AN137,AM137,AK137,AJ137)</f>
        <v>3.4000099852358292</v>
      </c>
      <c r="AP137" s="231">
        <f t="shared" ref="AP137" si="567">AVERAGE(AO137,AN137,AM137,AK137)</f>
        <v>3.4000048030870178</v>
      </c>
      <c r="AQ137" s="59">
        <f t="shared" ref="AQ137:AQ140" si="568">SUM(AM137:AP137)</f>
        <v>13.599979610527704</v>
      </c>
    </row>
    <row r="138" spans="1:43" outlineLevel="1" x14ac:dyDescent="0.25">
      <c r="A138" s="253"/>
      <c r="B138" s="407" t="s">
        <v>143</v>
      </c>
      <c r="C138" s="36"/>
      <c r="D138" s="204">
        <v>39.5</v>
      </c>
      <c r="E138" s="204">
        <v>40.5</v>
      </c>
      <c r="F138" s="204">
        <v>39.6</v>
      </c>
      <c r="G138" s="286">
        <v>37.299999999999997</v>
      </c>
      <c r="H138" s="317"/>
      <c r="I138" s="286">
        <v>34.9</v>
      </c>
      <c r="J138" s="286">
        <v>34.5</v>
      </c>
      <c r="K138" s="286">
        <v>40.9</v>
      </c>
      <c r="L138" s="286">
        <v>39.5</v>
      </c>
      <c r="M138" s="59">
        <f t="shared" si="541"/>
        <v>149.80000000000001</v>
      </c>
      <c r="N138" s="286">
        <v>37</v>
      </c>
      <c r="O138" s="286">
        <v>37</v>
      </c>
      <c r="P138" s="286">
        <v>35.5</v>
      </c>
      <c r="Q138" s="204">
        <f>(P138/(P75+P110+P125+P138))*Q245</f>
        <v>37.964604992331871</v>
      </c>
      <c r="R138" s="59">
        <f t="shared" si="543"/>
        <v>147.46460499233189</v>
      </c>
      <c r="S138" s="204">
        <f>(Q138/(Q75+Q110+Q125+Q138))*S245</f>
        <v>40.131560440639731</v>
      </c>
      <c r="T138" s="204">
        <f>(S138/(S75+S110+S125+S138))*T245</f>
        <v>40.421744292716987</v>
      </c>
      <c r="U138" s="204">
        <f>(T138/(T75+T110+T125+T138))*U245</f>
        <v>40.582142530843157</v>
      </c>
      <c r="V138" s="204">
        <f>(U138/(U75+U110+U125+U138))*V245</f>
        <v>41.355397646397755</v>
      </c>
      <c r="W138" s="59">
        <f t="shared" si="548"/>
        <v>162.49084491059764</v>
      </c>
      <c r="X138" s="204">
        <f>(V138/(V75+V110+V125+V138))*X245</f>
        <v>41.865888781179407</v>
      </c>
      <c r="Y138" s="204">
        <f>(X138/(X75+X110+X125+X138))*Y245</f>
        <v>42.094621109889147</v>
      </c>
      <c r="Z138" s="204">
        <f>(Y138/(Y75+Y110+Y125+Y138))*Z245</f>
        <v>42.285004260229066</v>
      </c>
      <c r="AA138" s="204">
        <f>(Z138/(Z75+Z110+Z125+Z138))*AA245</f>
        <v>42.862072379488438</v>
      </c>
      <c r="AB138" s="59">
        <f t="shared" si="553"/>
        <v>169.10758653078605</v>
      </c>
      <c r="AC138" s="204">
        <f>(AA138/(AA75+AA110+AA125+AA138))*AC245</f>
        <v>43.23624877514478</v>
      </c>
      <c r="AD138" s="204">
        <f>(AC138/(AC75+AC110+AC125+AC138))*AD245</f>
        <v>43.340277435237198</v>
      </c>
      <c r="AE138" s="204">
        <f>(AD138/(AD75+AD110+AD125+AD138))*AE245</f>
        <v>43.411143929868082</v>
      </c>
      <c r="AF138" s="204">
        <f>(AE138/(AE75+AE110+AE125+AE138))*AF245</f>
        <v>43.846336367789142</v>
      </c>
      <c r="AG138" s="59">
        <f t="shared" si="558"/>
        <v>173.83400650803921</v>
      </c>
      <c r="AH138" s="204">
        <f>(AF138/(AF75+AF110+AF125+AF138))*AH245</f>
        <v>44.278599780455856</v>
      </c>
      <c r="AI138" s="204">
        <f>(AH138/(AH75+AH110+AH125+AH138))*AI245</f>
        <v>44.553719083944273</v>
      </c>
      <c r="AJ138" s="204">
        <f>(AI138/(AI75+AI110+AI125+AI138))*AJ245</f>
        <v>44.779109918260673</v>
      </c>
      <c r="AK138" s="204">
        <f>(AJ138/(AJ75+AJ110+AJ125+AJ138))*AK245</f>
        <v>45.385977006051583</v>
      </c>
      <c r="AL138" s="59">
        <f t="shared" si="563"/>
        <v>178.99740578871237</v>
      </c>
      <c r="AM138" s="204">
        <f>(AK138/(AK75+AK110+AK125+AK138))*AM245</f>
        <v>45.950226961505244</v>
      </c>
      <c r="AN138" s="204">
        <f>(AM138/(AM75+AM110+AM125+AM138))*AN245</f>
        <v>46.365540539369206</v>
      </c>
      <c r="AO138" s="204">
        <f>(AN138/(AN75+AN110+AN125+AN138))*AO245</f>
        <v>46.716323279674434</v>
      </c>
      <c r="AP138" s="204">
        <f>(AO138/(AO75+AO110+AO125+AO138))*AP245</f>
        <v>47.464023411356898</v>
      </c>
      <c r="AQ138" s="59">
        <f t="shared" si="568"/>
        <v>186.49611419190578</v>
      </c>
    </row>
    <row r="139" spans="1:43" outlineLevel="1" x14ac:dyDescent="0.25">
      <c r="A139" s="253"/>
      <c r="B139" s="407" t="s">
        <v>144</v>
      </c>
      <c r="C139" s="36"/>
      <c r="D139" s="169">
        <v>300.39999999999998</v>
      </c>
      <c r="E139" s="169">
        <v>303.89999999999998</v>
      </c>
      <c r="F139" s="169">
        <v>299</v>
      </c>
      <c r="G139" s="260">
        <v>267.39999999999998</v>
      </c>
      <c r="H139" s="272"/>
      <c r="I139" s="260">
        <v>292.2</v>
      </c>
      <c r="J139" s="260">
        <v>271.60000000000002</v>
      </c>
      <c r="K139" s="260">
        <v>269.10000000000002</v>
      </c>
      <c r="L139" s="260">
        <v>288.8</v>
      </c>
      <c r="M139" s="59">
        <f t="shared" si="541"/>
        <v>1121.7</v>
      </c>
      <c r="N139" s="260">
        <v>316.5</v>
      </c>
      <c r="O139" s="260">
        <v>304.60000000000002</v>
      </c>
      <c r="P139" s="260">
        <v>326.5</v>
      </c>
      <c r="Q139" s="231">
        <f>AVERAGE(P139,O139,N139,L139)-20</f>
        <v>289.10000000000002</v>
      </c>
      <c r="R139" s="59">
        <f t="shared" si="543"/>
        <v>1236.7</v>
      </c>
      <c r="S139" s="231">
        <f t="shared" ref="S139:S140" si="569">AVERAGE(Q139,P139,O139,N139)</f>
        <v>309.17500000000001</v>
      </c>
      <c r="T139" s="231">
        <f t="shared" ref="T139:T140" si="570">AVERAGE(S139,Q139,P139,O139)</f>
        <v>307.34375</v>
      </c>
      <c r="U139" s="231">
        <f t="shared" ref="U139:U140" si="571">AVERAGE(T139,S139,Q139,P139)</f>
        <v>308.02968750000002</v>
      </c>
      <c r="V139" s="231">
        <f t="shared" ref="V139:V140" si="572">AVERAGE(U139,T139,S139,Q139)</f>
        <v>303.412109375</v>
      </c>
      <c r="W139" s="59">
        <f t="shared" si="548"/>
        <v>1227.9605468750001</v>
      </c>
      <c r="X139" s="231">
        <f t="shared" ref="X139:X140" si="573">AVERAGE(V139,U139,T139,S139)</f>
        <v>306.99013671875002</v>
      </c>
      <c r="Y139" s="231">
        <f t="shared" ref="Y139:Y140" si="574">AVERAGE(X139,V139,U139,T139)</f>
        <v>306.44392089843751</v>
      </c>
      <c r="Z139" s="231">
        <f t="shared" ref="Z139:Z140" si="575">AVERAGE(Y139,X139,V139,U139)</f>
        <v>306.21896362304688</v>
      </c>
      <c r="AA139" s="231">
        <f t="shared" ref="AA139:AA140" si="576">AVERAGE(Z139,Y139,X139,V139)</f>
        <v>305.76628265380862</v>
      </c>
      <c r="AB139" s="59">
        <f t="shared" si="553"/>
        <v>1225.419303894043</v>
      </c>
      <c r="AC139" s="231">
        <f t="shared" ref="AC139:AC140" si="577">AVERAGE(AA139,Z139,Y139,X139)</f>
        <v>306.35482597351074</v>
      </c>
      <c r="AD139" s="231">
        <f t="shared" ref="AD139:AD140" si="578">AVERAGE(AC139,AA139,Z139,Y139)</f>
        <v>306.19599828720095</v>
      </c>
      <c r="AE139" s="231">
        <f t="shared" ref="AE139:AE140" si="579">AVERAGE(AD139,AC139,AA139,Z139)</f>
        <v>306.1340176343918</v>
      </c>
      <c r="AF139" s="231">
        <f t="shared" ref="AF139:AF140" si="580">AVERAGE(AE139,AD139,AC139,AA139)</f>
        <v>306.11278113722801</v>
      </c>
      <c r="AG139" s="59">
        <f t="shared" si="558"/>
        <v>1224.7976230323316</v>
      </c>
      <c r="AH139" s="231">
        <f t="shared" ref="AH139:AH140" si="581">AVERAGE(AF139,AE139,AD139,AC139)</f>
        <v>306.19940575808289</v>
      </c>
      <c r="AI139" s="231">
        <f t="shared" ref="AI139:AI140" si="582">AVERAGE(AH139,AF139,AE139,AD139)</f>
        <v>306.1605507042259</v>
      </c>
      <c r="AJ139" s="231">
        <f t="shared" ref="AJ139:AJ140" si="583">AVERAGE(AI139,AH139,AF139,AE139)</f>
        <v>306.15168880848216</v>
      </c>
      <c r="AK139" s="231">
        <f t="shared" ref="AK139:AK140" si="584">AVERAGE(AJ139,AI139,AH139,AF139)</f>
        <v>306.15610660200474</v>
      </c>
      <c r="AL139" s="59">
        <f t="shared" si="563"/>
        <v>1224.6677518727956</v>
      </c>
      <c r="AM139" s="231">
        <f t="shared" ref="AM139:AM140" si="585">AVERAGE(AK139,AJ139,AI139,AH139)</f>
        <v>306.16693796819891</v>
      </c>
      <c r="AN139" s="231">
        <f t="shared" ref="AN139:AN140" si="586">AVERAGE(AM139,AK139,AJ139,AI139)</f>
        <v>306.15882102072794</v>
      </c>
      <c r="AO139" s="231">
        <f t="shared" ref="AO139:AO140" si="587">AVERAGE(AN139,AM139,AK139,AJ139)</f>
        <v>306.15838859985342</v>
      </c>
      <c r="AP139" s="231">
        <f t="shared" ref="AP139:AP140" si="588">AVERAGE(AO139,AN139,AM139,AK139)</f>
        <v>306.16006354769627</v>
      </c>
      <c r="AQ139" s="59">
        <f t="shared" si="568"/>
        <v>1224.6442111364765</v>
      </c>
    </row>
    <row r="140" spans="1:43" ht="17.25" outlineLevel="1" x14ac:dyDescent="0.4">
      <c r="A140" s="253"/>
      <c r="B140" s="407" t="s">
        <v>152</v>
      </c>
      <c r="C140" s="36"/>
      <c r="D140" s="287">
        <v>13.9</v>
      </c>
      <c r="E140" s="287">
        <v>0.6</v>
      </c>
      <c r="F140" s="287">
        <v>6</v>
      </c>
      <c r="G140" s="287">
        <v>-0.9</v>
      </c>
      <c r="H140" s="318"/>
      <c r="I140" s="287">
        <v>0.3</v>
      </c>
      <c r="J140" s="287">
        <v>0</v>
      </c>
      <c r="K140" s="287">
        <v>22.1</v>
      </c>
      <c r="L140" s="287">
        <v>0</v>
      </c>
      <c r="M140" s="480">
        <f t="shared" si="541"/>
        <v>22.400000000000002</v>
      </c>
      <c r="N140" s="287">
        <v>0</v>
      </c>
      <c r="O140" s="287">
        <v>0</v>
      </c>
      <c r="P140" s="287">
        <v>0</v>
      </c>
      <c r="Q140" s="291">
        <f t="shared" ref="Q140" si="589">AVERAGE(P140,O140,N140,L140)</f>
        <v>0</v>
      </c>
      <c r="R140" s="480">
        <f t="shared" si="543"/>
        <v>0</v>
      </c>
      <c r="S140" s="291">
        <f t="shared" si="569"/>
        <v>0</v>
      </c>
      <c r="T140" s="291">
        <f t="shared" si="570"/>
        <v>0</v>
      </c>
      <c r="U140" s="291">
        <f t="shared" si="571"/>
        <v>0</v>
      </c>
      <c r="V140" s="291">
        <f t="shared" si="572"/>
        <v>0</v>
      </c>
      <c r="W140" s="480">
        <f t="shared" si="548"/>
        <v>0</v>
      </c>
      <c r="X140" s="291">
        <f t="shared" si="573"/>
        <v>0</v>
      </c>
      <c r="Y140" s="291">
        <f t="shared" si="574"/>
        <v>0</v>
      </c>
      <c r="Z140" s="291">
        <f t="shared" si="575"/>
        <v>0</v>
      </c>
      <c r="AA140" s="291">
        <f t="shared" si="576"/>
        <v>0</v>
      </c>
      <c r="AB140" s="480">
        <f t="shared" si="553"/>
        <v>0</v>
      </c>
      <c r="AC140" s="291">
        <f t="shared" si="577"/>
        <v>0</v>
      </c>
      <c r="AD140" s="291">
        <f t="shared" si="578"/>
        <v>0</v>
      </c>
      <c r="AE140" s="291">
        <f t="shared" si="579"/>
        <v>0</v>
      </c>
      <c r="AF140" s="291">
        <f t="shared" si="580"/>
        <v>0</v>
      </c>
      <c r="AG140" s="480">
        <f t="shared" si="558"/>
        <v>0</v>
      </c>
      <c r="AH140" s="291">
        <f t="shared" si="581"/>
        <v>0</v>
      </c>
      <c r="AI140" s="291">
        <f t="shared" si="582"/>
        <v>0</v>
      </c>
      <c r="AJ140" s="291">
        <f t="shared" si="583"/>
        <v>0</v>
      </c>
      <c r="AK140" s="291">
        <f t="shared" si="584"/>
        <v>0</v>
      </c>
      <c r="AL140" s="480">
        <f t="shared" si="563"/>
        <v>0</v>
      </c>
      <c r="AM140" s="291">
        <f t="shared" si="585"/>
        <v>0</v>
      </c>
      <c r="AN140" s="291">
        <f t="shared" si="586"/>
        <v>0</v>
      </c>
      <c r="AO140" s="291">
        <f t="shared" si="587"/>
        <v>0</v>
      </c>
      <c r="AP140" s="291">
        <f t="shared" si="588"/>
        <v>0</v>
      </c>
      <c r="AQ140" s="480">
        <f t="shared" si="568"/>
        <v>0</v>
      </c>
    </row>
    <row r="141" spans="1:43" outlineLevel="1" x14ac:dyDescent="0.25">
      <c r="A141" s="253"/>
      <c r="B141" s="167" t="s">
        <v>178</v>
      </c>
      <c r="C141" s="39"/>
      <c r="D141" s="258">
        <f>SUM(D136:D140)</f>
        <v>370.4</v>
      </c>
      <c r="E141" s="258">
        <f>SUM(E136:E140)</f>
        <v>365.2</v>
      </c>
      <c r="F141" s="258">
        <f>SUM(F136:F140)</f>
        <v>372.8</v>
      </c>
      <c r="G141" s="258">
        <f>SUM(G136:G140)</f>
        <v>324.60000000000002</v>
      </c>
      <c r="H141" s="317"/>
      <c r="I141" s="258">
        <f t="shared" ref="I141:AL141" si="590">SUM(I136:I140)</f>
        <v>350.9</v>
      </c>
      <c r="J141" s="258">
        <f t="shared" si="590"/>
        <v>320</v>
      </c>
      <c r="K141" s="258">
        <f t="shared" si="590"/>
        <v>356.90000000000003</v>
      </c>
      <c r="L141" s="171">
        <f t="shared" si="590"/>
        <v>343.3</v>
      </c>
      <c r="M141" s="172">
        <f t="shared" si="590"/>
        <v>1371.1000000000001</v>
      </c>
      <c r="N141" s="171">
        <f t="shared" si="590"/>
        <v>376.1</v>
      </c>
      <c r="O141" s="171">
        <f t="shared" si="590"/>
        <v>364.40000000000003</v>
      </c>
      <c r="P141" s="171">
        <f t="shared" si="590"/>
        <v>385.1</v>
      </c>
      <c r="Q141" s="171">
        <f t="shared" si="590"/>
        <v>347.93960499233191</v>
      </c>
      <c r="R141" s="172">
        <f t="shared" si="590"/>
        <v>1473.539604992332</v>
      </c>
      <c r="S141" s="171">
        <f t="shared" si="590"/>
        <v>371.65031044063971</v>
      </c>
      <c r="T141" s="171">
        <f t="shared" si="590"/>
        <v>370.04518179271702</v>
      </c>
      <c r="U141" s="171">
        <f t="shared" si="590"/>
        <v>370.76143940584319</v>
      </c>
      <c r="V141" s="171">
        <f t="shared" si="590"/>
        <v>366.67951874014773</v>
      </c>
      <c r="W141" s="172">
        <f t="shared" si="590"/>
        <v>1479.1364503793477</v>
      </c>
      <c r="X141" s="171">
        <f t="shared" si="590"/>
        <v>371.02729014836694</v>
      </c>
      <c r="Y141" s="171">
        <f t="shared" si="590"/>
        <v>370.66668531887353</v>
      </c>
      <c r="Z141" s="171">
        <f t="shared" si="590"/>
        <v>370.59422514645951</v>
      </c>
      <c r="AA141" s="171">
        <f t="shared" si="590"/>
        <v>370.70377426852656</v>
      </c>
      <c r="AB141" s="172">
        <f t="shared" si="590"/>
        <v>1482.9919748822265</v>
      </c>
      <c r="AC141" s="171">
        <f t="shared" si="590"/>
        <v>371.70734586300489</v>
      </c>
      <c r="AD141" s="171">
        <f t="shared" si="590"/>
        <v>371.63879845326551</v>
      </c>
      <c r="AE141" s="171">
        <f t="shared" si="590"/>
        <v>371.64127915015729</v>
      </c>
      <c r="AF141" s="171">
        <f t="shared" si="590"/>
        <v>372.05670017159309</v>
      </c>
      <c r="AG141" s="172">
        <f t="shared" si="590"/>
        <v>1487.0441236380209</v>
      </c>
      <c r="AH141" s="171">
        <f t="shared" si="590"/>
        <v>372.58112906295128</v>
      </c>
      <c r="AI141" s="171">
        <f t="shared" si="590"/>
        <v>372.81410641509848</v>
      </c>
      <c r="AJ141" s="171">
        <f t="shared" si="590"/>
        <v>373.02996382769641</v>
      </c>
      <c r="AK141" s="171">
        <f t="shared" si="590"/>
        <v>373.64201058777388</v>
      </c>
      <c r="AL141" s="172">
        <f t="shared" si="590"/>
        <v>1492.0672098935199</v>
      </c>
      <c r="AM141" s="171">
        <f t="shared" ref="AM141:AQ141" si="591">SUM(AM136:AM140)</f>
        <v>374.21767798770713</v>
      </c>
      <c r="AN141" s="171">
        <f t="shared" si="591"/>
        <v>374.62422200149774</v>
      </c>
      <c r="AO141" s="171">
        <f t="shared" si="591"/>
        <v>374.9745782745465</v>
      </c>
      <c r="AP141" s="171">
        <f t="shared" si="591"/>
        <v>375.72412867758811</v>
      </c>
      <c r="AQ141" s="172">
        <f t="shared" si="591"/>
        <v>1499.5406069413395</v>
      </c>
    </row>
    <row r="142" spans="1:43" outlineLevel="1" x14ac:dyDescent="0.25">
      <c r="A142" s="253"/>
      <c r="B142" s="167" t="s">
        <v>179</v>
      </c>
      <c r="C142" s="144"/>
      <c r="D142" s="364">
        <f>D134-D141</f>
        <v>-358.79999999999995</v>
      </c>
      <c r="E142" s="364">
        <f>E134-E141</f>
        <v>-349.4</v>
      </c>
      <c r="F142" s="364">
        <f>F134-F141</f>
        <v>-349.5</v>
      </c>
      <c r="G142" s="364">
        <f>G134-G141</f>
        <v>-309.20000000000005</v>
      </c>
      <c r="H142" s="366"/>
      <c r="I142" s="364">
        <f t="shared" ref="I142:AL142" si="592">I134-I141</f>
        <v>-330.4</v>
      </c>
      <c r="J142" s="364">
        <f t="shared" si="592"/>
        <v>-308</v>
      </c>
      <c r="K142" s="364">
        <f t="shared" si="592"/>
        <v>-337.20000000000005</v>
      </c>
      <c r="L142" s="206">
        <f t="shared" si="592"/>
        <v>-329.40000000000003</v>
      </c>
      <c r="M142" s="481">
        <f t="shared" si="592"/>
        <v>-1305.0000000000002</v>
      </c>
      <c r="N142" s="206">
        <f t="shared" si="592"/>
        <v>-355.6</v>
      </c>
      <c r="O142" s="206">
        <f t="shared" si="592"/>
        <v>-341.8</v>
      </c>
      <c r="P142" s="206">
        <f t="shared" si="592"/>
        <v>-361.3</v>
      </c>
      <c r="Q142" s="206">
        <f t="shared" si="592"/>
        <v>-332.64960499233189</v>
      </c>
      <c r="R142" s="481">
        <f t="shared" si="592"/>
        <v>-1391.3496049923319</v>
      </c>
      <c r="S142" s="206">
        <f t="shared" si="592"/>
        <v>-349.1003104406397</v>
      </c>
      <c r="T142" s="206">
        <f t="shared" si="592"/>
        <v>-345.185181792717</v>
      </c>
      <c r="U142" s="206">
        <f t="shared" si="592"/>
        <v>-344.58143940584318</v>
      </c>
      <c r="V142" s="206">
        <f t="shared" si="592"/>
        <v>-349.86051874014771</v>
      </c>
      <c r="W142" s="481">
        <f t="shared" si="592"/>
        <v>-1388.7274503793476</v>
      </c>
      <c r="X142" s="206">
        <f t="shared" si="592"/>
        <v>-346.22229014836694</v>
      </c>
      <c r="Y142" s="206">
        <f t="shared" si="592"/>
        <v>-343.32068531887353</v>
      </c>
      <c r="Z142" s="206">
        <f t="shared" si="592"/>
        <v>-341.79622514645951</v>
      </c>
      <c r="AA142" s="206">
        <f t="shared" si="592"/>
        <v>-352.20287426852656</v>
      </c>
      <c r="AB142" s="481">
        <f t="shared" si="592"/>
        <v>-1383.5420748822264</v>
      </c>
      <c r="AC142" s="206">
        <f t="shared" si="592"/>
        <v>-344.42184586300488</v>
      </c>
      <c r="AD142" s="206">
        <f t="shared" si="592"/>
        <v>-341.5581984532655</v>
      </c>
      <c r="AE142" s="206">
        <f t="shared" si="592"/>
        <v>-339.9634791501573</v>
      </c>
      <c r="AF142" s="206">
        <f t="shared" si="592"/>
        <v>-351.70571017159307</v>
      </c>
      <c r="AG142" s="481">
        <f t="shared" si="592"/>
        <v>-1377.6492336380209</v>
      </c>
      <c r="AH142" s="206">
        <f t="shared" si="592"/>
        <v>-342.56707906295128</v>
      </c>
      <c r="AI142" s="206">
        <f t="shared" si="592"/>
        <v>-339.72544641509847</v>
      </c>
      <c r="AJ142" s="206">
        <f t="shared" si="592"/>
        <v>-338.18438382769637</v>
      </c>
      <c r="AK142" s="206">
        <f t="shared" si="592"/>
        <v>-351.25592158777386</v>
      </c>
      <c r="AL142" s="481">
        <f t="shared" si="592"/>
        <v>-1371.7328308935198</v>
      </c>
      <c r="AM142" s="206">
        <f t="shared" ref="AM142:AQ142" si="593">AM134-AM141</f>
        <v>-341.2022229877071</v>
      </c>
      <c r="AN142" s="206">
        <f t="shared" si="593"/>
        <v>-338.22669600149771</v>
      </c>
      <c r="AO142" s="206">
        <f t="shared" si="593"/>
        <v>-336.64444027454647</v>
      </c>
      <c r="AP142" s="206">
        <f t="shared" si="593"/>
        <v>-351.09943077758811</v>
      </c>
      <c r="AQ142" s="481">
        <f t="shared" si="593"/>
        <v>-1367.1727900413396</v>
      </c>
    </row>
    <row r="143" spans="1:43" ht="18" x14ac:dyDescent="0.4">
      <c r="A143" s="253"/>
      <c r="B143" s="532" t="s">
        <v>99</v>
      </c>
      <c r="C143" s="533"/>
      <c r="D143" s="32" t="s">
        <v>119</v>
      </c>
      <c r="E143" s="32" t="s">
        <v>243</v>
      </c>
      <c r="F143" s="32" t="s">
        <v>247</v>
      </c>
      <c r="G143" s="32" t="s">
        <v>257</v>
      </c>
      <c r="H143" s="86" t="s">
        <v>258</v>
      </c>
      <c r="I143" s="32" t="s">
        <v>259</v>
      </c>
      <c r="J143" s="32" t="s">
        <v>260</v>
      </c>
      <c r="K143" s="32" t="s">
        <v>261</v>
      </c>
      <c r="L143" s="32" t="s">
        <v>322</v>
      </c>
      <c r="M143" s="86" t="s">
        <v>333</v>
      </c>
      <c r="N143" s="32" t="s">
        <v>339</v>
      </c>
      <c r="O143" s="32" t="s">
        <v>347</v>
      </c>
      <c r="P143" s="32" t="s">
        <v>349</v>
      </c>
      <c r="Q143" s="30" t="s">
        <v>129</v>
      </c>
      <c r="R143" s="89" t="s">
        <v>130</v>
      </c>
      <c r="S143" s="30" t="s">
        <v>131</v>
      </c>
      <c r="T143" s="30" t="s">
        <v>132</v>
      </c>
      <c r="U143" s="30" t="s">
        <v>133</v>
      </c>
      <c r="V143" s="30" t="s">
        <v>134</v>
      </c>
      <c r="W143" s="89" t="s">
        <v>135</v>
      </c>
      <c r="X143" s="30" t="s">
        <v>136</v>
      </c>
      <c r="Y143" s="30" t="s">
        <v>137</v>
      </c>
      <c r="Z143" s="30" t="s">
        <v>138</v>
      </c>
      <c r="AA143" s="30" t="s">
        <v>139</v>
      </c>
      <c r="AB143" s="89" t="s">
        <v>140</v>
      </c>
      <c r="AC143" s="30" t="s">
        <v>252</v>
      </c>
      <c r="AD143" s="30" t="s">
        <v>253</v>
      </c>
      <c r="AE143" s="30" t="s">
        <v>254</v>
      </c>
      <c r="AF143" s="30" t="s">
        <v>255</v>
      </c>
      <c r="AG143" s="89" t="s">
        <v>256</v>
      </c>
      <c r="AH143" s="30" t="s">
        <v>285</v>
      </c>
      <c r="AI143" s="30" t="s">
        <v>286</v>
      </c>
      <c r="AJ143" s="30" t="s">
        <v>287</v>
      </c>
      <c r="AK143" s="30" t="s">
        <v>288</v>
      </c>
      <c r="AL143" s="89" t="s">
        <v>289</v>
      </c>
      <c r="AM143" s="30" t="s">
        <v>356</v>
      </c>
      <c r="AN143" s="30" t="s">
        <v>357</v>
      </c>
      <c r="AO143" s="30" t="s">
        <v>358</v>
      </c>
      <c r="AP143" s="30" t="s">
        <v>359</v>
      </c>
      <c r="AQ143" s="89" t="s">
        <v>360</v>
      </c>
    </row>
    <row r="144" spans="1:43" s="210" customFormat="1" ht="15.6" customHeight="1" outlineLevel="1" x14ac:dyDescent="0.25">
      <c r="A144" s="328"/>
      <c r="B144" s="186" t="s">
        <v>181</v>
      </c>
      <c r="C144" s="211"/>
      <c r="D144" s="188">
        <f>+D56+D91-D13</f>
        <v>0</v>
      </c>
      <c r="E144" s="188">
        <f>+E56+E91-E13</f>
        <v>0</v>
      </c>
      <c r="F144" s="289">
        <f>+F56+F91-F13</f>
        <v>0</v>
      </c>
      <c r="G144" s="188">
        <f>+G56+G91-G13</f>
        <v>0</v>
      </c>
      <c r="H144" s="190"/>
      <c r="I144" s="188">
        <f>+I56+I91-I13</f>
        <v>0</v>
      </c>
      <c r="J144" s="188">
        <f>+J56+J91-J13</f>
        <v>0</v>
      </c>
      <c r="K144" s="289">
        <f>+K56+K91-K13</f>
        <v>0</v>
      </c>
      <c r="L144" s="188">
        <f>+L56+L91-L13</f>
        <v>0</v>
      </c>
      <c r="M144" s="190"/>
      <c r="N144" s="188">
        <f>+N56+N91-N13</f>
        <v>0</v>
      </c>
      <c r="O144" s="188">
        <f>+O56+O91-O13</f>
        <v>0</v>
      </c>
      <c r="P144" s="289">
        <f>+P56+P91-P13</f>
        <v>0</v>
      </c>
      <c r="Q144" s="188">
        <f>+Q56+Q91-Q13</f>
        <v>0</v>
      </c>
      <c r="R144" s="190"/>
      <c r="S144" s="188">
        <f>+S56+S91-S13</f>
        <v>0</v>
      </c>
      <c r="T144" s="188">
        <f>+T56+T91-T13</f>
        <v>0</v>
      </c>
      <c r="U144" s="289">
        <f>+U56+U91-U13</f>
        <v>0</v>
      </c>
      <c r="V144" s="188">
        <f>+V56+V91-V13</f>
        <v>0</v>
      </c>
      <c r="W144" s="190"/>
      <c r="X144" s="188">
        <f>+X56+X91-X13</f>
        <v>0</v>
      </c>
      <c r="Y144" s="188">
        <f>+Y56+Y91-Y13</f>
        <v>0</v>
      </c>
      <c r="Z144" s="289">
        <f>+Z56+Z91-Z13</f>
        <v>0</v>
      </c>
      <c r="AA144" s="188">
        <f>+AA56+AA91-AA13</f>
        <v>0</v>
      </c>
      <c r="AB144" s="190"/>
      <c r="AC144" s="188">
        <f>+AC56+AC91-AC13</f>
        <v>0</v>
      </c>
      <c r="AD144" s="188">
        <f>+AD56+AD91-AD13</f>
        <v>0</v>
      </c>
      <c r="AE144" s="289">
        <f>+AE56+AE91-AE13</f>
        <v>0</v>
      </c>
      <c r="AF144" s="188">
        <f>+AF56+AF91-AF13</f>
        <v>0</v>
      </c>
      <c r="AG144" s="190"/>
      <c r="AH144" s="188">
        <f>+AH56+AH91-AH13</f>
        <v>0</v>
      </c>
      <c r="AI144" s="188">
        <f>+AI56+AI91-AI13</f>
        <v>0</v>
      </c>
      <c r="AJ144" s="289">
        <f>+AJ56+AJ91-AJ13</f>
        <v>0</v>
      </c>
      <c r="AK144" s="188">
        <f>+AK56+AK91-AK13</f>
        <v>0</v>
      </c>
      <c r="AL144" s="190"/>
      <c r="AM144" s="188">
        <f>+AM56+AM91-AM13</f>
        <v>0</v>
      </c>
      <c r="AN144" s="188">
        <f>+AN56+AN91-AN13</f>
        <v>0</v>
      </c>
      <c r="AO144" s="289">
        <f>+AO56+AO91-AO13</f>
        <v>0</v>
      </c>
      <c r="AP144" s="188">
        <f>+AP56+AP91-AP13</f>
        <v>0</v>
      </c>
      <c r="AQ144" s="190"/>
    </row>
    <row r="145" spans="1:43" s="210" customFormat="1" ht="15.6" customHeight="1" outlineLevel="1" x14ac:dyDescent="0.25">
      <c r="A145" s="328"/>
      <c r="B145" s="186" t="s">
        <v>182</v>
      </c>
      <c r="C145" s="211"/>
      <c r="D145" s="188">
        <f>+D63+D98-D14</f>
        <v>0</v>
      </c>
      <c r="E145" s="188">
        <f>+E63+E98-E14</f>
        <v>0</v>
      </c>
      <c r="F145" s="289">
        <f>+F63+F98-F14</f>
        <v>0</v>
      </c>
      <c r="G145" s="188">
        <f>+G63+G98-G14</f>
        <v>0</v>
      </c>
      <c r="H145" s="190"/>
      <c r="I145" s="188">
        <f>+I63+I98-I14</f>
        <v>0</v>
      </c>
      <c r="J145" s="188">
        <f>+J63+J98-J14</f>
        <v>0</v>
      </c>
      <c r="K145" s="289">
        <f>+K63+K98-K14</f>
        <v>0</v>
      </c>
      <c r="L145" s="188">
        <f>+L63+L98-L14</f>
        <v>0</v>
      </c>
      <c r="M145" s="190"/>
      <c r="N145" s="188">
        <f>+N63+N98-N14</f>
        <v>0</v>
      </c>
      <c r="O145" s="188">
        <f>+O63+O98-O14</f>
        <v>0</v>
      </c>
      <c r="P145" s="289">
        <f>+P63+P98-P14</f>
        <v>0</v>
      </c>
      <c r="Q145" s="188">
        <f>+Q63+Q98-Q14</f>
        <v>0</v>
      </c>
      <c r="R145" s="190"/>
      <c r="S145" s="188">
        <f>+S63+S98-S14</f>
        <v>0</v>
      </c>
      <c r="T145" s="188">
        <f>+T63+T98-T14</f>
        <v>0</v>
      </c>
      <c r="U145" s="289">
        <f>+U63+U98-U14</f>
        <v>0</v>
      </c>
      <c r="V145" s="188">
        <f>+V63+V98-V14</f>
        <v>0</v>
      </c>
      <c r="W145" s="190"/>
      <c r="X145" s="188">
        <f>+X63+X98-X14</f>
        <v>0</v>
      </c>
      <c r="Y145" s="188">
        <f>+Y63+Y98-Y14</f>
        <v>0</v>
      </c>
      <c r="Z145" s="289">
        <f>+Z63+Z98-Z14</f>
        <v>0</v>
      </c>
      <c r="AA145" s="188">
        <f>+AA63+AA98-AA14</f>
        <v>0</v>
      </c>
      <c r="AB145" s="190"/>
      <c r="AC145" s="188">
        <f>+AC63+AC98-AC14</f>
        <v>0</v>
      </c>
      <c r="AD145" s="188">
        <f>+AD63+AD98-AD14</f>
        <v>0</v>
      </c>
      <c r="AE145" s="289">
        <f>+AE63+AE98-AE14</f>
        <v>0</v>
      </c>
      <c r="AF145" s="188">
        <f>+AF63+AF98-AF14</f>
        <v>0</v>
      </c>
      <c r="AG145" s="190"/>
      <c r="AH145" s="188">
        <f>+AH63+AH98-AH14</f>
        <v>0</v>
      </c>
      <c r="AI145" s="188">
        <f>+AI63+AI98-AI14</f>
        <v>0</v>
      </c>
      <c r="AJ145" s="289">
        <f>+AJ63+AJ98-AJ14</f>
        <v>0</v>
      </c>
      <c r="AK145" s="188">
        <f>+AK63+AK98-AK14</f>
        <v>0</v>
      </c>
      <c r="AL145" s="190"/>
      <c r="AM145" s="188">
        <f>+AM63+AM98-AM14</f>
        <v>0</v>
      </c>
      <c r="AN145" s="188">
        <f>+AN63+AN98-AN14</f>
        <v>0</v>
      </c>
      <c r="AO145" s="289">
        <f>+AO63+AO98-AO14</f>
        <v>0</v>
      </c>
      <c r="AP145" s="188">
        <f>+AP63+AP98-AP14</f>
        <v>0</v>
      </c>
      <c r="AQ145" s="190"/>
    </row>
    <row r="146" spans="1:43" s="210" customFormat="1" ht="15.6" customHeight="1" outlineLevel="1" x14ac:dyDescent="0.25">
      <c r="A146" s="328"/>
      <c r="B146" s="186" t="s">
        <v>183</v>
      </c>
      <c r="C146" s="211"/>
      <c r="D146" s="188">
        <f>+D64+D99+D119+D134-D15</f>
        <v>0</v>
      </c>
      <c r="E146" s="188">
        <f>+E64+E99+E119+E134-E15</f>
        <v>0</v>
      </c>
      <c r="F146" s="289">
        <f>+F64+F99+F119+F134-F15</f>
        <v>0</v>
      </c>
      <c r="G146" s="188">
        <f>+G64+G99+G119+G134-G15</f>
        <v>0</v>
      </c>
      <c r="H146" s="190"/>
      <c r="I146" s="188">
        <f>+I64+I99+I119+I134-I15</f>
        <v>0</v>
      </c>
      <c r="J146" s="188">
        <f>+J64+J99+J119+J134-J15</f>
        <v>0</v>
      </c>
      <c r="K146" s="289">
        <f>+K64+K99+K119+K134-K15</f>
        <v>0</v>
      </c>
      <c r="L146" s="188">
        <f>+L64+L99+L119+L134-L15</f>
        <v>0</v>
      </c>
      <c r="M146" s="190"/>
      <c r="N146" s="188">
        <f>+N64+N99+N119+N134-N15</f>
        <v>0</v>
      </c>
      <c r="O146" s="188">
        <f>+O64+O99+O119+O134-O15</f>
        <v>0</v>
      </c>
      <c r="P146" s="289">
        <f>+P64+P99+P119+P134-P15</f>
        <v>0</v>
      </c>
      <c r="Q146" s="188">
        <f>+Q64+Q99+Q119+Q134-Q15</f>
        <v>0</v>
      </c>
      <c r="R146" s="190"/>
      <c r="S146" s="188">
        <f>+S64+S99+S119+S134-S15</f>
        <v>0</v>
      </c>
      <c r="T146" s="188">
        <f>+T64+T99+T119+T134-T15</f>
        <v>0</v>
      </c>
      <c r="U146" s="289">
        <f>+U64+U99+U119+U134-U15</f>
        <v>0</v>
      </c>
      <c r="V146" s="188">
        <f>+V64+V99+V119+V134-V15</f>
        <v>0</v>
      </c>
      <c r="W146" s="190"/>
      <c r="X146" s="188">
        <f>+X64+X99+X119+X134-X15</f>
        <v>0</v>
      </c>
      <c r="Y146" s="188">
        <f>+Y64+Y99+Y119+Y134-Y15</f>
        <v>0</v>
      </c>
      <c r="Z146" s="289">
        <f>+Z64+Z99+Z119+Z134-Z15</f>
        <v>0</v>
      </c>
      <c r="AA146" s="188">
        <f>+AA64+AA99+AA119+AA134-AA15</f>
        <v>0</v>
      </c>
      <c r="AB146" s="190"/>
      <c r="AC146" s="188">
        <f>+AC64+AC99+AC119+AC134-AC15</f>
        <v>0</v>
      </c>
      <c r="AD146" s="188">
        <f>+AD64+AD99+AD119+AD134-AD15</f>
        <v>0</v>
      </c>
      <c r="AE146" s="289">
        <f>+AE64+AE99+AE119+AE134-AE15</f>
        <v>0</v>
      </c>
      <c r="AF146" s="188">
        <f>+AF64+AF99+AF119+AF134-AF15</f>
        <v>0</v>
      </c>
      <c r="AG146" s="190"/>
      <c r="AH146" s="188">
        <f>+AH64+AH99+AH119+AH134-AH15</f>
        <v>0</v>
      </c>
      <c r="AI146" s="188">
        <f>+AI64+AI99+AI119+AI134-AI15</f>
        <v>0</v>
      </c>
      <c r="AJ146" s="289">
        <f>+AJ64+AJ99+AJ119+AJ134-AJ15</f>
        <v>0</v>
      </c>
      <c r="AK146" s="188">
        <f>+AK64+AK99+AK119+AK134-AK15</f>
        <v>0</v>
      </c>
      <c r="AL146" s="190"/>
      <c r="AM146" s="188">
        <f>+AM64+AM99+AM119+AM134-AM15</f>
        <v>0</v>
      </c>
      <c r="AN146" s="188">
        <f>+AN64+AN99+AN119+AN134-AN15</f>
        <v>0</v>
      </c>
      <c r="AO146" s="289">
        <f>+AO64+AO99+AO119+AO134-AO15</f>
        <v>0</v>
      </c>
      <c r="AP146" s="188">
        <f>+AP64+AP99+AP119+AP134-AP15</f>
        <v>0</v>
      </c>
      <c r="AQ146" s="190"/>
    </row>
    <row r="147" spans="1:43" s="210" customFormat="1" ht="15.6" customHeight="1" outlineLevel="1" x14ac:dyDescent="0.25">
      <c r="A147" s="328"/>
      <c r="B147" s="186" t="s">
        <v>145</v>
      </c>
      <c r="C147" s="211"/>
      <c r="D147" s="188">
        <f>+D130+D115-D24</f>
        <v>0</v>
      </c>
      <c r="E147" s="188">
        <f>+E130+E115-E24</f>
        <v>0</v>
      </c>
      <c r="F147" s="289">
        <f>+F130+F115-F24</f>
        <v>0</v>
      </c>
      <c r="G147" s="188">
        <f>+G130+G115-G24</f>
        <v>0</v>
      </c>
      <c r="H147" s="190"/>
      <c r="I147" s="188">
        <f>+I130+I115-I24</f>
        <v>0</v>
      </c>
      <c r="J147" s="188">
        <f>+J130+J115-J24</f>
        <v>0</v>
      </c>
      <c r="K147" s="289">
        <f>+K130+K115-K24</f>
        <v>0</v>
      </c>
      <c r="L147" s="188">
        <f>+L130+L115-L24</f>
        <v>0</v>
      </c>
      <c r="M147" s="190"/>
      <c r="N147" s="188">
        <f>+N130+N115-N24</f>
        <v>0</v>
      </c>
      <c r="O147" s="188">
        <f>+O130+O115-O24</f>
        <v>0</v>
      </c>
      <c r="P147" s="289">
        <f>+P130+P115-P24</f>
        <v>0</v>
      </c>
      <c r="Q147" s="188">
        <f>+Q130+Q115-Q24</f>
        <v>0</v>
      </c>
      <c r="R147" s="190"/>
      <c r="S147" s="188">
        <f>+S130+S115-S24</f>
        <v>0</v>
      </c>
      <c r="T147" s="188">
        <f>+T130+T115-T24</f>
        <v>0</v>
      </c>
      <c r="U147" s="289">
        <f>+U130+U115-U24</f>
        <v>0</v>
      </c>
      <c r="V147" s="188">
        <f>+V130+V115-V24</f>
        <v>0</v>
      </c>
      <c r="W147" s="190"/>
      <c r="X147" s="188">
        <f>+X130+X115-X24</f>
        <v>0</v>
      </c>
      <c r="Y147" s="188">
        <f>+Y130+Y115-Y24</f>
        <v>0</v>
      </c>
      <c r="Z147" s="289">
        <f>+Z130+Z115-Z24</f>
        <v>0</v>
      </c>
      <c r="AA147" s="188">
        <f>+AA130+AA115-AA24</f>
        <v>0</v>
      </c>
      <c r="AB147" s="190"/>
      <c r="AC147" s="188">
        <f>+AC130+AC115-AC24</f>
        <v>0</v>
      </c>
      <c r="AD147" s="188">
        <f>+AD130+AD115-AD24</f>
        <v>0</v>
      </c>
      <c r="AE147" s="289">
        <f>+AE130+AE115-AE24</f>
        <v>0</v>
      </c>
      <c r="AF147" s="188">
        <f>+AF130+AF115-AF24</f>
        <v>0</v>
      </c>
      <c r="AG147" s="190"/>
      <c r="AH147" s="188">
        <f>+AH130+AH115-AH24</f>
        <v>0</v>
      </c>
      <c r="AI147" s="188">
        <f>+AI130+AI115-AI24</f>
        <v>0</v>
      </c>
      <c r="AJ147" s="289">
        <f>+AJ130+AJ115-AJ24</f>
        <v>0</v>
      </c>
      <c r="AK147" s="188">
        <f>+AK130+AK115-AK24</f>
        <v>0</v>
      </c>
      <c r="AL147" s="190"/>
      <c r="AM147" s="188">
        <f>+AM130+AM115-AM24</f>
        <v>0</v>
      </c>
      <c r="AN147" s="188">
        <f>+AN130+AN115-AN24</f>
        <v>0</v>
      </c>
      <c r="AO147" s="289">
        <f>+AO130+AO115-AO24</f>
        <v>0</v>
      </c>
      <c r="AP147" s="188">
        <f>+AP130+AP115-AP24</f>
        <v>0</v>
      </c>
      <c r="AQ147" s="190"/>
    </row>
    <row r="148" spans="1:43" s="210" customFormat="1" ht="15.6" customHeight="1" outlineLevel="1" x14ac:dyDescent="0.25">
      <c r="A148" s="328"/>
      <c r="B148" s="186" t="s">
        <v>184</v>
      </c>
      <c r="C148" s="211"/>
      <c r="D148" s="188">
        <f>+D80+D116+D131+D142-D25</f>
        <v>0</v>
      </c>
      <c r="E148" s="188">
        <f>+E80+E116+E131+E142-E25</f>
        <v>0</v>
      </c>
      <c r="F148" s="289">
        <f>+F80+F116+F131+F142-F25</f>
        <v>0</v>
      </c>
      <c r="G148" s="188">
        <f>+G80+G116+G131+G142-G25</f>
        <v>9.9999999998544808E-2</v>
      </c>
      <c r="H148" s="190"/>
      <c r="I148" s="188">
        <f>+I80+I116+I131+I142-I25</f>
        <v>0</v>
      </c>
      <c r="J148" s="188">
        <f>+J80+J116+J131+J142-J25</f>
        <v>6.8212102632969618E-13</v>
      </c>
      <c r="K148" s="289">
        <f>+K80+K116+K131+K142-K25</f>
        <v>0</v>
      </c>
      <c r="L148" s="188">
        <f>+L80+L116+L131+L142-L25</f>
        <v>0</v>
      </c>
      <c r="M148" s="190"/>
      <c r="N148" s="188">
        <f>+N80+N116+N131+N142-N25</f>
        <v>0</v>
      </c>
      <c r="O148" s="188">
        <f>+O80+O116+O131+O142-O25</f>
        <v>0</v>
      </c>
      <c r="P148" s="289">
        <f>+P80+P116+P131+P142-P25</f>
        <v>0</v>
      </c>
      <c r="Q148" s="188">
        <f>+Q80+Q116+Q131+Q142-Q25</f>
        <v>0</v>
      </c>
      <c r="R148" s="190"/>
      <c r="S148" s="188">
        <f>+S80+S116+S131+S142-S25</f>
        <v>0</v>
      </c>
      <c r="T148" s="188">
        <f>+T80+T116+T131+T142-T25</f>
        <v>0</v>
      </c>
      <c r="U148" s="289">
        <f>+U80+U116+U131+U142-U25</f>
        <v>0</v>
      </c>
      <c r="V148" s="188">
        <f>+V80+V116+V131+V142-V25</f>
        <v>0</v>
      </c>
      <c r="W148" s="190"/>
      <c r="X148" s="188">
        <f>+X80+X116+X131+X142-X25</f>
        <v>0</v>
      </c>
      <c r="Y148" s="188">
        <f>+Y80+Y116+Y131+Y142-Y25</f>
        <v>0</v>
      </c>
      <c r="Z148" s="289">
        <f>+Z80+Z116+Z131+Z142-Z25</f>
        <v>0</v>
      </c>
      <c r="AA148" s="188">
        <f>+AA80+AA116+AA131+AA142-AA25</f>
        <v>0</v>
      </c>
      <c r="AB148" s="190"/>
      <c r="AC148" s="188">
        <f>+AC80+AC116+AC131+AC142-AC25</f>
        <v>2.0463630789890885E-12</v>
      </c>
      <c r="AD148" s="188">
        <f>+AD80+AD116+AD131+AD142-AD25</f>
        <v>0</v>
      </c>
      <c r="AE148" s="289">
        <f>+AE80+AE116+AE131+AE142-AE25</f>
        <v>0</v>
      </c>
      <c r="AF148" s="188">
        <f>+AF80+AF116+AF131+AF142-AF25</f>
        <v>-2.5011104298755527E-12</v>
      </c>
      <c r="AG148" s="190"/>
      <c r="AH148" s="188">
        <f>+AH80+AH116+AH131+AH142-AH25</f>
        <v>0</v>
      </c>
      <c r="AI148" s="188">
        <f>+AI80+AI116+AI131+AI142-AI25</f>
        <v>0</v>
      </c>
      <c r="AJ148" s="289">
        <f>+AJ80+AJ116+AJ131+AJ142-AJ25</f>
        <v>0</v>
      </c>
      <c r="AK148" s="188">
        <f>+AK80+AK116+AK131+AK142-AK25</f>
        <v>0</v>
      </c>
      <c r="AL148" s="190"/>
      <c r="AM148" s="188">
        <f>+AM80+AM116+AM131+AM142-AM25</f>
        <v>0</v>
      </c>
      <c r="AN148" s="188">
        <f>+AN80+AN116+AN131+AN142-AN25</f>
        <v>0</v>
      </c>
      <c r="AO148" s="289">
        <f>+AO80+AO116+AO131+AO142-AO25</f>
        <v>0</v>
      </c>
      <c r="AP148" s="188">
        <f>+AP80+AP116+AP131+AP142-AP25</f>
        <v>0</v>
      </c>
      <c r="AQ148" s="190"/>
    </row>
    <row r="149" spans="1:43" ht="15" customHeight="1" x14ac:dyDescent="0.4">
      <c r="A149" s="253"/>
      <c r="B149" s="532" t="s">
        <v>55</v>
      </c>
      <c r="C149" s="533"/>
      <c r="D149" s="32" t="s">
        <v>119</v>
      </c>
      <c r="E149" s="32" t="s">
        <v>243</v>
      </c>
      <c r="F149" s="32" t="s">
        <v>247</v>
      </c>
      <c r="G149" s="32" t="s">
        <v>257</v>
      </c>
      <c r="H149" s="86" t="s">
        <v>258</v>
      </c>
      <c r="I149" s="32" t="s">
        <v>259</v>
      </c>
      <c r="J149" s="32" t="s">
        <v>260</v>
      </c>
      <c r="K149" s="32" t="s">
        <v>261</v>
      </c>
      <c r="L149" s="32" t="s">
        <v>322</v>
      </c>
      <c r="M149" s="86" t="s">
        <v>333</v>
      </c>
      <c r="N149" s="32" t="s">
        <v>339</v>
      </c>
      <c r="O149" s="32" t="s">
        <v>347</v>
      </c>
      <c r="P149" s="32" t="s">
        <v>349</v>
      </c>
      <c r="Q149" s="30" t="s">
        <v>129</v>
      </c>
      <c r="R149" s="89" t="s">
        <v>130</v>
      </c>
      <c r="S149" s="30" t="s">
        <v>131</v>
      </c>
      <c r="T149" s="30" t="s">
        <v>132</v>
      </c>
      <c r="U149" s="30" t="s">
        <v>133</v>
      </c>
      <c r="V149" s="30" t="s">
        <v>134</v>
      </c>
      <c r="W149" s="89" t="s">
        <v>135</v>
      </c>
      <c r="X149" s="30" t="s">
        <v>136</v>
      </c>
      <c r="Y149" s="30" t="s">
        <v>137</v>
      </c>
      <c r="Z149" s="30" t="s">
        <v>138</v>
      </c>
      <c r="AA149" s="30" t="s">
        <v>139</v>
      </c>
      <c r="AB149" s="89" t="s">
        <v>140</v>
      </c>
      <c r="AC149" s="30" t="s">
        <v>252</v>
      </c>
      <c r="AD149" s="30" t="s">
        <v>253</v>
      </c>
      <c r="AE149" s="30" t="s">
        <v>254</v>
      </c>
      <c r="AF149" s="30" t="s">
        <v>255</v>
      </c>
      <c r="AG149" s="89" t="s">
        <v>256</v>
      </c>
      <c r="AH149" s="30" t="s">
        <v>285</v>
      </c>
      <c r="AI149" s="30" t="s">
        <v>286</v>
      </c>
      <c r="AJ149" s="30" t="s">
        <v>287</v>
      </c>
      <c r="AK149" s="30" t="s">
        <v>288</v>
      </c>
      <c r="AL149" s="89" t="s">
        <v>289</v>
      </c>
      <c r="AM149" s="30" t="s">
        <v>356</v>
      </c>
      <c r="AN149" s="30" t="s">
        <v>357</v>
      </c>
      <c r="AO149" s="30" t="s">
        <v>358</v>
      </c>
      <c r="AP149" s="30" t="s">
        <v>359</v>
      </c>
      <c r="AQ149" s="89" t="s">
        <v>360</v>
      </c>
    </row>
    <row r="150" spans="1:43" s="43" customFormat="1" outlineLevel="1" x14ac:dyDescent="0.25">
      <c r="A150" s="306"/>
      <c r="B150" s="562" t="s">
        <v>115</v>
      </c>
      <c r="C150" s="563"/>
      <c r="D150" s="56"/>
      <c r="E150" s="56"/>
      <c r="F150" s="56"/>
      <c r="G150" s="56"/>
      <c r="H150" s="329"/>
      <c r="I150" s="56">
        <f t="shared" ref="I150:AL150" si="594">I16/D16-1</f>
        <v>7.0016735266180907E-2</v>
      </c>
      <c r="J150" s="56">
        <f t="shared" si="594"/>
        <v>-4.9192026514851106E-2</v>
      </c>
      <c r="K150" s="56">
        <f t="shared" si="594"/>
        <v>-0.38119595485856661</v>
      </c>
      <c r="L150" s="276">
        <f t="shared" si="594"/>
        <v>-8.061360604713208E-2</v>
      </c>
      <c r="M150" s="310">
        <f t="shared" si="594"/>
        <v>-0.11281621813298315</v>
      </c>
      <c r="N150" s="56">
        <f t="shared" si="594"/>
        <v>-4.8991841738174613E-2</v>
      </c>
      <c r="O150" s="56">
        <f t="shared" si="594"/>
        <v>0.11213036009139876</v>
      </c>
      <c r="P150" s="56">
        <f t="shared" si="594"/>
        <v>0.77553823926482068</v>
      </c>
      <c r="Q150" s="56">
        <f t="shared" si="594"/>
        <v>0.3098883437760227</v>
      </c>
      <c r="R150" s="54">
        <f t="shared" si="594"/>
        <v>0.23476776874211414</v>
      </c>
      <c r="S150" s="56">
        <f t="shared" si="594"/>
        <v>0.10283239719588422</v>
      </c>
      <c r="T150" s="56">
        <f t="shared" si="594"/>
        <v>8.2361193983327974E-2</v>
      </c>
      <c r="U150" s="56">
        <f t="shared" si="594"/>
        <v>9.3198484221437949E-2</v>
      </c>
      <c r="V150" s="56">
        <f t="shared" si="594"/>
        <v>8.0260204292783577E-3</v>
      </c>
      <c r="W150" s="54">
        <f t="shared" si="594"/>
        <v>6.9117382921189519E-2</v>
      </c>
      <c r="X150" s="56">
        <f t="shared" si="594"/>
        <v>7.4756685757364716E-2</v>
      </c>
      <c r="Y150" s="56">
        <f t="shared" si="594"/>
        <v>9.0921346271137793E-2</v>
      </c>
      <c r="Z150" s="56">
        <f t="shared" si="594"/>
        <v>8.654510085066458E-2</v>
      </c>
      <c r="AA150" s="56">
        <f t="shared" si="594"/>
        <v>8.1867933527969949E-2</v>
      </c>
      <c r="AB150" s="458">
        <f t="shared" si="594"/>
        <v>8.3502198710088349E-2</v>
      </c>
      <c r="AC150" s="380">
        <f t="shared" si="594"/>
        <v>6.9903908978809604E-2</v>
      </c>
      <c r="AD150" s="380">
        <f t="shared" si="594"/>
        <v>7.4020869627111185E-2</v>
      </c>
      <c r="AE150" s="380">
        <f t="shared" si="594"/>
        <v>7.6330422747194371E-2</v>
      </c>
      <c r="AF150" s="380">
        <f t="shared" si="594"/>
        <v>7.886200342135341E-2</v>
      </c>
      <c r="AG150" s="458">
        <f t="shared" si="594"/>
        <v>7.4928387321675949E-2</v>
      </c>
      <c r="AH150" s="380">
        <f t="shared" si="594"/>
        <v>7.9731764518599313E-2</v>
      </c>
      <c r="AI150" s="380">
        <f t="shared" si="594"/>
        <v>7.9678688597886849E-2</v>
      </c>
      <c r="AJ150" s="380">
        <f t="shared" si="594"/>
        <v>7.8384287829359245E-2</v>
      </c>
      <c r="AK150" s="380">
        <f t="shared" si="594"/>
        <v>7.8455132951328777E-2</v>
      </c>
      <c r="AL150" s="381">
        <f t="shared" si="594"/>
        <v>7.9024680814986148E-2</v>
      </c>
      <c r="AM150" s="380">
        <f t="shared" ref="AM150" si="595">AM16/AH16-1</f>
        <v>7.9264258911437402E-2</v>
      </c>
      <c r="AN150" s="380">
        <f t="shared" ref="AN150" si="596">AN16/AI16-1</f>
        <v>7.894382023578328E-2</v>
      </c>
      <c r="AO150" s="380">
        <f t="shared" ref="AO150" si="597">AO16/AJ16-1</f>
        <v>7.7216607802960802E-2</v>
      </c>
      <c r="AP150" s="380">
        <f t="shared" ref="AP150" si="598">AP16/AK16-1</f>
        <v>7.689990840019334E-2</v>
      </c>
      <c r="AQ150" s="381">
        <f t="shared" ref="AQ150" si="599">AQ16/AL16-1</f>
        <v>7.8022099248756804E-2</v>
      </c>
    </row>
    <row r="151" spans="1:43" s="43" customFormat="1" outlineLevel="1" x14ac:dyDescent="0.25">
      <c r="A151" s="306"/>
      <c r="B151" s="562" t="s">
        <v>24</v>
      </c>
      <c r="C151" s="563"/>
      <c r="D151" s="53">
        <f t="shared" ref="D151:AL151" si="600">D25/D16</f>
        <v>0.15313522396610738</v>
      </c>
      <c r="E151" s="53">
        <f t="shared" si="600"/>
        <v>0.13601547756862614</v>
      </c>
      <c r="F151" s="53">
        <f t="shared" si="600"/>
        <v>0.16434119888612064</v>
      </c>
      <c r="G151" s="53">
        <f t="shared" si="600"/>
        <v>0.16054542759745088</v>
      </c>
      <c r="H151" s="55">
        <f t="shared" si="600"/>
        <v>0.15383309567461143</v>
      </c>
      <c r="I151" s="53">
        <f t="shared" si="600"/>
        <v>0.1718730185568752</v>
      </c>
      <c r="J151" s="53">
        <f t="shared" si="600"/>
        <v>8.1291592307820446E-2</v>
      </c>
      <c r="K151" s="53">
        <f t="shared" si="600"/>
        <v>-0.16671798394164022</v>
      </c>
      <c r="L151" s="276">
        <f t="shared" si="600"/>
        <v>9.0003385404072211E-2</v>
      </c>
      <c r="M151" s="329">
        <f t="shared" si="600"/>
        <v>6.6400204098988183E-2</v>
      </c>
      <c r="N151" s="53">
        <f t="shared" si="600"/>
        <v>0.13534536403235845</v>
      </c>
      <c r="O151" s="53">
        <f t="shared" si="600"/>
        <v>0.14811037792441512</v>
      </c>
      <c r="P151" s="53">
        <f t="shared" si="600"/>
        <v>0.19858600680317468</v>
      </c>
      <c r="Q151" s="53">
        <f t="shared" si="600"/>
        <v>0.18840433075467058</v>
      </c>
      <c r="R151" s="458">
        <f t="shared" si="600"/>
        <v>0.16944829764575131</v>
      </c>
      <c r="S151" s="53">
        <f t="shared" si="600"/>
        <v>0.16993520397400164</v>
      </c>
      <c r="T151" s="53">
        <f t="shared" si="600"/>
        <v>0.15687959308284552</v>
      </c>
      <c r="U151" s="53">
        <f t="shared" si="600"/>
        <v>0.18007575571079887</v>
      </c>
      <c r="V151" s="53">
        <f t="shared" si="600"/>
        <v>0.18603488980398278</v>
      </c>
      <c r="W151" s="55">
        <f t="shared" si="600"/>
        <v>0.17382436916216398</v>
      </c>
      <c r="X151" s="53">
        <f t="shared" si="600"/>
        <v>0.1818593877377685</v>
      </c>
      <c r="Y151" s="53">
        <f t="shared" si="600"/>
        <v>0.1699254275051103</v>
      </c>
      <c r="Z151" s="53">
        <f t="shared" si="600"/>
        <v>0.17288873476512434</v>
      </c>
      <c r="AA151" s="53">
        <f t="shared" si="600"/>
        <v>0.18988563756282345</v>
      </c>
      <c r="AB151" s="329">
        <f t="shared" si="600"/>
        <v>0.17880585149195019</v>
      </c>
      <c r="AC151" s="53">
        <f t="shared" si="600"/>
        <v>0.18467823483534818</v>
      </c>
      <c r="AD151" s="53">
        <f t="shared" si="600"/>
        <v>0.17315276185862488</v>
      </c>
      <c r="AE151" s="53">
        <f t="shared" si="600"/>
        <v>0.1755481345220308</v>
      </c>
      <c r="AF151" s="53">
        <f t="shared" si="600"/>
        <v>0.19253445588651352</v>
      </c>
      <c r="AG151" s="55">
        <f t="shared" si="600"/>
        <v>0.18164001031022117</v>
      </c>
      <c r="AH151" s="53">
        <f t="shared" si="600"/>
        <v>0.18838670164366769</v>
      </c>
      <c r="AI151" s="53">
        <f t="shared" si="600"/>
        <v>0.17701578221248726</v>
      </c>
      <c r="AJ151" s="53">
        <f t="shared" si="600"/>
        <v>0.17843567571268498</v>
      </c>
      <c r="AK151" s="53">
        <f t="shared" si="600"/>
        <v>0.19508570681209308</v>
      </c>
      <c r="AL151" s="55">
        <f t="shared" si="600"/>
        <v>0.18486010291374022</v>
      </c>
      <c r="AM151" s="53">
        <f t="shared" ref="AM151:AQ151" si="601">AM25/AM16</f>
        <v>0.19149114890699659</v>
      </c>
      <c r="AN151" s="53">
        <f t="shared" si="601"/>
        <v>0.18038933886218531</v>
      </c>
      <c r="AO151" s="53">
        <f t="shared" si="601"/>
        <v>0.18097523576755123</v>
      </c>
      <c r="AP151" s="53">
        <f t="shared" si="601"/>
        <v>0.19731073972027016</v>
      </c>
      <c r="AQ151" s="55">
        <f t="shared" si="601"/>
        <v>0.18764376584108272</v>
      </c>
    </row>
    <row r="152" spans="1:43" s="43" customFormat="1" outlineLevel="1" x14ac:dyDescent="0.25">
      <c r="A152" s="306"/>
      <c r="B152" s="562" t="s">
        <v>227</v>
      </c>
      <c r="C152" s="563"/>
      <c r="D152" s="53">
        <f t="shared" ref="D152:AL152" si="602">+D27/D16</f>
        <v>0.17394123056975294</v>
      </c>
      <c r="E152" s="53">
        <f t="shared" si="602"/>
        <v>0.15843892227913536</v>
      </c>
      <c r="F152" s="53">
        <f t="shared" si="602"/>
        <v>0.18270555474131628</v>
      </c>
      <c r="G152" s="53">
        <f t="shared" si="602"/>
        <v>0.17201719282644154</v>
      </c>
      <c r="H152" s="55">
        <f t="shared" si="602"/>
        <v>0.17201964645435841</v>
      </c>
      <c r="I152" s="53">
        <f t="shared" si="602"/>
        <v>0.1819616463062376</v>
      </c>
      <c r="J152" s="53">
        <f t="shared" si="602"/>
        <v>9.2432910252347358E-2</v>
      </c>
      <c r="K152" s="53">
        <f t="shared" si="602"/>
        <v>-0.12558205632268285</v>
      </c>
      <c r="L152" s="276">
        <f t="shared" si="602"/>
        <v>0.13183730715287523</v>
      </c>
      <c r="M152" s="329">
        <f t="shared" si="602"/>
        <v>9.0704141508631861E-2</v>
      </c>
      <c r="N152" s="53">
        <f t="shared" si="602"/>
        <v>0.15533232583637069</v>
      </c>
      <c r="O152" s="53">
        <f t="shared" si="602"/>
        <v>0.1613377324535093</v>
      </c>
      <c r="P152" s="53">
        <f t="shared" si="602"/>
        <v>0.20548255852731262</v>
      </c>
      <c r="Q152" s="53">
        <f t="shared" si="602"/>
        <v>0.19476711919066064</v>
      </c>
      <c r="R152" s="458">
        <f t="shared" si="602"/>
        <v>0.18069169385216316</v>
      </c>
      <c r="S152" s="53">
        <f t="shared" si="602"/>
        <v>0.18501690596771128</v>
      </c>
      <c r="T152" s="53">
        <f t="shared" si="602"/>
        <v>0.17313835727980478</v>
      </c>
      <c r="U152" s="53">
        <f t="shared" si="602"/>
        <v>0.19516518358378451</v>
      </c>
      <c r="V152" s="53">
        <f t="shared" si="602"/>
        <v>0.2003693828470802</v>
      </c>
      <c r="W152" s="55">
        <f t="shared" si="602"/>
        <v>0.18898460889806329</v>
      </c>
      <c r="X152" s="53">
        <f t="shared" si="602"/>
        <v>0.19431532703488683</v>
      </c>
      <c r="Y152" s="53">
        <f t="shared" si="602"/>
        <v>0.18202183562625512</v>
      </c>
      <c r="Z152" s="53">
        <f t="shared" si="602"/>
        <v>0.18368333417031565</v>
      </c>
      <c r="AA152" s="53">
        <f t="shared" si="602"/>
        <v>0.20135957352875097</v>
      </c>
      <c r="AB152" s="458">
        <f t="shared" si="602"/>
        <v>0.19047919392776341</v>
      </c>
      <c r="AC152" s="53">
        <f t="shared" si="602"/>
        <v>0.19728682129092753</v>
      </c>
      <c r="AD152" s="53">
        <f t="shared" si="602"/>
        <v>0.18585068302201366</v>
      </c>
      <c r="AE152" s="53">
        <f t="shared" si="602"/>
        <v>0.18662169478750579</v>
      </c>
      <c r="AF152" s="53">
        <f t="shared" si="602"/>
        <v>0.20340678108038177</v>
      </c>
      <c r="AG152" s="458">
        <f t="shared" si="602"/>
        <v>0.19340358815458733</v>
      </c>
      <c r="AH152" s="53">
        <f t="shared" si="602"/>
        <v>0.19945139589669772</v>
      </c>
      <c r="AI152" s="53">
        <f t="shared" si="602"/>
        <v>0.18825145767357426</v>
      </c>
      <c r="AJ152" s="53">
        <f t="shared" si="602"/>
        <v>0.18844975724814389</v>
      </c>
      <c r="AK152" s="53">
        <f t="shared" si="602"/>
        <v>0.20521390043023172</v>
      </c>
      <c r="AL152" s="55">
        <f t="shared" si="602"/>
        <v>0.19543904071270005</v>
      </c>
      <c r="AM152" s="53">
        <f t="shared" ref="AM152:AQ152" si="603">+AM27/AM16</f>
        <v>0.20199485800382405</v>
      </c>
      <c r="AN152" s="53">
        <f t="shared" si="603"/>
        <v>0.19098459466083775</v>
      </c>
      <c r="AO152" s="53">
        <f t="shared" si="603"/>
        <v>0.19031606351091176</v>
      </c>
      <c r="AP152" s="53">
        <f t="shared" si="603"/>
        <v>0.20665327274975101</v>
      </c>
      <c r="AQ152" s="55">
        <f t="shared" si="603"/>
        <v>0.19755459017837207</v>
      </c>
    </row>
    <row r="153" spans="1:43" s="43" customFormat="1" outlineLevel="1" x14ac:dyDescent="0.25">
      <c r="A153" s="306"/>
      <c r="B153" s="562" t="s">
        <v>2</v>
      </c>
      <c r="C153" s="563"/>
      <c r="D153" s="53">
        <f t="shared" ref="D153:K153" si="604">D32/D31</f>
        <v>0.2124287933713101</v>
      </c>
      <c r="E153" s="53">
        <f t="shared" si="604"/>
        <v>0.1965853658536586</v>
      </c>
      <c r="F153" s="53">
        <f t="shared" si="604"/>
        <v>0.18110799689903978</v>
      </c>
      <c r="G153" s="284">
        <f t="shared" si="604"/>
        <v>0.20083682008368189</v>
      </c>
      <c r="H153" s="329">
        <f t="shared" si="604"/>
        <v>0.19515471765706843</v>
      </c>
      <c r="I153" s="284">
        <f t="shared" si="604"/>
        <v>0.22600104913446431</v>
      </c>
      <c r="J153" s="284">
        <f t="shared" si="604"/>
        <v>0.16760635571501836</v>
      </c>
      <c r="K153" s="284">
        <f t="shared" si="604"/>
        <v>0.16490147783251249</v>
      </c>
      <c r="L153" s="284">
        <v>0.25</v>
      </c>
      <c r="M153" s="329">
        <f>M32/M31</f>
        <v>0.20585709378220463</v>
      </c>
      <c r="N153" s="284">
        <f>N32/N31</f>
        <v>0.23023629840405785</v>
      </c>
      <c r="O153" s="284">
        <f t="shared" ref="O153:P153" si="605">O32/O31</f>
        <v>0.25901786717608721</v>
      </c>
      <c r="P153" s="284">
        <f t="shared" si="605"/>
        <v>0.18217246510309659</v>
      </c>
      <c r="Q153" s="64">
        <v>0.20749999999999999</v>
      </c>
      <c r="R153" s="458">
        <f>R32/R31</f>
        <v>0.21376807838537223</v>
      </c>
      <c r="S153" s="64">
        <f>AVERAGE(N153,O153,P153,Q153)-0.165057231271624%</f>
        <v>0.2180810853580942</v>
      </c>
      <c r="T153" s="64">
        <f>AVERAGE(O153,P153,Q153,S153)-0.165057231271624%</f>
        <v>0.21504228209660328</v>
      </c>
      <c r="U153" s="64">
        <f>AVERAGE(P153,Q153,S153,T153)-0.165057231271624%</f>
        <v>0.20404838582673229</v>
      </c>
      <c r="V153" s="64">
        <f>AVERAGE(Q153,S153,T153,U153)-0.165057231271624%</f>
        <v>0.20951736600764123</v>
      </c>
      <c r="W153" s="55">
        <f>W32/W31</f>
        <v>0.21114327905421421</v>
      </c>
      <c r="X153" s="64">
        <f>AVERAGE(S153,T153,U153,V153)</f>
        <v>0.21167227982226777</v>
      </c>
      <c r="Y153" s="64">
        <f>AVERAGE(T153,U153,V153,X153)</f>
        <v>0.21007007843831116</v>
      </c>
      <c r="Z153" s="64">
        <f>AVERAGE(U153,V153,X153,Y153)</f>
        <v>0.20882702752373811</v>
      </c>
      <c r="AA153" s="64">
        <f>AVERAGE(V153,X153,Y153,Z153)</f>
        <v>0.21002168794798959</v>
      </c>
      <c r="AB153" s="55">
        <f>AB32/AB31</f>
        <v>0.21012358812414389</v>
      </c>
      <c r="AC153" s="64">
        <f>AVERAGE(X153,Y153,Z153,AA153)</f>
        <v>0.21014776843307667</v>
      </c>
      <c r="AD153" s="64">
        <f>AVERAGE(Y153,Z153,AA153,AC153)</f>
        <v>0.2097666405857789</v>
      </c>
      <c r="AE153" s="64">
        <f>AVERAGE(Z153,AA153,AC153,AD153)</f>
        <v>0.2096907811226458</v>
      </c>
      <c r="AF153" s="64">
        <f>AVERAGE(AA153,AC153,AD153,AE153)</f>
        <v>0.20990671952237275</v>
      </c>
      <c r="AG153" s="55">
        <f>AG32/AG31</f>
        <v>0.20987791290408384</v>
      </c>
      <c r="AH153" s="64">
        <f>AVERAGE(AC153,AD153,AE153,AF153)</f>
        <v>0.20987797741596853</v>
      </c>
      <c r="AI153" s="64">
        <f>AVERAGE(AD153,AE153,AF153,AH153)</f>
        <v>0.2098105296616915</v>
      </c>
      <c r="AJ153" s="64">
        <f>AVERAGE(AE153,AF153,AH153,AI153)</f>
        <v>0.20982150193066962</v>
      </c>
      <c r="AK153" s="64">
        <f>AVERAGE(AF153,AH153,AI153,AJ153)</f>
        <v>0.20985418213267562</v>
      </c>
      <c r="AL153" s="55">
        <f>AL32/AL31</f>
        <v>0.2098417869059091</v>
      </c>
      <c r="AM153" s="64">
        <f>AVERAGE(AH153,AI153,AJ153,AK153)</f>
        <v>0.20984104778525131</v>
      </c>
      <c r="AN153" s="64">
        <f>AVERAGE(AI153,AJ153,AK153,AM153)</f>
        <v>0.20983181537757201</v>
      </c>
      <c r="AO153" s="64">
        <f>AVERAGE(AJ153,AK153,AM153,AN153)</f>
        <v>0.20983713680654215</v>
      </c>
      <c r="AP153" s="64">
        <f>AVERAGE(AK153,AM153,AN153,AO153)</f>
        <v>0.20984104552551028</v>
      </c>
      <c r="AQ153" s="55">
        <f>AQ32/AQ31</f>
        <v>0.20983797494300746</v>
      </c>
    </row>
    <row r="154" spans="1:43" s="43" customFormat="1" outlineLevel="1" x14ac:dyDescent="0.25">
      <c r="A154" s="306"/>
      <c r="B154" s="562" t="s">
        <v>228</v>
      </c>
      <c r="C154" s="563"/>
      <c r="D154" s="53"/>
      <c r="E154" s="53">
        <f>+E29/((E187+E188+E193)+(D187+D188+D193)/2)</f>
        <v>3.0327214684756584E-3</v>
      </c>
      <c r="F154" s="53">
        <f>+F29/((F187+F188+F193)+(E187+E188+E193)/2)</f>
        <v>6.4321029136466161E-3</v>
      </c>
      <c r="G154" s="53">
        <f>+G29/((G187+G188+G193)+(F187+F188+F193)/2)</f>
        <v>2.9603261807251862E-3</v>
      </c>
      <c r="H154" s="55"/>
      <c r="I154" s="53">
        <f>+I29/((I187+I188+I193)+(G187+G188+G193)/2)</f>
        <v>3.3143988743550958E-3</v>
      </c>
      <c r="J154" s="53">
        <f>+J29/((J187+J188+J193)+(I187+I188+I193)/2)</f>
        <v>4.4659305324505627E-4</v>
      </c>
      <c r="K154" s="53">
        <f>+K29/((K187+K188+K193)+(J187+J188+J193)/2)</f>
        <v>2.1779393606804753E-3</v>
      </c>
      <c r="L154" s="53">
        <f>+L29/((L187+L188+L193)+(K187+K188+K193)/2)</f>
        <v>1.2911830642186198E-3</v>
      </c>
      <c r="M154" s="55">
        <f>+M29/((M187+M188+M193)+(H187+H188+H193)/2)</f>
        <v>6.2749436914687554E-3</v>
      </c>
      <c r="N154" s="53">
        <f>+N29/((N187+N188+N193)+(L187+L188+L193)/2)</f>
        <v>1.9686289451959073E-3</v>
      </c>
      <c r="O154" s="53">
        <f>+O29/((O187+O188+O193)+(N187+N188+N193)/2)</f>
        <v>2.465933063458573E-3</v>
      </c>
      <c r="P154" s="53">
        <f>+P29/((P187+P188+P193)+(O187+O188+O193)/2)</f>
        <v>4.9067713444553383E-3</v>
      </c>
      <c r="Q154" s="65">
        <f>AVERAGE(P154,O154,N154,L154)</f>
        <v>2.6581291043321098E-3</v>
      </c>
      <c r="R154" s="55">
        <f>+R29/((R187+R188+R193)+(M187+M188+M193)/2)</f>
        <v>1.1524779840883176E-2</v>
      </c>
      <c r="S154" s="65">
        <f>AVERAGE(Q154,P154,O154,N154)</f>
        <v>2.9998656143604822E-3</v>
      </c>
      <c r="T154" s="65">
        <f>AVERAGE(S154,Q154,P154,O154)</f>
        <v>3.2576747816516261E-3</v>
      </c>
      <c r="U154" s="65">
        <f>AVERAGE(T154,S154,Q154,P154)</f>
        <v>3.4556102111998892E-3</v>
      </c>
      <c r="V154" s="65">
        <f>AVERAGE(U154,T154,S154,Q154)</f>
        <v>3.0928199278860268E-3</v>
      </c>
      <c r="W154" s="55">
        <f>+W29/((W187+W188+W193)+(R187+R188+R193)/2)</f>
        <v>1.0501992434526201E-2</v>
      </c>
      <c r="X154" s="65">
        <f>AVERAGE(V154,U154,T154,S154)</f>
        <v>3.2014926337745058E-3</v>
      </c>
      <c r="Y154" s="65">
        <f>AVERAGE(X154,V154,U154,T154)</f>
        <v>3.2518993886280117E-3</v>
      </c>
      <c r="Z154" s="65">
        <f>AVERAGE(Y154,X154,V154,U154)</f>
        <v>3.2504555403721084E-3</v>
      </c>
      <c r="AA154" s="65">
        <f>AVERAGE(Z154,Y154,X154,V154)</f>
        <v>3.199166872665163E-3</v>
      </c>
      <c r="AB154" s="55">
        <f>+AB29/((AB187+AB188+AB193)+(W187+W188+W193)/2)</f>
        <v>1.1006902277787558E-2</v>
      </c>
      <c r="AC154" s="65">
        <f>AVERAGE(AA154,Z154,Y154,X154)</f>
        <v>3.2257536088599473E-3</v>
      </c>
      <c r="AD154" s="65">
        <f>AVERAGE(AC154,AA154,Z154,Y154)</f>
        <v>3.2318188526313076E-3</v>
      </c>
      <c r="AE154" s="65">
        <f>AVERAGE(AD154,AC154,AA154,Z154)</f>
        <v>3.2267987186321316E-3</v>
      </c>
      <c r="AF154" s="65">
        <f>AVERAGE(AE154,AD154,AC154,AA154)</f>
        <v>3.2208845131971369E-3</v>
      </c>
      <c r="AG154" s="55">
        <f>+AG29/((AG187+AG188+AG193)+(AB187+AB188+AB193)/2)</f>
        <v>1.044270304235256E-2</v>
      </c>
      <c r="AH154" s="65">
        <f>AVERAGE(AF154,AE154,AD154,AC154)</f>
        <v>3.2263139233301309E-3</v>
      </c>
      <c r="AI154" s="65">
        <f>AVERAGE(AH154,AF154,AE154,AD154)</f>
        <v>3.2264540019476765E-3</v>
      </c>
      <c r="AJ154" s="65">
        <f>AVERAGE(AI154,AH154,AF154,AE154)</f>
        <v>3.2251127892767694E-3</v>
      </c>
      <c r="AK154" s="65">
        <f>AVERAGE(AJ154,AI154,AH154,AF154)</f>
        <v>3.2246913069379282E-3</v>
      </c>
      <c r="AL154" s="55">
        <f>+AL29/((AL187+AL188+AL193)+(AG187+AG188+AG193)/2)</f>
        <v>9.6221041567962438E-3</v>
      </c>
      <c r="AM154" s="65">
        <f>AVERAGE(AK154,AJ154,AI154,AH154)</f>
        <v>3.2256430053731262E-3</v>
      </c>
      <c r="AN154" s="65">
        <f>AVERAGE(AM154,AK154,AJ154,AI154)</f>
        <v>3.225475275883875E-3</v>
      </c>
      <c r="AO154" s="65">
        <f>AVERAGE(AN154,AM154,AK154,AJ154)</f>
        <v>3.2252305943679246E-3</v>
      </c>
      <c r="AP154" s="65">
        <f>AVERAGE(AO154,AN154,AM154,AK154)</f>
        <v>3.2252600456407136E-3</v>
      </c>
      <c r="AQ154" s="55">
        <f>+AQ29/((AQ187+AQ188+AQ193)+(AL187+AL188+AL193)/2)</f>
        <v>9.2712709016885587E-3</v>
      </c>
    </row>
    <row r="155" spans="1:43" s="43" customFormat="1" outlineLevel="1" x14ac:dyDescent="0.25">
      <c r="A155" s="306"/>
      <c r="B155" s="562" t="s">
        <v>229</v>
      </c>
      <c r="C155" s="563"/>
      <c r="D155" s="53"/>
      <c r="E155" s="53">
        <f>-E30/((((E209+E212)+(D209+D212))/2))</f>
        <v>8.0557251242696429E-3</v>
      </c>
      <c r="F155" s="53">
        <f>-F30/((((F209+F212)+(E209+E212))/2))</f>
        <v>8.4807318557490342E-3</v>
      </c>
      <c r="G155" s="53">
        <f>-G30/((((G209+G212)+(F209+F212))/2))</f>
        <v>8.572925858076421E-3</v>
      </c>
      <c r="H155" s="55"/>
      <c r="I155" s="53">
        <f>-I30/((((I209+I212)+(G209+G212))/2))</f>
        <v>8.0554679008449908E-3</v>
      </c>
      <c r="J155" s="53">
        <f>-J30/((((J209+J212)+(I209+I212))/2))</f>
        <v>7.730372102084551E-3</v>
      </c>
      <c r="K155" s="53">
        <f>-K30/((((K209+K212)+(J209+J212))/2))</f>
        <v>7.8322294946980078E-3</v>
      </c>
      <c r="L155" s="53">
        <f>-L30/((((L209+L212)+(K209+K212))/2))</f>
        <v>7.5346594333936109E-3</v>
      </c>
      <c r="M155" s="55">
        <f>-M30/((((M209+M212)+(H209+H212))/2))</f>
        <v>3.1756877082932039E-2</v>
      </c>
      <c r="N155" s="53">
        <f>-N30/((((N209+N212)+(L209+L212))/2))</f>
        <v>7.481930548840208E-3</v>
      </c>
      <c r="O155" s="53">
        <f>-O30/((((O209+O212)+(N209+N212))/2))</f>
        <v>7.5250206938069089E-3</v>
      </c>
      <c r="P155" s="53">
        <f>-P30/((((P209+P212)+(O209+O212))/2))</f>
        <v>7.7494216976973845E-3</v>
      </c>
      <c r="Q155" s="65">
        <f>AVERAGE(P155,O155,N155,L155)</f>
        <v>7.5727580934345281E-3</v>
      </c>
      <c r="R155" s="55">
        <f>-R30/((((R209+R212)+(M209+M212))/2))</f>
        <v>2.993836094631111E-2</v>
      </c>
      <c r="S155" s="65">
        <f>AVERAGE(Q155,P155,O155,N155)</f>
        <v>7.5822827584447567E-3</v>
      </c>
      <c r="T155" s="65">
        <f>AVERAGE(S155,Q155,P155,O155)</f>
        <v>7.6073708108458944E-3</v>
      </c>
      <c r="U155" s="65">
        <f>AVERAGE(T155,S155,Q155,P155)</f>
        <v>7.6279583401056405E-3</v>
      </c>
      <c r="V155" s="65">
        <f>AVERAGE(U155,T155,S155,Q155)</f>
        <v>7.5975925007077047E-3</v>
      </c>
      <c r="W155" s="55">
        <f>-W30/((((W209+W212)+(R209+R212))/2))</f>
        <v>3.069516389849453E-2</v>
      </c>
      <c r="X155" s="65">
        <f>AVERAGE(V155,U155,T155,S155)</f>
        <v>7.6038011025259993E-3</v>
      </c>
      <c r="Y155" s="65">
        <f>AVERAGE(X155,V155,U155,T155)</f>
        <v>7.6091806885463086E-3</v>
      </c>
      <c r="Z155" s="65">
        <f>AVERAGE(Y155,X155,V155,U155)</f>
        <v>7.6096331579714131E-3</v>
      </c>
      <c r="AA155" s="65">
        <f>AVERAGE(Z155,Y155,X155,V155)</f>
        <v>7.6050518624378562E-3</v>
      </c>
      <c r="AB155" s="55">
        <f>-AB30/((((AB209+AB212)+(W209+W212))/2))</f>
        <v>3.0741463443062313E-2</v>
      </c>
      <c r="AC155" s="65">
        <f>AVERAGE(AA155,Z155,Y155,X155)</f>
        <v>7.6069167028703947E-3</v>
      </c>
      <c r="AD155" s="65">
        <f>AVERAGE(AC155,AA155,Z155,Y155)</f>
        <v>7.6076956029564931E-3</v>
      </c>
      <c r="AE155" s="65">
        <f>AVERAGE(AD155,AC155,AA155,Z155)</f>
        <v>7.6073243315590393E-3</v>
      </c>
      <c r="AF155" s="65">
        <f>AVERAGE(AE155,AD155,AC155,AA155)</f>
        <v>7.6067471249559454E-3</v>
      </c>
      <c r="AG155" s="55">
        <f>-AG30/((((AG209+AG212)+(AB209+AB212))/2))</f>
        <v>3.0987568755745706E-2</v>
      </c>
      <c r="AH155" s="65">
        <f>AVERAGE(AF155,AE155,AD155,AC155)</f>
        <v>7.6071709405854679E-3</v>
      </c>
      <c r="AI155" s="65">
        <f>AVERAGE(AH155,AF155,AE155,AD155)</f>
        <v>7.6072345000142358E-3</v>
      </c>
      <c r="AJ155" s="65">
        <f>AVERAGE(AI155,AH155,AF155,AE155)</f>
        <v>7.6071192242786719E-3</v>
      </c>
      <c r="AK155" s="65">
        <f>AVERAGE(AJ155,AI155,AH155,AF155)</f>
        <v>7.6070679474585798E-3</v>
      </c>
      <c r="AL155" s="55">
        <f>-AL30/((((AL209+AL212)+(AG209+AG212))/2))</f>
        <v>3.0930258018355378E-2</v>
      </c>
      <c r="AM155" s="65">
        <f>AVERAGE(AK155,AJ155,AI155,AH155)</f>
        <v>7.6071481530842391E-3</v>
      </c>
      <c r="AN155" s="65">
        <f>AVERAGE(AM155,AK155,AJ155,AI155)</f>
        <v>7.6071424562089316E-3</v>
      </c>
      <c r="AO155" s="65">
        <f>AVERAGE(AN155,AM155,AK155,AJ155)</f>
        <v>7.607119445257605E-3</v>
      </c>
      <c r="AP155" s="65">
        <f>AVERAGE(AO155,AN155,AM155,AK155)</f>
        <v>7.6071195005023382E-3</v>
      </c>
      <c r="AQ155" s="55">
        <f>-AQ30/((((AQ209+AQ212)+(AL209+AL212))/2))</f>
        <v>3.1006405552541527E-2</v>
      </c>
    </row>
    <row r="156" spans="1:43" s="43" customFormat="1" outlineLevel="1" x14ac:dyDescent="0.25">
      <c r="A156" s="306"/>
      <c r="B156" s="393" t="s">
        <v>316</v>
      </c>
      <c r="C156" s="394"/>
      <c r="D156" s="53"/>
      <c r="E156" s="53"/>
      <c r="F156" s="53"/>
      <c r="G156" s="53"/>
      <c r="H156" s="55"/>
      <c r="I156" s="53">
        <f t="shared" ref="I156:AL156" si="606">I42/D42-1</f>
        <v>5.9389868457878192E-2</v>
      </c>
      <c r="J156" s="53">
        <f t="shared" si="606"/>
        <v>-0.47460546003783222</v>
      </c>
      <c r="K156" s="53">
        <f t="shared" si="606"/>
        <v>-1.5922286955663072</v>
      </c>
      <c r="L156" s="276">
        <f t="shared" si="606"/>
        <v>-0.26631134736842188</v>
      </c>
      <c r="M156" s="329">
        <f t="shared" si="606"/>
        <v>-0.59372113780519853</v>
      </c>
      <c r="N156" s="276">
        <f t="shared" si="606"/>
        <v>-0.23228377390823718</v>
      </c>
      <c r="O156" s="276">
        <f t="shared" si="606"/>
        <v>0.96992458477270005</v>
      </c>
      <c r="P156" s="276">
        <f t="shared" si="606"/>
        <v>-3.1776350920116565</v>
      </c>
      <c r="Q156" s="276">
        <f t="shared" si="606"/>
        <v>0.93991501474362593</v>
      </c>
      <c r="R156" s="55">
        <f t="shared" si="606"/>
        <v>1.8022587145243945</v>
      </c>
      <c r="S156" s="276">
        <f t="shared" si="606"/>
        <v>0.38218089628175234</v>
      </c>
      <c r="T156" s="276">
        <f t="shared" si="606"/>
        <v>0.23570554646310571</v>
      </c>
      <c r="U156" s="276">
        <f t="shared" si="606"/>
        <v>9.3669840579770902E-3</v>
      </c>
      <c r="V156" s="276">
        <f t="shared" si="606"/>
        <v>5.2109387304756227E-2</v>
      </c>
      <c r="W156" s="458">
        <f>W42/(R42-0.1)-1</f>
        <v>0.17297085358230602</v>
      </c>
      <c r="X156" s="276">
        <f t="shared" si="606"/>
        <v>0.16580952825125461</v>
      </c>
      <c r="Y156" s="276">
        <f t="shared" si="606"/>
        <v>0.18341374235585173</v>
      </c>
      <c r="Z156" s="276">
        <f t="shared" si="606"/>
        <v>3.2665491452123607E-2</v>
      </c>
      <c r="AA156" s="276">
        <f t="shared" si="606"/>
        <v>0.10631630807754733</v>
      </c>
      <c r="AB156" s="458">
        <f t="shared" si="606"/>
        <v>0.11572659730543733</v>
      </c>
      <c r="AC156" s="276">
        <f t="shared" si="606"/>
        <v>0.10523804273509252</v>
      </c>
      <c r="AD156" s="276">
        <f t="shared" si="606"/>
        <v>0.11471488362469606</v>
      </c>
      <c r="AE156" s="276">
        <f t="shared" si="606"/>
        <v>0.10773661665080381</v>
      </c>
      <c r="AF156" s="276">
        <f t="shared" si="606"/>
        <v>0.10361218691220064</v>
      </c>
      <c r="AG156" s="329">
        <f t="shared" si="606"/>
        <v>0.107524298709744</v>
      </c>
      <c r="AH156" s="276">
        <f t="shared" si="606"/>
        <v>0.10744909237461076</v>
      </c>
      <c r="AI156" s="276">
        <f t="shared" si="606"/>
        <v>0.11001313476759256</v>
      </c>
      <c r="AJ156" s="276">
        <f t="shared" si="606"/>
        <v>0.10307010081361168</v>
      </c>
      <c r="AK156" s="276">
        <f t="shared" si="606"/>
        <v>0.10114098706318808</v>
      </c>
      <c r="AL156" s="55">
        <f t="shared" si="606"/>
        <v>0.10512852515183368</v>
      </c>
      <c r="AM156" s="276">
        <f t="shared" ref="AM156" si="607">AM42/AH42-1</f>
        <v>0.10669522572513346</v>
      </c>
      <c r="AN156" s="276">
        <f t="shared" ref="AN156" si="608">AN42/AI42-1</f>
        <v>0.10899018713697228</v>
      </c>
      <c r="AO156" s="276">
        <f t="shared" ref="AO156" si="609">AO42/AJ42-1</f>
        <v>0.10061011898343297</v>
      </c>
      <c r="AP156" s="276">
        <f t="shared" ref="AP156" si="610">AP42/AK42-1</f>
        <v>9.6280883228363923E-2</v>
      </c>
      <c r="AQ156" s="55">
        <f t="shared" ref="AQ156" si="611">AQ42/AL42-1</f>
        <v>0.10274278921103486</v>
      </c>
    </row>
    <row r="157" spans="1:43" s="43" customFormat="1" outlineLevel="1" x14ac:dyDescent="0.25">
      <c r="A157" s="306"/>
      <c r="B157" s="393" t="s">
        <v>317</v>
      </c>
      <c r="C157" s="394"/>
      <c r="D157" s="53"/>
      <c r="E157" s="53"/>
      <c r="F157" s="53"/>
      <c r="G157" s="53"/>
      <c r="H157" s="55"/>
      <c r="I157" s="53">
        <f>I260/D260-1</f>
        <v>-0.22820512820512895</v>
      </c>
      <c r="J157" s="53">
        <f t="shared" ref="J157:AL157" si="612">J260/E260-1</f>
        <v>-4.4869364754098413</v>
      </c>
      <c r="K157" s="53">
        <f t="shared" si="612"/>
        <v>-1.314434752864716</v>
      </c>
      <c r="L157" s="276">
        <f t="shared" si="612"/>
        <v>0.34527569713924766</v>
      </c>
      <c r="M157" s="329">
        <f t="shared" si="612"/>
        <v>-0.68340961778517451</v>
      </c>
      <c r="N157" s="276">
        <f t="shared" si="612"/>
        <v>-2.1785305811139466E-4</v>
      </c>
      <c r="O157" s="276">
        <f t="shared" si="612"/>
        <v>-1.649232351428781</v>
      </c>
      <c r="P157" s="276">
        <f t="shared" si="612"/>
        <v>-5.7565950503127619</v>
      </c>
      <c r="Q157" s="276">
        <f t="shared" si="612"/>
        <v>-0.27892076580363645</v>
      </c>
      <c r="R157" s="55">
        <f t="shared" si="612"/>
        <v>2.4694034387385817</v>
      </c>
      <c r="S157" s="276">
        <f t="shared" si="612"/>
        <v>0.37674746213325383</v>
      </c>
      <c r="T157" s="276">
        <f t="shared" si="612"/>
        <v>6.354745988332966E-2</v>
      </c>
      <c r="U157" s="276">
        <f t="shared" si="612"/>
        <v>3.7553058457483468E-2</v>
      </c>
      <c r="V157" s="276">
        <f t="shared" si="612"/>
        <v>-4.7325973875614769E-2</v>
      </c>
      <c r="W157" s="329">
        <f t="shared" si="612"/>
        <v>0.13756283182955809</v>
      </c>
      <c r="X157" s="276">
        <f t="shared" si="612"/>
        <v>-3.8821593022618339E-2</v>
      </c>
      <c r="Y157" s="276">
        <f t="shared" si="612"/>
        <v>0.17890260444480854</v>
      </c>
      <c r="Z157" s="276">
        <f t="shared" si="612"/>
        <v>7.3351038934849733E-2</v>
      </c>
      <c r="AA157" s="276">
        <f t="shared" si="612"/>
        <v>-8.9870022325933219E-2</v>
      </c>
      <c r="AB157" s="55">
        <f t="shared" si="612"/>
        <v>1.7622365891585501E-2</v>
      </c>
      <c r="AC157" s="276">
        <f t="shared" si="612"/>
        <v>0.13240837040514575</v>
      </c>
      <c r="AD157" s="276">
        <f t="shared" si="612"/>
        <v>0.11868338935132305</v>
      </c>
      <c r="AE157" s="276">
        <f t="shared" si="612"/>
        <v>0.12609941038786188</v>
      </c>
      <c r="AF157" s="276">
        <f t="shared" si="612"/>
        <v>-3.9629190280782156E-3</v>
      </c>
      <c r="AG157" s="329">
        <f t="shared" si="612"/>
        <v>0.10831697641085913</v>
      </c>
      <c r="AH157" s="276">
        <f t="shared" si="612"/>
        <v>8.407004992031597E-2</v>
      </c>
      <c r="AI157" s="276">
        <f t="shared" si="612"/>
        <v>0.1051491563538558</v>
      </c>
      <c r="AJ157" s="276">
        <f t="shared" si="612"/>
        <v>8.3879725090409307E-2</v>
      </c>
      <c r="AK157" s="276">
        <f t="shared" si="612"/>
        <v>0.12778007797543012</v>
      </c>
      <c r="AL157" s="55">
        <f t="shared" si="612"/>
        <v>9.3390648014831656E-2</v>
      </c>
      <c r="AM157" s="276">
        <f t="shared" ref="AM157" si="613">AM260/AH260-1</f>
        <v>8.4012212772781591E-2</v>
      </c>
      <c r="AN157" s="276">
        <f t="shared" ref="AN157" si="614">AN260/AI260-1</f>
        <v>9.7619436782855118E-2</v>
      </c>
      <c r="AO157" s="276">
        <f t="shared" ref="AO157" si="615">AO260/AJ260-1</f>
        <v>9.1765556854507491E-2</v>
      </c>
      <c r="AP157" s="276">
        <f t="shared" ref="AP157" si="616">AP260/AK260-1</f>
        <v>9.0584006527188787E-2</v>
      </c>
      <c r="AQ157" s="55">
        <f t="shared" ref="AQ157" si="617">AQ260/AL260-1</f>
        <v>8.9664531416757454E-2</v>
      </c>
    </row>
    <row r="158" spans="1:43" s="43" customFormat="1" outlineLevel="1" x14ac:dyDescent="0.25">
      <c r="A158" s="306"/>
      <c r="B158" s="393" t="s">
        <v>318</v>
      </c>
      <c r="C158" s="394"/>
      <c r="D158" s="53"/>
      <c r="E158" s="53"/>
      <c r="F158" s="53"/>
      <c r="G158" s="53"/>
      <c r="H158" s="55"/>
      <c r="I158" s="53">
        <f>I280/D280-1</f>
        <v>-0.24545035565099549</v>
      </c>
      <c r="J158" s="53">
        <f>J280/E280-1</f>
        <v>-49.022853148691759</v>
      </c>
      <c r="K158" s="53">
        <f t="shared" ref="K158:AL158" si="618">K280/F280-1</f>
        <v>-1.8137601777789563</v>
      </c>
      <c r="L158" s="276">
        <f t="shared" si="618"/>
        <v>0.89184482146730626</v>
      </c>
      <c r="M158" s="329">
        <f t="shared" si="618"/>
        <v>-0.86924749756183606</v>
      </c>
      <c r="N158" s="276">
        <f t="shared" si="618"/>
        <v>6.0990846970884194E-2</v>
      </c>
      <c r="O158" s="276">
        <f t="shared" si="618"/>
        <v>-1.3948973369738331</v>
      </c>
      <c r="P158" s="276">
        <f t="shared" si="618"/>
        <v>-3.2982619750408255</v>
      </c>
      <c r="Q158" s="276">
        <f t="shared" si="618"/>
        <v>-0.62943281740271795</v>
      </c>
      <c r="R158" s="55">
        <f t="shared" si="618"/>
        <v>8.2159355044720837</v>
      </c>
      <c r="S158" s="276">
        <f t="shared" si="618"/>
        <v>0.33698713440224481</v>
      </c>
      <c r="T158" s="276">
        <f t="shared" si="618"/>
        <v>-0.12095025839918938</v>
      </c>
      <c r="U158" s="276">
        <f t="shared" si="618"/>
        <v>-7.8449876062832158E-2</v>
      </c>
      <c r="V158" s="276">
        <f t="shared" si="618"/>
        <v>0.31809141928301821</v>
      </c>
      <c r="W158" s="329">
        <f t="shared" si="618"/>
        <v>0.11653420109641477</v>
      </c>
      <c r="X158" s="276">
        <f t="shared" si="618"/>
        <v>-4.8006494154221535E-2</v>
      </c>
      <c r="Y158" s="276">
        <f t="shared" si="618"/>
        <v>0.27554792313735432</v>
      </c>
      <c r="Z158" s="276">
        <f t="shared" si="618"/>
        <v>9.0866626050290167E-2</v>
      </c>
      <c r="AA158" s="276">
        <f t="shared" si="618"/>
        <v>-0.15353766398790913</v>
      </c>
      <c r="AB158" s="55">
        <f t="shared" si="618"/>
        <v>1.8435055991771643E-2</v>
      </c>
      <c r="AC158" s="276">
        <f t="shared" si="618"/>
        <v>0.15960568058667879</v>
      </c>
      <c r="AD158" s="276">
        <f t="shared" si="618"/>
        <v>0.18321280699278142</v>
      </c>
      <c r="AE158" s="276">
        <f t="shared" si="618"/>
        <v>0.16375129948007117</v>
      </c>
      <c r="AF158" s="276">
        <f t="shared" si="618"/>
        <v>-6.0232045351319319E-2</v>
      </c>
      <c r="AG158" s="329">
        <f t="shared" si="618"/>
        <v>0.14093048988261625</v>
      </c>
      <c r="AH158" s="276">
        <f t="shared" si="618"/>
        <v>7.8003646429558371E-2</v>
      </c>
      <c r="AI158" s="276">
        <f t="shared" si="618"/>
        <v>9.7820519053900545E-2</v>
      </c>
      <c r="AJ158" s="276">
        <f t="shared" si="618"/>
        <v>7.6171903347212577E-2</v>
      </c>
      <c r="AK158" s="276">
        <f t="shared" si="618"/>
        <v>0.15336990714802479</v>
      </c>
      <c r="AL158" s="55">
        <f t="shared" si="618"/>
        <v>8.7196684731128293E-2</v>
      </c>
      <c r="AM158" s="276">
        <f t="shared" ref="AM158" si="619">AM280/AH280-1</f>
        <v>7.973985214816981E-2</v>
      </c>
      <c r="AN158" s="276">
        <f t="shared" ref="AN158" si="620">AN280/AI280-1</f>
        <v>9.2694776385728872E-2</v>
      </c>
      <c r="AO158" s="276">
        <f t="shared" ref="AO158" si="621">AO280/AJ280-1</f>
        <v>8.9193674066664119E-2</v>
      </c>
      <c r="AP158" s="276">
        <f t="shared" ref="AP158" si="622">AP280/AK280-1</f>
        <v>8.2577315726382938E-2</v>
      </c>
      <c r="AQ158" s="55">
        <f t="shared" ref="AQ158" si="623">AQ280/AL280-1</f>
        <v>8.5070169474226187E-2</v>
      </c>
    </row>
    <row r="159" spans="1:43" ht="18" x14ac:dyDescent="0.4">
      <c r="A159" s="253"/>
      <c r="B159" s="532" t="s">
        <v>306</v>
      </c>
      <c r="C159" s="533"/>
      <c r="D159" s="32" t="s">
        <v>119</v>
      </c>
      <c r="E159" s="32" t="s">
        <v>243</v>
      </c>
      <c r="F159" s="32" t="s">
        <v>247</v>
      </c>
      <c r="G159" s="32" t="s">
        <v>257</v>
      </c>
      <c r="H159" s="86" t="s">
        <v>258</v>
      </c>
      <c r="I159" s="32" t="s">
        <v>259</v>
      </c>
      <c r="J159" s="32" t="s">
        <v>260</v>
      </c>
      <c r="K159" s="32" t="s">
        <v>261</v>
      </c>
      <c r="L159" s="32" t="s">
        <v>322</v>
      </c>
      <c r="M159" s="86" t="s">
        <v>333</v>
      </c>
      <c r="N159" s="32" t="s">
        <v>339</v>
      </c>
      <c r="O159" s="32" t="s">
        <v>347</v>
      </c>
      <c r="P159" s="32" t="s">
        <v>349</v>
      </c>
      <c r="Q159" s="30" t="s">
        <v>129</v>
      </c>
      <c r="R159" s="89" t="s">
        <v>130</v>
      </c>
      <c r="S159" s="30" t="s">
        <v>131</v>
      </c>
      <c r="T159" s="30" t="s">
        <v>132</v>
      </c>
      <c r="U159" s="30" t="s">
        <v>133</v>
      </c>
      <c r="V159" s="30" t="s">
        <v>134</v>
      </c>
      <c r="W159" s="89" t="s">
        <v>135</v>
      </c>
      <c r="X159" s="30" t="s">
        <v>136</v>
      </c>
      <c r="Y159" s="30" t="s">
        <v>137</v>
      </c>
      <c r="Z159" s="30" t="s">
        <v>138</v>
      </c>
      <c r="AA159" s="30" t="s">
        <v>139</v>
      </c>
      <c r="AB159" s="89" t="s">
        <v>140</v>
      </c>
      <c r="AC159" s="30" t="s">
        <v>252</v>
      </c>
      <c r="AD159" s="30" t="s">
        <v>253</v>
      </c>
      <c r="AE159" s="30" t="s">
        <v>254</v>
      </c>
      <c r="AF159" s="30" t="s">
        <v>255</v>
      </c>
      <c r="AG159" s="89" t="s">
        <v>256</v>
      </c>
      <c r="AH159" s="30" t="s">
        <v>285</v>
      </c>
      <c r="AI159" s="30" t="s">
        <v>286</v>
      </c>
      <c r="AJ159" s="30" t="s">
        <v>287</v>
      </c>
      <c r="AK159" s="30" t="s">
        <v>288</v>
      </c>
      <c r="AL159" s="89" t="s">
        <v>289</v>
      </c>
      <c r="AM159" s="30" t="s">
        <v>356</v>
      </c>
      <c r="AN159" s="30" t="s">
        <v>357</v>
      </c>
      <c r="AO159" s="30" t="s">
        <v>358</v>
      </c>
      <c r="AP159" s="30" t="s">
        <v>359</v>
      </c>
      <c r="AQ159" s="89" t="s">
        <v>360</v>
      </c>
    </row>
    <row r="160" spans="1:43" outlineLevel="1" x14ac:dyDescent="0.25">
      <c r="A160" s="253"/>
      <c r="B160" s="562" t="s">
        <v>51</v>
      </c>
      <c r="C160" s="563"/>
      <c r="D160" s="53"/>
      <c r="E160" s="53">
        <f>(E38+E164+E167+E170)/D38-1</f>
        <v>2.777764747303535E-2</v>
      </c>
      <c r="F160" s="53">
        <f>(F38+F164+F167+F170)/E38-1</f>
        <v>-1.7269004124131682E-2</v>
      </c>
      <c r="G160" s="53">
        <f>(G38+G164+G167+G170)/F38-1</f>
        <v>1.9258933156590885E-2</v>
      </c>
      <c r="H160" s="21"/>
      <c r="I160" s="53">
        <f>(I38+I164+I167+I170)/G38-1</f>
        <v>-1.436336111538794E-2</v>
      </c>
      <c r="J160" s="53">
        <f>(J38+J164+J167+J170)/I38-1</f>
        <v>-1.1333810572689007E-3</v>
      </c>
      <c r="K160" s="53">
        <f>(K38+K164+K167+K170)/J38-1</f>
        <v>-2.8161802355349819E-3</v>
      </c>
      <c r="L160" s="53">
        <f>(L38+L164+L167+L170)/K38-1</f>
        <v>-9.5210569021197955E-4</v>
      </c>
      <c r="M160" s="21"/>
      <c r="N160" s="276">
        <v>-1.4291996843950673E-2</v>
      </c>
      <c r="O160" s="53">
        <f>(O38+O164+O167+O170)/N38-1</f>
        <v>2.1276595744681437E-3</v>
      </c>
      <c r="P160" s="53">
        <f>(P38+P164+P167+P170)/O38-1</f>
        <v>8.4925690021231404E-4</v>
      </c>
      <c r="Q160" s="65">
        <f>P160</f>
        <v>8.4925690021231404E-4</v>
      </c>
      <c r="R160" s="21"/>
      <c r="S160" s="65">
        <f>Q160</f>
        <v>8.4925690021231404E-4</v>
      </c>
      <c r="T160" s="65">
        <f>S160</f>
        <v>8.4925690021231404E-4</v>
      </c>
      <c r="U160" s="65">
        <f t="shared" ref="U160:V160" si="624">T160</f>
        <v>8.4925690021231404E-4</v>
      </c>
      <c r="V160" s="65">
        <f t="shared" si="624"/>
        <v>8.4925690021231404E-4</v>
      </c>
      <c r="W160" s="21"/>
      <c r="X160" s="65">
        <f t="shared" ref="X160:X161" si="625">AVERAGE(S160,T160,U160,V160)</f>
        <v>8.4925690021231404E-4</v>
      </c>
      <c r="Y160" s="65">
        <f t="shared" ref="Y160:Y161" si="626">AVERAGE(T160,U160,V160,X160)</f>
        <v>8.4925690021231404E-4</v>
      </c>
      <c r="Z160" s="65">
        <f t="shared" ref="Z160:Z161" si="627">AVERAGE(U160,V160,X160,Y160)</f>
        <v>8.4925690021231404E-4</v>
      </c>
      <c r="AA160" s="65">
        <f t="shared" ref="AA160:AA161" si="628">AVERAGE(V160,X160,Y160,Z160)</f>
        <v>8.4925690021231404E-4</v>
      </c>
      <c r="AB160" s="21"/>
      <c r="AC160" s="65">
        <f t="shared" ref="AC160:AC161" si="629">AVERAGE(X160,Y160,Z160,AA160)</f>
        <v>8.4925690021231404E-4</v>
      </c>
      <c r="AD160" s="65">
        <f t="shared" ref="AD160:AD161" si="630">AVERAGE(Y160,Z160,AA160,AC160)</f>
        <v>8.4925690021231404E-4</v>
      </c>
      <c r="AE160" s="65">
        <f t="shared" ref="AE160:AE161" si="631">AVERAGE(Z160,AA160,AC160,AD160)</f>
        <v>8.4925690021231404E-4</v>
      </c>
      <c r="AF160" s="65">
        <f t="shared" ref="AF160:AF161" si="632">AVERAGE(AA160,AC160,AD160,AE160)</f>
        <v>8.4925690021231404E-4</v>
      </c>
      <c r="AG160" s="21"/>
      <c r="AH160" s="65">
        <f t="shared" ref="AH160:AH161" si="633">AVERAGE(AC160,AD160,AE160,AF160)</f>
        <v>8.4925690021231404E-4</v>
      </c>
      <c r="AI160" s="65">
        <f t="shared" ref="AI160:AI161" si="634">AVERAGE(AD160,AE160,AF160,AH160)</f>
        <v>8.4925690021231404E-4</v>
      </c>
      <c r="AJ160" s="65">
        <f t="shared" ref="AJ160:AJ161" si="635">AVERAGE(AE160,AF160,AH160,AI160)</f>
        <v>8.4925690021231404E-4</v>
      </c>
      <c r="AK160" s="65">
        <f t="shared" ref="AK160:AK161" si="636">AVERAGE(AF160,AH160,AI160,AJ160)</f>
        <v>8.4925690021231404E-4</v>
      </c>
      <c r="AL160" s="21"/>
      <c r="AM160" s="65">
        <f t="shared" ref="AM160:AM161" si="637">AVERAGE(AH160,AI160,AJ160,AK160)</f>
        <v>8.4925690021231404E-4</v>
      </c>
      <c r="AN160" s="65">
        <f t="shared" ref="AN160:AN161" si="638">AVERAGE(AI160,AJ160,AK160,AM160)</f>
        <v>8.4925690021231404E-4</v>
      </c>
      <c r="AO160" s="65">
        <f t="shared" ref="AO160:AO161" si="639">AVERAGE(AJ160,AK160,AM160,AN160)</f>
        <v>8.4925690021231404E-4</v>
      </c>
      <c r="AP160" s="65">
        <f t="shared" ref="AP160:AP161" si="640">AVERAGE(AK160,AM160,AN160,AO160)</f>
        <v>8.4925690021231404E-4</v>
      </c>
      <c r="AQ160" s="21"/>
    </row>
    <row r="161" spans="1:43" outlineLevel="1" x14ac:dyDescent="0.25">
      <c r="A161" s="253"/>
      <c r="B161" s="562" t="s">
        <v>52</v>
      </c>
      <c r="C161" s="563"/>
      <c r="D161" s="53"/>
      <c r="E161" s="53">
        <f>(E39+E164+E167+E170)/D39-1</f>
        <v>2.7604785512613583E-2</v>
      </c>
      <c r="F161" s="53">
        <f>(F39+F164+F167+F170)/E39-1</f>
        <v>-1.6710442080933863E-2</v>
      </c>
      <c r="G161" s="53">
        <f>(G39+G164+G167+G170)/F39-1</f>
        <v>1.9089589576967603E-2</v>
      </c>
      <c r="H161" s="21"/>
      <c r="I161" s="53">
        <f>(I39+I164+I167+I170)/G39-1</f>
        <v>-1.5386652077945762E-2</v>
      </c>
      <c r="J161" s="53">
        <f>(J39+J164+J167+J170)/I39-1</f>
        <v>-2.5506658270361138E-3</v>
      </c>
      <c r="K161" s="53">
        <f>(K39+K164+K167+K170)/J39-1</f>
        <v>-1.0332853392055585E-2</v>
      </c>
      <c r="L161" s="53">
        <f>(L39+L164+L167+L170)/K39-1</f>
        <v>8.9858793324775199E-3</v>
      </c>
      <c r="M161" s="21"/>
      <c r="N161" s="276">
        <v>-1.4291996843950673E-2</v>
      </c>
      <c r="O161" s="53">
        <f>(O39+O164+O167+O170)/N39-1</f>
        <v>1.5215553677092597E-3</v>
      </c>
      <c r="P161" s="53">
        <f>(P39+P164+P167+P170)/O39-1</f>
        <v>1.1816340310601969E-3</v>
      </c>
      <c r="Q161" s="65">
        <f>P161</f>
        <v>1.1816340310601969E-3</v>
      </c>
      <c r="R161" s="21"/>
      <c r="S161" s="65">
        <f>Q161</f>
        <v>1.1816340310601969E-3</v>
      </c>
      <c r="T161" s="65">
        <f>S161</f>
        <v>1.1816340310601969E-3</v>
      </c>
      <c r="U161" s="65">
        <f t="shared" ref="U161:V161" si="641">T161</f>
        <v>1.1816340310601969E-3</v>
      </c>
      <c r="V161" s="65">
        <f t="shared" si="641"/>
        <v>1.1816340310601969E-3</v>
      </c>
      <c r="W161" s="21"/>
      <c r="X161" s="65">
        <f t="shared" si="625"/>
        <v>1.1816340310601969E-3</v>
      </c>
      <c r="Y161" s="65">
        <f t="shared" si="626"/>
        <v>1.1816340310601969E-3</v>
      </c>
      <c r="Z161" s="65">
        <f t="shared" si="627"/>
        <v>1.1816340310601969E-3</v>
      </c>
      <c r="AA161" s="65">
        <f t="shared" si="628"/>
        <v>1.1816340310601969E-3</v>
      </c>
      <c r="AB161" s="21"/>
      <c r="AC161" s="65">
        <f t="shared" si="629"/>
        <v>1.1816340310601969E-3</v>
      </c>
      <c r="AD161" s="65">
        <f t="shared" si="630"/>
        <v>1.1816340310601969E-3</v>
      </c>
      <c r="AE161" s="65">
        <f t="shared" si="631"/>
        <v>1.1816340310601969E-3</v>
      </c>
      <c r="AF161" s="65">
        <f t="shared" si="632"/>
        <v>1.1816340310601969E-3</v>
      </c>
      <c r="AG161" s="21"/>
      <c r="AH161" s="65">
        <f t="shared" si="633"/>
        <v>1.1816340310601969E-3</v>
      </c>
      <c r="AI161" s="65">
        <f t="shared" si="634"/>
        <v>1.1816340310601969E-3</v>
      </c>
      <c r="AJ161" s="65">
        <f t="shared" si="635"/>
        <v>1.1816340310601969E-3</v>
      </c>
      <c r="AK161" s="65">
        <f t="shared" si="636"/>
        <v>1.1816340310601969E-3</v>
      </c>
      <c r="AL161" s="21"/>
      <c r="AM161" s="65">
        <f t="shared" si="637"/>
        <v>1.1816340310601969E-3</v>
      </c>
      <c r="AN161" s="65">
        <f t="shared" si="638"/>
        <v>1.1816340310601969E-3</v>
      </c>
      <c r="AO161" s="65">
        <f t="shared" si="639"/>
        <v>1.1816340310601969E-3</v>
      </c>
      <c r="AP161" s="65">
        <f t="shared" si="640"/>
        <v>1.1816340310601969E-3</v>
      </c>
      <c r="AQ161" s="21"/>
    </row>
    <row r="162" spans="1:43" outlineLevel="1" x14ac:dyDescent="0.25">
      <c r="A162" s="253"/>
      <c r="B162" s="562" t="s">
        <v>313</v>
      </c>
      <c r="C162" s="563"/>
      <c r="D162" s="67"/>
      <c r="E162" s="270">
        <v>69.922678056926543</v>
      </c>
      <c r="F162" s="270">
        <v>83.13076202744692</v>
      </c>
      <c r="G162" s="270">
        <v>92.52</v>
      </c>
      <c r="H162" s="68"/>
      <c r="I162" s="270">
        <v>85.23</v>
      </c>
      <c r="J162" s="270">
        <v>78.08</v>
      </c>
      <c r="K162" s="270">
        <v>0</v>
      </c>
      <c r="L162" s="270">
        <v>72</v>
      </c>
      <c r="M162" s="68"/>
      <c r="N162" s="270">
        <v>88</v>
      </c>
      <c r="O162" s="270">
        <v>122.5</v>
      </c>
      <c r="P162" s="270">
        <f>O162</f>
        <v>122.5</v>
      </c>
      <c r="Q162" s="69">
        <v>120</v>
      </c>
      <c r="R162" s="68"/>
      <c r="S162" s="69">
        <f>+Q162</f>
        <v>120</v>
      </c>
      <c r="T162" s="69">
        <f>+S162</f>
        <v>120</v>
      </c>
      <c r="U162" s="69">
        <f>+T162</f>
        <v>120</v>
      </c>
      <c r="V162" s="69">
        <f>+U162</f>
        <v>120</v>
      </c>
      <c r="W162" s="68"/>
      <c r="X162" s="69">
        <f>+V162</f>
        <v>120</v>
      </c>
      <c r="Y162" s="69">
        <f>+X162</f>
        <v>120</v>
      </c>
      <c r="Z162" s="69">
        <f>+Y162</f>
        <v>120</v>
      </c>
      <c r="AA162" s="69">
        <f>+Z162</f>
        <v>120</v>
      </c>
      <c r="AB162" s="68"/>
      <c r="AC162" s="69">
        <f>+AA162</f>
        <v>120</v>
      </c>
      <c r="AD162" s="69">
        <f>+AC162</f>
        <v>120</v>
      </c>
      <c r="AE162" s="69">
        <f>+AD162</f>
        <v>120</v>
      </c>
      <c r="AF162" s="69">
        <f>+AE162</f>
        <v>120</v>
      </c>
      <c r="AG162" s="68"/>
      <c r="AH162" s="69">
        <f>+AF162</f>
        <v>120</v>
      </c>
      <c r="AI162" s="69">
        <f>+AH162</f>
        <v>120</v>
      </c>
      <c r="AJ162" s="69">
        <f>+AI162</f>
        <v>120</v>
      </c>
      <c r="AK162" s="69">
        <f>+AJ162</f>
        <v>120</v>
      </c>
      <c r="AL162" s="68"/>
      <c r="AM162" s="69">
        <f>+AK162</f>
        <v>120</v>
      </c>
      <c r="AN162" s="69">
        <f>+AM162</f>
        <v>120</v>
      </c>
      <c r="AO162" s="69">
        <f>+AN162</f>
        <v>120</v>
      </c>
      <c r="AP162" s="69">
        <f>+AO162</f>
        <v>120</v>
      </c>
      <c r="AQ162" s="68"/>
    </row>
    <row r="163" spans="1:43" outlineLevel="1" x14ac:dyDescent="0.25">
      <c r="A163" s="253"/>
      <c r="B163" s="562" t="s">
        <v>314</v>
      </c>
      <c r="C163" s="563"/>
      <c r="D163" s="34"/>
      <c r="E163" s="260">
        <v>713.2</v>
      </c>
      <c r="F163" s="260">
        <f>954.3-713.2</f>
        <v>241.09999999999991</v>
      </c>
      <c r="G163" s="255">
        <v>2177.1942404399997</v>
      </c>
      <c r="H163" s="35">
        <f>+SUM(D163:G163)</f>
        <v>3131.4942404399999</v>
      </c>
      <c r="I163" s="255">
        <v>1107.9389472300002</v>
      </c>
      <c r="J163" s="255">
        <v>567.02921856000012</v>
      </c>
      <c r="K163" s="255">
        <v>0</v>
      </c>
      <c r="L163" s="255">
        <v>0</v>
      </c>
      <c r="M163" s="35">
        <f>+SUM(I163:L163)</f>
        <v>1674.9681657900003</v>
      </c>
      <c r="N163" s="255">
        <v>0</v>
      </c>
      <c r="O163" s="255">
        <v>0</v>
      </c>
      <c r="P163" s="255">
        <v>0</v>
      </c>
      <c r="Q163" s="63">
        <v>0</v>
      </c>
      <c r="R163" s="35">
        <f>+SUM(N163:Q163)</f>
        <v>0</v>
      </c>
      <c r="S163" s="63">
        <v>500</v>
      </c>
      <c r="T163" s="63">
        <v>500</v>
      </c>
      <c r="U163" s="63">
        <v>500</v>
      </c>
      <c r="V163" s="63">
        <v>500</v>
      </c>
      <c r="W163" s="349">
        <f>+SUM(S163:V163)</f>
        <v>2000</v>
      </c>
      <c r="X163" s="63">
        <v>500</v>
      </c>
      <c r="Y163" s="63">
        <v>500</v>
      </c>
      <c r="Z163" s="63">
        <v>500</v>
      </c>
      <c r="AA163" s="63">
        <v>500</v>
      </c>
      <c r="AB163" s="35">
        <f>+SUM(X163:AA163)</f>
        <v>2000</v>
      </c>
      <c r="AC163" s="63">
        <v>250</v>
      </c>
      <c r="AD163" s="63">
        <v>250</v>
      </c>
      <c r="AE163" s="63">
        <v>250</v>
      </c>
      <c r="AF163" s="63">
        <v>250</v>
      </c>
      <c r="AG163" s="35">
        <f>+SUM(AC163:AF163)</f>
        <v>1000</v>
      </c>
      <c r="AH163" s="63">
        <v>250</v>
      </c>
      <c r="AI163" s="63">
        <v>250</v>
      </c>
      <c r="AJ163" s="63">
        <v>250</v>
      </c>
      <c r="AK163" s="63">
        <v>250</v>
      </c>
      <c r="AL163" s="35">
        <f>+SUM(AH163:AK163)</f>
        <v>1000</v>
      </c>
      <c r="AM163" s="63">
        <v>250</v>
      </c>
      <c r="AN163" s="63">
        <v>250</v>
      </c>
      <c r="AO163" s="63">
        <v>250</v>
      </c>
      <c r="AP163" s="63">
        <v>250</v>
      </c>
      <c r="AQ163" s="35">
        <f>+SUM(AM163:AP163)</f>
        <v>1000</v>
      </c>
    </row>
    <row r="164" spans="1:43" outlineLevel="1" x14ac:dyDescent="0.25">
      <c r="A164" s="253"/>
      <c r="B164" s="562" t="s">
        <v>315</v>
      </c>
      <c r="C164" s="563"/>
      <c r="D164" s="335"/>
      <c r="E164" s="335">
        <f>IF((E163)&gt;0,(E163/E162),0)</f>
        <v>10.199838161509755</v>
      </c>
      <c r="F164" s="338">
        <f>IF((F163)&gt;0,(F163/F162),0)</f>
        <v>2.9002500893760241</v>
      </c>
      <c r="G164" s="338">
        <f>IF((G163)&gt;0,(G163/G162),0)</f>
        <v>23.532146999999998</v>
      </c>
      <c r="H164" s="170">
        <f>+SUM(D164:G164)</f>
        <v>36.632235250885778</v>
      </c>
      <c r="I164" s="335">
        <f>IF((I163)&gt;0,(I163/I162),0)</f>
        <v>12.999401000000001</v>
      </c>
      <c r="J164" s="338">
        <f>IF((J163)&gt;0,(J163/J162),0)</f>
        <v>7.262157000000002</v>
      </c>
      <c r="K164" s="335">
        <f>IF((K163)&gt;0,(K163/K162),0)</f>
        <v>0</v>
      </c>
      <c r="L164" s="335">
        <f>IF((L163)&gt;0,(L163/L162),0)</f>
        <v>0</v>
      </c>
      <c r="M164" s="170">
        <f>+SUM(I164:L164)</f>
        <v>20.261558000000001</v>
      </c>
      <c r="N164" s="335">
        <f>IF((N163)&gt;0,(N163/N162),0)</f>
        <v>0</v>
      </c>
      <c r="O164" s="335">
        <f>IF((O163)&gt;0,(O163/O162),0)</f>
        <v>0</v>
      </c>
      <c r="P164" s="335">
        <f>IF((P163)&gt;0,(P163/P162),0)</f>
        <v>0</v>
      </c>
      <c r="Q164" s="335">
        <f>IF((Q163)&gt;0,(Q163/Q162),0)</f>
        <v>0</v>
      </c>
      <c r="R164" s="170">
        <f>+SUM(N164:Q164)</f>
        <v>0</v>
      </c>
      <c r="S164" s="335">
        <f>IF((S163)&gt;0,(S163/S162),0)</f>
        <v>4.166666666666667</v>
      </c>
      <c r="T164" s="335">
        <f>IF((T163)&gt;0,(T163/T162),0)</f>
        <v>4.166666666666667</v>
      </c>
      <c r="U164" s="335">
        <f>IF((U163)&gt;0,(U163/U162),0)</f>
        <v>4.166666666666667</v>
      </c>
      <c r="V164" s="335">
        <f>IF((V163)&gt;0,(V163/V162),0)</f>
        <v>4.166666666666667</v>
      </c>
      <c r="W164" s="170">
        <f>+SUM(S164:V164)</f>
        <v>16.666666666666668</v>
      </c>
      <c r="X164" s="335">
        <f>IF((X163)&gt;0,(X163/X162),0)</f>
        <v>4.166666666666667</v>
      </c>
      <c r="Y164" s="335">
        <f>IF((Y163)&gt;0,(Y163/Y162),0)</f>
        <v>4.166666666666667</v>
      </c>
      <c r="Z164" s="335">
        <f>IF((Z163)&gt;0,(Z163/Z162),0)</f>
        <v>4.166666666666667</v>
      </c>
      <c r="AA164" s="335">
        <f>IF((AA163)&gt;0,(AA163/AA162),0)</f>
        <v>4.166666666666667</v>
      </c>
      <c r="AB164" s="170">
        <f>+SUM(X164:AA164)</f>
        <v>16.666666666666668</v>
      </c>
      <c r="AC164" s="335">
        <f>IF((AC163)&gt;0,(AC163/AC162),0)</f>
        <v>2.0833333333333335</v>
      </c>
      <c r="AD164" s="335">
        <f>IF((AD163)&gt;0,(AD163/AD162),0)</f>
        <v>2.0833333333333335</v>
      </c>
      <c r="AE164" s="335">
        <f>IF((AE163)&gt;0,(AE163/AE162),0)</f>
        <v>2.0833333333333335</v>
      </c>
      <c r="AF164" s="335">
        <f>IF((AF163)&gt;0,(AF163/AF162),0)</f>
        <v>2.0833333333333335</v>
      </c>
      <c r="AG164" s="170">
        <f>+SUM(AC164:AF164)</f>
        <v>8.3333333333333339</v>
      </c>
      <c r="AH164" s="335">
        <f>IF((AH163)&gt;0,(AH163/AH162),0)</f>
        <v>2.0833333333333335</v>
      </c>
      <c r="AI164" s="335">
        <f>IF((AI163)&gt;0,(AI163/AI162),0)</f>
        <v>2.0833333333333335</v>
      </c>
      <c r="AJ164" s="335">
        <f>IF((AJ163)&gt;0,(AJ163/AJ162),0)</f>
        <v>2.0833333333333335</v>
      </c>
      <c r="AK164" s="335">
        <f>IF((AK163)&gt;0,(AK163/AK162),0)</f>
        <v>2.0833333333333335</v>
      </c>
      <c r="AL164" s="170">
        <f>+SUM(AH164:AK164)</f>
        <v>8.3333333333333339</v>
      </c>
      <c r="AM164" s="335">
        <f>IF((AM163)&gt;0,(AM163/AM162),0)</f>
        <v>2.0833333333333335</v>
      </c>
      <c r="AN164" s="335">
        <f>IF((AN163)&gt;0,(AN163/AN162),0)</f>
        <v>2.0833333333333335</v>
      </c>
      <c r="AO164" s="335">
        <f>IF((AO163)&gt;0,(AO163/AO162),0)</f>
        <v>2.0833333333333335</v>
      </c>
      <c r="AP164" s="335">
        <f>IF((AP163)&gt;0,(AP163/AP162),0)</f>
        <v>2.0833333333333335</v>
      </c>
      <c r="AQ164" s="170">
        <f>+SUM(AM164:AP164)</f>
        <v>8.3333333333333339</v>
      </c>
    </row>
    <row r="165" spans="1:43" outlineLevel="1" x14ac:dyDescent="0.25">
      <c r="A165" s="253"/>
      <c r="B165" s="574" t="s">
        <v>307</v>
      </c>
      <c r="C165" s="575"/>
      <c r="D165" s="339">
        <v>55.58</v>
      </c>
      <c r="E165" s="340">
        <v>65.03</v>
      </c>
      <c r="F165" s="232"/>
      <c r="G165" s="232"/>
      <c r="H165" s="208"/>
      <c r="I165" s="232"/>
      <c r="J165" s="232"/>
      <c r="K165" s="232"/>
      <c r="L165" s="232"/>
      <c r="M165" s="208"/>
      <c r="N165" s="232"/>
      <c r="O165" s="232"/>
      <c r="P165" s="232"/>
      <c r="Q165" s="232"/>
      <c r="R165" s="208"/>
      <c r="S165" s="232"/>
      <c r="T165" s="232"/>
      <c r="U165" s="232"/>
      <c r="V165" s="232"/>
      <c r="W165" s="208"/>
      <c r="X165" s="232"/>
      <c r="Y165" s="232"/>
      <c r="Z165" s="232"/>
      <c r="AA165" s="232"/>
      <c r="AB165" s="208"/>
      <c r="AC165" s="232"/>
      <c r="AD165" s="232"/>
      <c r="AE165" s="232"/>
      <c r="AF165" s="232"/>
      <c r="AG165" s="208"/>
      <c r="AH165" s="232"/>
      <c r="AI165" s="232"/>
      <c r="AJ165" s="232"/>
      <c r="AK165" s="232"/>
      <c r="AL165" s="208"/>
      <c r="AM165" s="232"/>
      <c r="AN165" s="232"/>
      <c r="AO165" s="232"/>
      <c r="AP165" s="232"/>
      <c r="AQ165" s="208"/>
    </row>
    <row r="166" spans="1:43" outlineLevel="1" x14ac:dyDescent="0.25">
      <c r="A166" s="253"/>
      <c r="B166" s="576" t="s">
        <v>308</v>
      </c>
      <c r="C166" s="577"/>
      <c r="D166" s="341">
        <f>71.968334*55.58</f>
        <v>4000.0000037199998</v>
      </c>
      <c r="E166" s="342">
        <v>318.64700000000005</v>
      </c>
      <c r="F166" s="335"/>
      <c r="G166" s="335"/>
      <c r="H166" s="170"/>
      <c r="I166" s="335"/>
      <c r="J166" s="335"/>
      <c r="K166" s="335"/>
      <c r="L166" s="335"/>
      <c r="M166" s="170"/>
      <c r="N166" s="335"/>
      <c r="O166" s="335"/>
      <c r="P166" s="335"/>
      <c r="Q166" s="335"/>
      <c r="R166" s="170"/>
      <c r="S166" s="335"/>
      <c r="T166" s="335"/>
      <c r="U166" s="335"/>
      <c r="V166" s="335"/>
      <c r="W166" s="329"/>
      <c r="X166" s="335"/>
      <c r="Y166" s="335"/>
      <c r="Z166" s="335"/>
      <c r="AA166" s="335"/>
      <c r="AB166" s="170"/>
      <c r="AC166" s="335"/>
      <c r="AD166" s="335"/>
      <c r="AE166" s="335"/>
      <c r="AF166" s="335"/>
      <c r="AG166" s="170"/>
      <c r="AH166" s="335"/>
      <c r="AI166" s="335"/>
      <c r="AJ166" s="335"/>
      <c r="AK166" s="335"/>
      <c r="AL166" s="170"/>
      <c r="AM166" s="335"/>
      <c r="AN166" s="335"/>
      <c r="AO166" s="335"/>
      <c r="AP166" s="335"/>
      <c r="AQ166" s="170"/>
    </row>
    <row r="167" spans="1:43" outlineLevel="1" x14ac:dyDescent="0.25">
      <c r="A167" s="253"/>
      <c r="B167" s="578" t="s">
        <v>309</v>
      </c>
      <c r="C167" s="579"/>
      <c r="D167" s="343">
        <f>IF((D166)&gt;0,(D166/D165),0)</f>
        <v>71.968333999999999</v>
      </c>
      <c r="E167" s="336">
        <f>IF((E166)&gt;0,(E166/E165),0)</f>
        <v>4.9000000000000004</v>
      </c>
      <c r="F167" s="336"/>
      <c r="G167" s="336"/>
      <c r="H167" s="337"/>
      <c r="I167" s="336"/>
      <c r="J167" s="336"/>
      <c r="K167" s="336"/>
      <c r="L167" s="336"/>
      <c r="M167" s="337"/>
      <c r="N167" s="336"/>
      <c r="O167" s="336"/>
      <c r="P167" s="336"/>
      <c r="Q167" s="336"/>
      <c r="R167" s="337"/>
      <c r="S167" s="336"/>
      <c r="T167" s="336"/>
      <c r="U167" s="336"/>
      <c r="V167" s="336"/>
      <c r="W167" s="518"/>
      <c r="X167" s="336"/>
      <c r="Y167" s="336"/>
      <c r="Z167" s="336"/>
      <c r="AA167" s="336"/>
      <c r="AB167" s="337"/>
      <c r="AC167" s="336"/>
      <c r="AD167" s="336"/>
      <c r="AE167" s="336"/>
      <c r="AF167" s="336"/>
      <c r="AG167" s="337"/>
      <c r="AH167" s="336"/>
      <c r="AI167" s="336"/>
      <c r="AJ167" s="336"/>
      <c r="AK167" s="336"/>
      <c r="AL167" s="337"/>
      <c r="AM167" s="336"/>
      <c r="AN167" s="336"/>
      <c r="AO167" s="336"/>
      <c r="AP167" s="336"/>
      <c r="AQ167" s="337"/>
    </row>
    <row r="168" spans="1:43" outlineLevel="1" x14ac:dyDescent="0.25">
      <c r="A168" s="253"/>
      <c r="B168" s="393" t="s">
        <v>310</v>
      </c>
      <c r="C168" s="394"/>
      <c r="D168" s="335"/>
      <c r="E168" s="67">
        <v>71.959999999999994</v>
      </c>
      <c r="F168" s="67">
        <v>76.5</v>
      </c>
      <c r="G168" s="335"/>
      <c r="H168" s="170"/>
      <c r="I168" s="335"/>
      <c r="J168" s="335"/>
      <c r="K168" s="335"/>
      <c r="L168" s="335"/>
      <c r="M168" s="170"/>
      <c r="N168" s="335"/>
      <c r="O168" s="335"/>
      <c r="P168" s="335"/>
      <c r="Q168" s="335"/>
      <c r="R168" s="170"/>
      <c r="S168" s="335"/>
      <c r="T168" s="335"/>
      <c r="U168" s="335"/>
      <c r="V168" s="335"/>
      <c r="W168" s="170"/>
      <c r="X168" s="335"/>
      <c r="Y168" s="335"/>
      <c r="Z168" s="335"/>
      <c r="AA168" s="335"/>
      <c r="AB168" s="170"/>
      <c r="AC168" s="335"/>
      <c r="AD168" s="335"/>
      <c r="AE168" s="335"/>
      <c r="AF168" s="335"/>
      <c r="AG168" s="170"/>
      <c r="AH168" s="335"/>
      <c r="AI168" s="335"/>
      <c r="AJ168" s="335"/>
      <c r="AK168" s="335"/>
      <c r="AL168" s="170"/>
      <c r="AM168" s="335"/>
      <c r="AN168" s="335"/>
      <c r="AO168" s="335"/>
      <c r="AP168" s="335"/>
      <c r="AQ168" s="170"/>
    </row>
    <row r="169" spans="1:43" outlineLevel="1" x14ac:dyDescent="0.25">
      <c r="A169" s="253"/>
      <c r="B169" s="393" t="s">
        <v>311</v>
      </c>
      <c r="C169" s="394"/>
      <c r="D169" s="335"/>
      <c r="E169" s="34">
        <v>1597.5119999999997</v>
      </c>
      <c r="F169" s="34">
        <v>298.35000000000002</v>
      </c>
      <c r="G169" s="335"/>
      <c r="H169" s="170"/>
      <c r="I169" s="335"/>
      <c r="J169" s="335"/>
      <c r="K169" s="335"/>
      <c r="L169" s="335"/>
      <c r="M169" s="170"/>
      <c r="N169" s="461"/>
      <c r="O169" s="335"/>
      <c r="P169" s="335"/>
      <c r="Q169" s="335"/>
      <c r="R169" s="170"/>
      <c r="S169" s="335"/>
      <c r="T169" s="335"/>
      <c r="U169" s="335"/>
      <c r="V169" s="335"/>
      <c r="W169" s="170"/>
      <c r="X169" s="335"/>
      <c r="Y169" s="335"/>
      <c r="Z169" s="335"/>
      <c r="AA169" s="335"/>
      <c r="AB169" s="170"/>
      <c r="AC169" s="335"/>
      <c r="AD169" s="335"/>
      <c r="AE169" s="335"/>
      <c r="AF169" s="335"/>
      <c r="AG169" s="170"/>
      <c r="AH169" s="335"/>
      <c r="AI169" s="335"/>
      <c r="AJ169" s="335"/>
      <c r="AK169" s="335"/>
      <c r="AL169" s="170"/>
      <c r="AM169" s="335"/>
      <c r="AN169" s="335"/>
      <c r="AO169" s="335"/>
      <c r="AP169" s="335"/>
      <c r="AQ169" s="170"/>
    </row>
    <row r="170" spans="1:43" outlineLevel="1" x14ac:dyDescent="0.25">
      <c r="A170" s="253"/>
      <c r="B170" s="393" t="s">
        <v>312</v>
      </c>
      <c r="C170" s="394"/>
      <c r="D170" s="335"/>
      <c r="E170" s="335">
        <f>IF((E169)&gt;0,(E169/E168),0)</f>
        <v>22.2</v>
      </c>
      <c r="F170" s="335">
        <f>IF((F169)&gt;0,(F169/F168),0)</f>
        <v>3.9000000000000004</v>
      </c>
      <c r="G170" s="335"/>
      <c r="H170" s="170"/>
      <c r="I170" s="335"/>
      <c r="J170" s="335"/>
      <c r="K170" s="335"/>
      <c r="L170" s="335"/>
      <c r="M170" s="170"/>
      <c r="N170" s="335"/>
      <c r="O170" s="335"/>
      <c r="P170" s="335"/>
      <c r="Q170" s="335"/>
      <c r="R170" s="170"/>
      <c r="S170" s="335"/>
      <c r="T170" s="335"/>
      <c r="U170" s="335"/>
      <c r="V170" s="335"/>
      <c r="W170" s="170"/>
      <c r="X170" s="335"/>
      <c r="Y170" s="335"/>
      <c r="Z170" s="335"/>
      <c r="AA170" s="335"/>
      <c r="AB170" s="170"/>
      <c r="AC170" s="335"/>
      <c r="AD170" s="335"/>
      <c r="AE170" s="335"/>
      <c r="AF170" s="335"/>
      <c r="AG170" s="170"/>
      <c r="AH170" s="335"/>
      <c r="AI170" s="335"/>
      <c r="AJ170" s="335"/>
      <c r="AK170" s="335"/>
      <c r="AL170" s="170"/>
      <c r="AM170" s="335"/>
      <c r="AN170" s="335"/>
      <c r="AO170" s="335"/>
      <c r="AP170" s="335"/>
      <c r="AQ170" s="170"/>
    </row>
    <row r="171" spans="1:43" ht="18" x14ac:dyDescent="0.4">
      <c r="A171" s="253"/>
      <c r="B171" s="532" t="s">
        <v>75</v>
      </c>
      <c r="C171" s="533"/>
      <c r="D171" s="32" t="s">
        <v>119</v>
      </c>
      <c r="E171" s="32" t="s">
        <v>243</v>
      </c>
      <c r="F171" s="32" t="s">
        <v>247</v>
      </c>
      <c r="G171" s="32" t="s">
        <v>257</v>
      </c>
      <c r="H171" s="86" t="s">
        <v>258</v>
      </c>
      <c r="I171" s="32" t="s">
        <v>259</v>
      </c>
      <c r="J171" s="32" t="s">
        <v>260</v>
      </c>
      <c r="K171" s="32" t="s">
        <v>261</v>
      </c>
      <c r="L171" s="32" t="s">
        <v>322</v>
      </c>
      <c r="M171" s="86" t="s">
        <v>333</v>
      </c>
      <c r="N171" s="32" t="s">
        <v>339</v>
      </c>
      <c r="O171" s="32" t="s">
        <v>347</v>
      </c>
      <c r="P171" s="32" t="s">
        <v>349</v>
      </c>
      <c r="Q171" s="30" t="s">
        <v>129</v>
      </c>
      <c r="R171" s="89" t="s">
        <v>130</v>
      </c>
      <c r="S171" s="30" t="s">
        <v>131</v>
      </c>
      <c r="T171" s="30" t="s">
        <v>132</v>
      </c>
      <c r="U171" s="30" t="s">
        <v>133</v>
      </c>
      <c r="V171" s="30" t="s">
        <v>134</v>
      </c>
      <c r="W171" s="89" t="s">
        <v>135</v>
      </c>
      <c r="X171" s="30" t="s">
        <v>136</v>
      </c>
      <c r="Y171" s="30" t="s">
        <v>137</v>
      </c>
      <c r="Z171" s="30" t="s">
        <v>138</v>
      </c>
      <c r="AA171" s="30" t="s">
        <v>139</v>
      </c>
      <c r="AB171" s="89" t="s">
        <v>140</v>
      </c>
      <c r="AC171" s="30" t="s">
        <v>252</v>
      </c>
      <c r="AD171" s="30" t="s">
        <v>253</v>
      </c>
      <c r="AE171" s="30" t="s">
        <v>254</v>
      </c>
      <c r="AF171" s="30" t="s">
        <v>255</v>
      </c>
      <c r="AG171" s="89" t="s">
        <v>256</v>
      </c>
      <c r="AH171" s="30" t="s">
        <v>285</v>
      </c>
      <c r="AI171" s="30" t="s">
        <v>286</v>
      </c>
      <c r="AJ171" s="30" t="s">
        <v>287</v>
      </c>
      <c r="AK171" s="30" t="s">
        <v>288</v>
      </c>
      <c r="AL171" s="89" t="s">
        <v>289</v>
      </c>
      <c r="AM171" s="30" t="s">
        <v>356</v>
      </c>
      <c r="AN171" s="30" t="s">
        <v>357</v>
      </c>
      <c r="AO171" s="30" t="s">
        <v>358</v>
      </c>
      <c r="AP171" s="30" t="s">
        <v>359</v>
      </c>
      <c r="AQ171" s="89" t="s">
        <v>360</v>
      </c>
    </row>
    <row r="172" spans="1:43" outlineLevel="1" x14ac:dyDescent="0.25">
      <c r="A172" s="253"/>
      <c r="B172" s="562" t="s">
        <v>189</v>
      </c>
      <c r="C172" s="563"/>
      <c r="D172" s="257">
        <f>-(22+5.3+0.6+20.9)</f>
        <v>-48.8</v>
      </c>
      <c r="E172" s="257">
        <v>-45.1</v>
      </c>
      <c r="F172" s="257">
        <v>-39.6</v>
      </c>
      <c r="G172" s="257">
        <f>-146.2+133.5</f>
        <v>-12.699999999999989</v>
      </c>
      <c r="H172" s="367">
        <f>SUM(D172:G172)</f>
        <v>-146.19999999999999</v>
      </c>
      <c r="I172" s="257">
        <v>-7.1</v>
      </c>
      <c r="J172" s="257">
        <v>0.1</v>
      </c>
      <c r="K172" s="260">
        <f>-K22</f>
        <v>-78.099999999999994</v>
      </c>
      <c r="L172" s="255">
        <v>-195.5</v>
      </c>
      <c r="M172" s="35"/>
      <c r="N172" s="34">
        <v>-72.2</v>
      </c>
      <c r="O172" s="34">
        <v>-23</v>
      </c>
      <c r="P172" s="34">
        <v>-19.8</v>
      </c>
      <c r="Q172" s="34">
        <f>P172</f>
        <v>-19.8</v>
      </c>
      <c r="R172" s="35"/>
      <c r="S172" s="34">
        <f>-S22</f>
        <v>0</v>
      </c>
      <c r="T172" s="34">
        <f>-T22</f>
        <v>0</v>
      </c>
      <c r="U172" s="34">
        <f>-U22</f>
        <v>0</v>
      </c>
      <c r="V172" s="34">
        <f>-V22</f>
        <v>0</v>
      </c>
      <c r="W172" s="35"/>
      <c r="X172" s="34">
        <f>-X22</f>
        <v>0</v>
      </c>
      <c r="Y172" s="34">
        <f>-Y22</f>
        <v>0</v>
      </c>
      <c r="Z172" s="34">
        <f>-Z22</f>
        <v>0</v>
      </c>
      <c r="AA172" s="34">
        <f>-AA22</f>
        <v>0</v>
      </c>
      <c r="AB172" s="35"/>
      <c r="AC172" s="34">
        <f>-AC22</f>
        <v>0</v>
      </c>
      <c r="AD172" s="34">
        <f>-AD22</f>
        <v>0</v>
      </c>
      <c r="AE172" s="34">
        <f>-AE22</f>
        <v>0</v>
      </c>
      <c r="AF172" s="34">
        <f>-AF22</f>
        <v>0</v>
      </c>
      <c r="AG172" s="35"/>
      <c r="AH172" s="34">
        <f>-AH22</f>
        <v>0</v>
      </c>
      <c r="AI172" s="34">
        <f>-AI22</f>
        <v>0</v>
      </c>
      <c r="AJ172" s="34">
        <f>-AJ22</f>
        <v>0</v>
      </c>
      <c r="AK172" s="34">
        <f>-AK22</f>
        <v>0</v>
      </c>
      <c r="AL172" s="35"/>
      <c r="AM172" s="34">
        <f>-AM22</f>
        <v>0</v>
      </c>
      <c r="AN172" s="34">
        <f>-AN22</f>
        <v>0</v>
      </c>
      <c r="AO172" s="34">
        <f>-AO22</f>
        <v>0</v>
      </c>
      <c r="AP172" s="34">
        <f>-AP22</f>
        <v>0</v>
      </c>
      <c r="AQ172" s="35"/>
    </row>
    <row r="173" spans="1:43" outlineLevel="1" x14ac:dyDescent="0.25">
      <c r="A173" s="253"/>
      <c r="B173" s="393" t="s">
        <v>188</v>
      </c>
      <c r="C173" s="394"/>
      <c r="D173" s="257">
        <f>-(5.3+0.5)</f>
        <v>-5.8</v>
      </c>
      <c r="E173" s="257">
        <v>-4.3</v>
      </c>
      <c r="F173" s="257">
        <v>-2.2999999999999998</v>
      </c>
      <c r="G173" s="257">
        <v>-0.2</v>
      </c>
      <c r="H173" s="367">
        <f t="shared" ref="H173:H176" si="642">SUM(D173:G173)</f>
        <v>-12.599999999999998</v>
      </c>
      <c r="I173" s="257">
        <v>-5.6</v>
      </c>
      <c r="J173" s="257">
        <v>-6.8</v>
      </c>
      <c r="K173" s="260">
        <v>-35.04</v>
      </c>
      <c r="L173" s="255">
        <v>0</v>
      </c>
      <c r="M173" s="35"/>
      <c r="N173" s="34">
        <v>0</v>
      </c>
      <c r="O173" s="34">
        <v>0</v>
      </c>
      <c r="P173" s="34">
        <v>22.8</v>
      </c>
      <c r="Q173" s="34">
        <f t="shared" ref="Q173:Q174" si="643">P173</f>
        <v>22.8</v>
      </c>
      <c r="R173" s="35"/>
      <c r="S173" s="34"/>
      <c r="T173" s="34"/>
      <c r="U173" s="34"/>
      <c r="V173" s="34"/>
      <c r="W173" s="35"/>
      <c r="X173" s="34"/>
      <c r="Y173" s="34"/>
      <c r="Z173" s="34"/>
      <c r="AA173" s="34"/>
      <c r="AB173" s="35"/>
      <c r="AC173" s="34"/>
      <c r="AD173" s="34"/>
      <c r="AE173" s="34"/>
      <c r="AF173" s="34"/>
      <c r="AG173" s="35"/>
      <c r="AH173" s="34"/>
      <c r="AI173" s="34"/>
      <c r="AJ173" s="34"/>
      <c r="AK173" s="34"/>
      <c r="AL173" s="35"/>
      <c r="AM173" s="34"/>
      <c r="AN173" s="34"/>
      <c r="AO173" s="34"/>
      <c r="AP173" s="34"/>
      <c r="AQ173" s="35"/>
    </row>
    <row r="174" spans="1:43" outlineLevel="1" x14ac:dyDescent="0.25">
      <c r="A174" s="253"/>
      <c r="B174" s="562" t="s">
        <v>305</v>
      </c>
      <c r="C174" s="563"/>
      <c r="D174" s="257">
        <f>-(60.6-0.3)</f>
        <v>-60.300000000000004</v>
      </c>
      <c r="E174" s="257">
        <v>-68.2</v>
      </c>
      <c r="F174" s="257">
        <v>-69</v>
      </c>
      <c r="G174" s="257">
        <f>-262+197.5</f>
        <v>-64.5</v>
      </c>
      <c r="H174" s="367">
        <f>SUM(D174:G174)</f>
        <v>-262</v>
      </c>
      <c r="I174" s="257">
        <v>-58.9</v>
      </c>
      <c r="J174" s="257">
        <v>-60.1</v>
      </c>
      <c r="K174" s="260">
        <v>-60.54</v>
      </c>
      <c r="L174" s="255">
        <v>-64</v>
      </c>
      <c r="M174" s="35"/>
      <c r="N174" s="34">
        <v>-62.7</v>
      </c>
      <c r="O174" s="34">
        <v>-65.2</v>
      </c>
      <c r="P174" s="34">
        <v>-54.7</v>
      </c>
      <c r="Q174" s="34">
        <f t="shared" si="643"/>
        <v>-54.7</v>
      </c>
      <c r="R174" s="35"/>
      <c r="S174" s="34"/>
      <c r="T174" s="34"/>
      <c r="U174" s="34"/>
      <c r="V174" s="34"/>
      <c r="W174" s="35"/>
      <c r="X174" s="34"/>
      <c r="Y174" s="34"/>
      <c r="Z174" s="34"/>
      <c r="AA174" s="34"/>
      <c r="AB174" s="35"/>
      <c r="AC174" s="34"/>
      <c r="AD174" s="34"/>
      <c r="AE174" s="34"/>
      <c r="AF174" s="34"/>
      <c r="AG174" s="35"/>
      <c r="AH174" s="34"/>
      <c r="AI174" s="34"/>
      <c r="AJ174" s="34"/>
      <c r="AK174" s="34"/>
      <c r="AL174" s="35"/>
      <c r="AM174" s="34"/>
      <c r="AN174" s="34"/>
      <c r="AO174" s="34"/>
      <c r="AP174" s="34"/>
      <c r="AQ174" s="35"/>
    </row>
    <row r="175" spans="1:43" outlineLevel="1" x14ac:dyDescent="0.25">
      <c r="A175" s="253"/>
      <c r="B175" s="393" t="s">
        <v>190</v>
      </c>
      <c r="C175" s="394"/>
      <c r="D175" s="257">
        <v>-23.1</v>
      </c>
      <c r="E175" s="257">
        <v>-23.8</v>
      </c>
      <c r="F175" s="257">
        <v>-14.4</v>
      </c>
      <c r="G175" s="257">
        <v>0</v>
      </c>
      <c r="H175" s="367">
        <f t="shared" si="642"/>
        <v>-61.300000000000004</v>
      </c>
      <c r="I175" s="257"/>
      <c r="J175" s="257"/>
      <c r="K175" s="255"/>
      <c r="L175" s="255"/>
      <c r="M175" s="35"/>
      <c r="N175" s="34"/>
      <c r="O175" s="34"/>
      <c r="P175" s="34"/>
      <c r="Q175" s="34"/>
      <c r="R175" s="35"/>
      <c r="S175" s="34"/>
      <c r="T175" s="34"/>
      <c r="U175" s="34"/>
      <c r="V175" s="34"/>
      <c r="W175" s="35"/>
      <c r="X175" s="34"/>
      <c r="Y175" s="34"/>
      <c r="Z175" s="34"/>
      <c r="AA175" s="34"/>
      <c r="AB175" s="35"/>
      <c r="AC175" s="34"/>
      <c r="AD175" s="34"/>
      <c r="AE175" s="34"/>
      <c r="AF175" s="34"/>
      <c r="AG175" s="35"/>
      <c r="AH175" s="34"/>
      <c r="AI175" s="34"/>
      <c r="AJ175" s="34"/>
      <c r="AK175" s="34"/>
      <c r="AL175" s="35"/>
      <c r="AM175" s="34"/>
      <c r="AN175" s="34"/>
      <c r="AO175" s="34"/>
      <c r="AP175" s="34"/>
      <c r="AQ175" s="35"/>
    </row>
    <row r="176" spans="1:43" ht="17.25" outlineLevel="1" x14ac:dyDescent="0.4">
      <c r="A176" s="253"/>
      <c r="B176" s="393" t="s">
        <v>237</v>
      </c>
      <c r="C176" s="394"/>
      <c r="D176" s="330">
        <v>0</v>
      </c>
      <c r="E176" s="330">
        <v>0</v>
      </c>
      <c r="F176" s="330">
        <v>0</v>
      </c>
      <c r="G176" s="330">
        <v>0</v>
      </c>
      <c r="H176" s="368">
        <f t="shared" si="642"/>
        <v>0</v>
      </c>
      <c r="I176" s="330">
        <v>0</v>
      </c>
      <c r="J176" s="330">
        <v>0</v>
      </c>
      <c r="K176" s="269">
        <v>0</v>
      </c>
      <c r="L176" s="269">
        <v>0</v>
      </c>
      <c r="M176" s="35"/>
      <c r="N176" s="269">
        <v>0</v>
      </c>
      <c r="O176" s="269">
        <v>0</v>
      </c>
      <c r="P176" s="269">
        <v>0</v>
      </c>
      <c r="Q176" s="61">
        <v>0</v>
      </c>
      <c r="R176" s="35"/>
      <c r="S176" s="61">
        <f>AVERAGE(I177,J177,K177,L177,N177,O177,P177,Q177)-S172</f>
        <v>-112.26</v>
      </c>
      <c r="T176" s="61">
        <f>AVERAGE(J177,K177,L177,N177,O177,P177,Q177,S177)-T172</f>
        <v>-117.34250000000002</v>
      </c>
      <c r="U176" s="61">
        <f>AVERAGE(K177,L177,N177,O177,P177,Q177,S177,T177)-U172</f>
        <v>-123.6603125</v>
      </c>
      <c r="V176" s="61">
        <f>AVERAGE(L177,N177,O177,P177,Q177,S177,T177,U177)-V172</f>
        <v>-117.4078515625</v>
      </c>
      <c r="W176" s="35"/>
      <c r="X176" s="61">
        <f>AVERAGE(N177,O177,P177,Q177,S177,T177,U177,V177)-X172</f>
        <v>-99.646333007812501</v>
      </c>
      <c r="Y176" s="61">
        <f>AVERAGE(O177,P177,Q177,S177,T177,U177,V177,X177)-Y172</f>
        <v>-95.239624633789063</v>
      </c>
      <c r="Z176" s="61">
        <f>AVERAGE(P177,Q177,S177,T177,U177,V177,X177,Y177)-Z172</f>
        <v>-96.119577713012703</v>
      </c>
      <c r="AA176" s="61">
        <f>AVERAGE(Q177,S177,T177,U177,V177,X177,Y177,Z177)-AA172</f>
        <v>-101.67202492713929</v>
      </c>
      <c r="AB176" s="35"/>
      <c r="AC176" s="61">
        <f>AVERAGE(S177,T177,U177,V177,X177,Y177,Z177,AA177)-AC172</f>
        <v>-107.9185280430317</v>
      </c>
      <c r="AD176" s="61">
        <f>AVERAGE(T177,U177,V177,X177,Y177,Z177,AA177,AC177)-AD172</f>
        <v>-107.37584404841067</v>
      </c>
      <c r="AE176" s="61">
        <f>AVERAGE(U177,V177,X177,Y177,Z177,AA177,AC177,AD177)-AE172</f>
        <v>-106.13001205446201</v>
      </c>
      <c r="AF176" s="61">
        <f>AVERAGE(V177,X177,Y177,Z177,AA177,AC177,AD177,AE177)-AF172</f>
        <v>-103.93872449876974</v>
      </c>
      <c r="AG176" s="35"/>
      <c r="AH176" s="61">
        <f>AVERAGE(X177,Y177,Z177,AA177,AC177,AD177,AE177,AF177)-AH172</f>
        <v>-102.25508361580346</v>
      </c>
      <c r="AI176" s="61">
        <f>AVERAGE(Y177,Z177,AA177,AC177,AD177,AE177,AF177,AH177)-AI172</f>
        <v>-102.58117744180232</v>
      </c>
      <c r="AJ176" s="61">
        <f>AVERAGE(Z177,AA177,AC177,AD177,AE177,AF177,AH177,AI177)-AJ172</f>
        <v>-103.49887154280398</v>
      </c>
      <c r="AK176" s="61">
        <f>AVERAGE(AA177,AC177,AD177,AE177,AF177,AH177,AI177,AJ177)-AK172</f>
        <v>-104.42128327152788</v>
      </c>
      <c r="AL176" s="35"/>
      <c r="AM176" s="61">
        <f>AVERAGE(AC177,AD177,AE177,AF177,AH177,AI177,AJ177,AK177)-AM172</f>
        <v>-104.76494056457645</v>
      </c>
      <c r="AN176" s="61">
        <f>AVERAGE(AD177,AE177,AF177,AH177,AI177,AJ177,AK177,AM177)-AN172</f>
        <v>-104.37074212976957</v>
      </c>
      <c r="AO176" s="61">
        <f>AVERAGE(AE177,AF177,AH177,AI177,AJ177,AK177,AM177,AN177)-AO172</f>
        <v>-103.99510438993943</v>
      </c>
      <c r="AP176" s="61">
        <f>AVERAGE(AF177,AH177,AI177,AJ177,AK177,AM177,AN177,AO177)-AP172</f>
        <v>-103.72824093187411</v>
      </c>
      <c r="AQ176" s="35"/>
    </row>
    <row r="177" spans="1:43" s="20" customFormat="1" outlineLevel="1" x14ac:dyDescent="0.25">
      <c r="A177" s="268"/>
      <c r="B177" s="389" t="s">
        <v>191</v>
      </c>
      <c r="C177" s="401"/>
      <c r="D177" s="171">
        <f t="shared" ref="D177:L177" si="644">SUM(D172:D176)</f>
        <v>-138</v>
      </c>
      <c r="E177" s="171">
        <f t="shared" si="644"/>
        <v>-141.4</v>
      </c>
      <c r="F177" s="171">
        <f t="shared" si="644"/>
        <v>-125.30000000000001</v>
      </c>
      <c r="G177" s="171">
        <f t="shared" si="644"/>
        <v>-77.399999999999991</v>
      </c>
      <c r="H177" s="172">
        <f t="shared" si="644"/>
        <v>-482.09999999999997</v>
      </c>
      <c r="I177" s="171">
        <f t="shared" si="644"/>
        <v>-71.599999999999994</v>
      </c>
      <c r="J177" s="171">
        <f t="shared" si="644"/>
        <v>-66.8</v>
      </c>
      <c r="K177" s="171">
        <f t="shared" si="644"/>
        <v>-173.67999999999998</v>
      </c>
      <c r="L177" s="171">
        <f t="shared" si="644"/>
        <v>-259.5</v>
      </c>
      <c r="M177" s="42"/>
      <c r="N177" s="171">
        <f>SUM(N172:N176)</f>
        <v>-134.9</v>
      </c>
      <c r="O177" s="171">
        <f>SUM(O172:O176)</f>
        <v>-88.2</v>
      </c>
      <c r="P177" s="171">
        <f>SUM(P172:P176)</f>
        <v>-51.7</v>
      </c>
      <c r="Q177" s="171">
        <f>SUM(Q172:Q176)</f>
        <v>-51.7</v>
      </c>
      <c r="R177" s="42"/>
      <c r="S177" s="171">
        <f>SUM(S172:S176)</f>
        <v>-112.26</v>
      </c>
      <c r="T177" s="171">
        <f>SUM(T172:T176)</f>
        <v>-117.34250000000002</v>
      </c>
      <c r="U177" s="171">
        <f>SUM(U172:U176)</f>
        <v>-123.6603125</v>
      </c>
      <c r="V177" s="171">
        <f>SUM(V172:V176)</f>
        <v>-117.4078515625</v>
      </c>
      <c r="W177" s="42"/>
      <c r="X177" s="171">
        <f>SUM(X172:X176)</f>
        <v>-99.646333007812501</v>
      </c>
      <c r="Y177" s="171">
        <f>SUM(Y172:Y176)</f>
        <v>-95.239624633789063</v>
      </c>
      <c r="Z177" s="171">
        <f>SUM(Z172:Z176)</f>
        <v>-96.119577713012703</v>
      </c>
      <c r="AA177" s="171">
        <f>SUM(AA172:AA176)</f>
        <v>-101.67202492713929</v>
      </c>
      <c r="AB177" s="42"/>
      <c r="AC177" s="171">
        <f>SUM(AC172:AC176)</f>
        <v>-107.9185280430317</v>
      </c>
      <c r="AD177" s="171">
        <f>SUM(AD172:AD176)</f>
        <v>-107.37584404841067</v>
      </c>
      <c r="AE177" s="171">
        <f>SUM(AE172:AE176)</f>
        <v>-106.13001205446201</v>
      </c>
      <c r="AF177" s="171">
        <f>SUM(AF172:AF176)</f>
        <v>-103.93872449876974</v>
      </c>
      <c r="AG177" s="42"/>
      <c r="AH177" s="171">
        <f>SUM(AH172:AH176)</f>
        <v>-102.25508361580346</v>
      </c>
      <c r="AI177" s="171">
        <f>SUM(AI172:AI176)</f>
        <v>-102.58117744180232</v>
      </c>
      <c r="AJ177" s="171">
        <f>SUM(AJ172:AJ176)</f>
        <v>-103.49887154280398</v>
      </c>
      <c r="AK177" s="171">
        <f>SUM(AK172:AK176)</f>
        <v>-104.42128327152788</v>
      </c>
      <c r="AL177" s="42"/>
      <c r="AM177" s="171">
        <f>SUM(AM172:AM176)</f>
        <v>-104.76494056457645</v>
      </c>
      <c r="AN177" s="171">
        <f>SUM(AN172:AN176)</f>
        <v>-104.37074212976957</v>
      </c>
      <c r="AO177" s="171">
        <f>SUM(AO172:AO176)</f>
        <v>-103.99510438993943</v>
      </c>
      <c r="AP177" s="171">
        <f>SUM(AP172:AP176)</f>
        <v>-103.72824093187411</v>
      </c>
      <c r="AQ177" s="42"/>
    </row>
    <row r="178" spans="1:43" ht="17.25" outlineLevel="1" x14ac:dyDescent="0.4">
      <c r="A178" s="253"/>
      <c r="B178" s="393" t="s">
        <v>345</v>
      </c>
      <c r="C178" s="394"/>
      <c r="D178" s="173">
        <v>0</v>
      </c>
      <c r="E178" s="173">
        <v>0</v>
      </c>
      <c r="F178" s="173">
        <v>0</v>
      </c>
      <c r="G178" s="173">
        <v>0</v>
      </c>
      <c r="H178" s="35"/>
      <c r="I178" s="173">
        <v>0</v>
      </c>
      <c r="J178" s="173">
        <v>0</v>
      </c>
      <c r="K178" s="173">
        <v>0</v>
      </c>
      <c r="L178" s="173">
        <v>0</v>
      </c>
      <c r="M178" s="35"/>
      <c r="N178" s="173">
        <v>0</v>
      </c>
      <c r="O178" s="173">
        <v>0</v>
      </c>
      <c r="P178" s="173">
        <v>0</v>
      </c>
      <c r="Q178" s="488">
        <v>0</v>
      </c>
      <c r="R178" s="35"/>
      <c r="S178" s="173">
        <v>0</v>
      </c>
      <c r="T178" s="173">
        <v>0</v>
      </c>
      <c r="U178" s="173">
        <v>0</v>
      </c>
      <c r="V178" s="173">
        <v>0</v>
      </c>
      <c r="W178" s="35"/>
      <c r="X178" s="173">
        <v>0</v>
      </c>
      <c r="Y178" s="173">
        <v>0</v>
      </c>
      <c r="Z178" s="173">
        <v>0</v>
      </c>
      <c r="AA178" s="173">
        <v>0</v>
      </c>
      <c r="AB178" s="35"/>
      <c r="AC178" s="173">
        <v>0</v>
      </c>
      <c r="AD178" s="173">
        <v>0</v>
      </c>
      <c r="AE178" s="173">
        <v>0</v>
      </c>
      <c r="AF178" s="173">
        <v>0</v>
      </c>
      <c r="AG178" s="35"/>
      <c r="AH178" s="173">
        <v>0</v>
      </c>
      <c r="AI178" s="173">
        <v>0</v>
      </c>
      <c r="AJ178" s="173">
        <v>0</v>
      </c>
      <c r="AK178" s="173">
        <v>0</v>
      </c>
      <c r="AL178" s="35"/>
      <c r="AM178" s="173">
        <v>0</v>
      </c>
      <c r="AN178" s="173">
        <v>0</v>
      </c>
      <c r="AO178" s="173">
        <v>0</v>
      </c>
      <c r="AP178" s="173">
        <v>0</v>
      </c>
      <c r="AQ178" s="35"/>
    </row>
    <row r="179" spans="1:43" s="20" customFormat="1" outlineLevel="1" x14ac:dyDescent="0.25">
      <c r="A179" s="268"/>
      <c r="B179" s="389" t="s">
        <v>192</v>
      </c>
      <c r="C179" s="401"/>
      <c r="D179" s="171">
        <f t="shared" ref="D179:G179" si="645">-D177+D178</f>
        <v>138</v>
      </c>
      <c r="E179" s="171">
        <f t="shared" si="645"/>
        <v>141.4</v>
      </c>
      <c r="F179" s="171">
        <f t="shared" si="645"/>
        <v>125.30000000000001</v>
      </c>
      <c r="G179" s="171">
        <f t="shared" si="645"/>
        <v>77.399999999999991</v>
      </c>
      <c r="H179" s="42"/>
      <c r="I179" s="171">
        <f t="shared" ref="I179:L179" si="646">-I177+I178</f>
        <v>71.599999999999994</v>
      </c>
      <c r="J179" s="171">
        <f t="shared" si="646"/>
        <v>66.8</v>
      </c>
      <c r="K179" s="171">
        <f t="shared" si="646"/>
        <v>173.67999999999998</v>
      </c>
      <c r="L179" s="171">
        <f t="shared" si="646"/>
        <v>259.5</v>
      </c>
      <c r="M179" s="42"/>
      <c r="N179" s="171">
        <f t="shared" ref="N179:Q179" si="647">-N177+N178</f>
        <v>134.9</v>
      </c>
      <c r="O179" s="171">
        <f t="shared" si="647"/>
        <v>88.2</v>
      </c>
      <c r="P179" s="171">
        <f t="shared" si="647"/>
        <v>51.7</v>
      </c>
      <c r="Q179" s="171">
        <f t="shared" si="647"/>
        <v>51.7</v>
      </c>
      <c r="R179" s="42"/>
      <c r="S179" s="171">
        <f t="shared" ref="S179:V179" si="648">-S177+S178</f>
        <v>112.26</v>
      </c>
      <c r="T179" s="171">
        <f t="shared" si="648"/>
        <v>117.34250000000002</v>
      </c>
      <c r="U179" s="171">
        <f t="shared" si="648"/>
        <v>123.6603125</v>
      </c>
      <c r="V179" s="171">
        <f t="shared" si="648"/>
        <v>117.4078515625</v>
      </c>
      <c r="W179" s="42"/>
      <c r="X179" s="171">
        <f t="shared" ref="X179:AA179" si="649">-X177+X178</f>
        <v>99.646333007812501</v>
      </c>
      <c r="Y179" s="171">
        <f t="shared" si="649"/>
        <v>95.239624633789063</v>
      </c>
      <c r="Z179" s="171">
        <f t="shared" si="649"/>
        <v>96.119577713012703</v>
      </c>
      <c r="AA179" s="171">
        <f t="shared" si="649"/>
        <v>101.67202492713929</v>
      </c>
      <c r="AB179" s="42"/>
      <c r="AC179" s="171">
        <f t="shared" ref="AC179:AF179" si="650">-AC177+AC178</f>
        <v>107.9185280430317</v>
      </c>
      <c r="AD179" s="171">
        <f t="shared" si="650"/>
        <v>107.37584404841067</v>
      </c>
      <c r="AE179" s="171">
        <f t="shared" si="650"/>
        <v>106.13001205446201</v>
      </c>
      <c r="AF179" s="171">
        <f t="shared" si="650"/>
        <v>103.93872449876974</v>
      </c>
      <c r="AG179" s="42"/>
      <c r="AH179" s="171">
        <f t="shared" ref="AH179:AK179" si="651">-AH177+AH178</f>
        <v>102.25508361580346</v>
      </c>
      <c r="AI179" s="171">
        <f t="shared" si="651"/>
        <v>102.58117744180232</v>
      </c>
      <c r="AJ179" s="171">
        <f t="shared" si="651"/>
        <v>103.49887154280398</v>
      </c>
      <c r="AK179" s="171">
        <f t="shared" si="651"/>
        <v>104.42128327152788</v>
      </c>
      <c r="AL179" s="42"/>
      <c r="AM179" s="171">
        <f t="shared" ref="AM179:AP179" si="652">-AM177+AM178</f>
        <v>104.76494056457645</v>
      </c>
      <c r="AN179" s="171">
        <f t="shared" si="652"/>
        <v>104.37074212976957</v>
      </c>
      <c r="AO179" s="171">
        <f t="shared" si="652"/>
        <v>103.99510438993943</v>
      </c>
      <c r="AP179" s="171">
        <f t="shared" si="652"/>
        <v>103.72824093187411</v>
      </c>
      <c r="AQ179" s="42"/>
    </row>
    <row r="180" spans="1:43" outlineLevel="1" x14ac:dyDescent="0.25">
      <c r="A180" s="253"/>
      <c r="B180" s="393" t="s">
        <v>193</v>
      </c>
      <c r="C180" s="394"/>
      <c r="D180" s="169">
        <v>0</v>
      </c>
      <c r="E180" s="255">
        <f>-0.02*E39</f>
        <v>-25.014000000000003</v>
      </c>
      <c r="F180" s="255">
        <f>0.49*F39</f>
        <v>599.27</v>
      </c>
      <c r="G180" s="255">
        <v>0</v>
      </c>
      <c r="H180" s="256"/>
      <c r="I180" s="255">
        <v>0</v>
      </c>
      <c r="J180" s="255">
        <v>0</v>
      </c>
      <c r="K180" s="255">
        <v>0</v>
      </c>
      <c r="L180" s="255">
        <v>0</v>
      </c>
      <c r="M180" s="35"/>
      <c r="N180" s="255">
        <v>0</v>
      </c>
      <c r="O180" s="255">
        <v>0</v>
      </c>
      <c r="P180" s="255">
        <v>0</v>
      </c>
      <c r="Q180" s="63">
        <v>0</v>
      </c>
      <c r="R180" s="35"/>
      <c r="S180" s="63">
        <v>0</v>
      </c>
      <c r="T180" s="63">
        <v>0</v>
      </c>
      <c r="U180" s="63">
        <v>0</v>
      </c>
      <c r="V180" s="63">
        <v>0</v>
      </c>
      <c r="W180" s="35"/>
      <c r="X180" s="63">
        <v>0</v>
      </c>
      <c r="Y180" s="63">
        <v>0</v>
      </c>
      <c r="Z180" s="63">
        <v>0</v>
      </c>
      <c r="AA180" s="63">
        <v>0</v>
      </c>
      <c r="AB180" s="35"/>
      <c r="AC180" s="63">
        <v>0</v>
      </c>
      <c r="AD180" s="63">
        <v>0</v>
      </c>
      <c r="AE180" s="63">
        <v>0</v>
      </c>
      <c r="AF180" s="63">
        <v>0</v>
      </c>
      <c r="AG180" s="35"/>
      <c r="AH180" s="63">
        <v>0</v>
      </c>
      <c r="AI180" s="63">
        <v>0</v>
      </c>
      <c r="AJ180" s="63">
        <v>0</v>
      </c>
      <c r="AK180" s="63">
        <v>0</v>
      </c>
      <c r="AL180" s="35"/>
      <c r="AM180" s="63">
        <v>0</v>
      </c>
      <c r="AN180" s="63">
        <v>0</v>
      </c>
      <c r="AO180" s="63">
        <v>0</v>
      </c>
      <c r="AP180" s="63">
        <v>0</v>
      </c>
      <c r="AQ180" s="35"/>
    </row>
    <row r="181" spans="1:43" outlineLevel="1" x14ac:dyDescent="0.25">
      <c r="A181" s="253"/>
      <c r="B181" s="562" t="s">
        <v>199</v>
      </c>
      <c r="C181" s="563"/>
      <c r="D181" s="169">
        <v>-41.449999999998646</v>
      </c>
      <c r="E181" s="34">
        <v>79.193999999999548</v>
      </c>
      <c r="F181" s="34">
        <v>-55.109999999999197</v>
      </c>
      <c r="G181" s="34">
        <v>30</v>
      </c>
      <c r="H181" s="35"/>
      <c r="I181" s="34">
        <v>11</v>
      </c>
      <c r="J181" s="34">
        <v>23</v>
      </c>
      <c r="K181" s="34">
        <f>0.03*K39</f>
        <v>35.055</v>
      </c>
      <c r="L181" s="255">
        <v>50.810000000000372</v>
      </c>
      <c r="M181" s="35"/>
      <c r="N181" s="34">
        <f>0.03*N39</f>
        <v>35.49</v>
      </c>
      <c r="O181" s="34">
        <f>0.01*O39</f>
        <v>11.847999999999999</v>
      </c>
      <c r="P181" s="34">
        <f>0.01*P39</f>
        <v>11.862</v>
      </c>
      <c r="Q181" s="34">
        <f t="shared" ref="Q181" si="653">+Q179*Q182</f>
        <v>12.925000000000001</v>
      </c>
      <c r="R181" s="35"/>
      <c r="S181" s="34">
        <f>+S179*S182</f>
        <v>28.065000000000001</v>
      </c>
      <c r="T181" s="34">
        <f>+T179*T182</f>
        <v>29.335625000000004</v>
      </c>
      <c r="U181" s="34">
        <f t="shared" ref="U181:V181" si="654">+U179*U182</f>
        <v>30.915078125000001</v>
      </c>
      <c r="V181" s="34">
        <f t="shared" si="654"/>
        <v>29.351962890625</v>
      </c>
      <c r="W181" s="35"/>
      <c r="X181" s="34">
        <f>+X179*X182</f>
        <v>24.911583251953125</v>
      </c>
      <c r="Y181" s="34">
        <f>+Y179*Y182</f>
        <v>23.809906158447266</v>
      </c>
      <c r="Z181" s="34">
        <f t="shared" ref="Z181:AA181" si="655">+Z179*Z182</f>
        <v>24.029894428253176</v>
      </c>
      <c r="AA181" s="34">
        <f t="shared" si="655"/>
        <v>25.418006231784823</v>
      </c>
      <c r="AB181" s="35"/>
      <c r="AC181" s="34">
        <f>+AC179*AC182</f>
        <v>26.979632010757925</v>
      </c>
      <c r="AD181" s="34">
        <f>+AD179*AD182</f>
        <v>26.843961012102667</v>
      </c>
      <c r="AE181" s="34">
        <f t="shared" ref="AE181:AF181" si="656">+AE179*AE182</f>
        <v>26.532503013615504</v>
      </c>
      <c r="AF181" s="34">
        <f t="shared" si="656"/>
        <v>25.984681124692436</v>
      </c>
      <c r="AG181" s="35"/>
      <c r="AH181" s="34">
        <f>+AH179*AH182</f>
        <v>25.563770903950864</v>
      </c>
      <c r="AI181" s="34">
        <f>+AI179*AI182</f>
        <v>25.645294360450581</v>
      </c>
      <c r="AJ181" s="34">
        <f t="shared" ref="AJ181:AK181" si="657">+AJ179*AJ182</f>
        <v>25.874717885700996</v>
      </c>
      <c r="AK181" s="34">
        <f t="shared" si="657"/>
        <v>26.105320817881971</v>
      </c>
      <c r="AL181" s="35"/>
      <c r="AM181" s="34">
        <f>+AM179*AM182</f>
        <v>26.191235141144112</v>
      </c>
      <c r="AN181" s="34">
        <f>+AN179*AN182</f>
        <v>26.092685532442392</v>
      </c>
      <c r="AO181" s="34">
        <f t="shared" ref="AO181:AP181" si="658">+AO179*AO182</f>
        <v>25.998776097484857</v>
      </c>
      <c r="AP181" s="34">
        <f t="shared" si="658"/>
        <v>25.932060232968528</v>
      </c>
      <c r="AQ181" s="35"/>
    </row>
    <row r="182" spans="1:43" outlineLevel="1" x14ac:dyDescent="0.25">
      <c r="A182" s="253"/>
      <c r="B182" s="398" t="s">
        <v>200</v>
      </c>
      <c r="C182" s="399"/>
      <c r="D182" s="229">
        <f t="shared" ref="D182:G182" si="659">D181/D179</f>
        <v>-0.30036231884056991</v>
      </c>
      <c r="E182" s="229">
        <f t="shared" si="659"/>
        <v>0.56007072135784686</v>
      </c>
      <c r="F182" s="229">
        <f t="shared" si="659"/>
        <v>-0.43982442138866074</v>
      </c>
      <c r="G182" s="229">
        <f t="shared" si="659"/>
        <v>0.38759689922480622</v>
      </c>
      <c r="H182" s="73"/>
      <c r="I182" s="229">
        <f t="shared" ref="I182:P182" si="660">I181/I179</f>
        <v>0.15363128491620112</v>
      </c>
      <c r="J182" s="229">
        <f t="shared" si="660"/>
        <v>0.34431137724550898</v>
      </c>
      <c r="K182" s="229">
        <f t="shared" si="660"/>
        <v>0.20183671119299865</v>
      </c>
      <c r="L182" s="229">
        <f t="shared" si="660"/>
        <v>0.1957996146435467</v>
      </c>
      <c r="M182" s="73"/>
      <c r="N182" s="229">
        <f t="shared" si="660"/>
        <v>0.26308376575240922</v>
      </c>
      <c r="O182" s="229">
        <f t="shared" si="660"/>
        <v>0.13433106575963719</v>
      </c>
      <c r="P182" s="229">
        <f t="shared" si="660"/>
        <v>0.22943907156673113</v>
      </c>
      <c r="Q182" s="230">
        <v>0.25</v>
      </c>
      <c r="R182" s="73"/>
      <c r="S182" s="230">
        <f>Q182</f>
        <v>0.25</v>
      </c>
      <c r="T182" s="230">
        <f>S182</f>
        <v>0.25</v>
      </c>
      <c r="U182" s="230">
        <f>T182</f>
        <v>0.25</v>
      </c>
      <c r="V182" s="230">
        <f>U182</f>
        <v>0.25</v>
      </c>
      <c r="W182" s="73"/>
      <c r="X182" s="230">
        <f>V182</f>
        <v>0.25</v>
      </c>
      <c r="Y182" s="230">
        <f>X182</f>
        <v>0.25</v>
      </c>
      <c r="Z182" s="230">
        <f>Y182</f>
        <v>0.25</v>
      </c>
      <c r="AA182" s="230">
        <f>Z182</f>
        <v>0.25</v>
      </c>
      <c r="AB182" s="73"/>
      <c r="AC182" s="230">
        <f>AA182</f>
        <v>0.25</v>
      </c>
      <c r="AD182" s="230">
        <f>AC182</f>
        <v>0.25</v>
      </c>
      <c r="AE182" s="230">
        <f>AD182</f>
        <v>0.25</v>
      </c>
      <c r="AF182" s="230">
        <f>AE182</f>
        <v>0.25</v>
      </c>
      <c r="AG182" s="73"/>
      <c r="AH182" s="230">
        <f>AF182</f>
        <v>0.25</v>
      </c>
      <c r="AI182" s="230">
        <f>AH182</f>
        <v>0.25</v>
      </c>
      <c r="AJ182" s="230">
        <f>AI182</f>
        <v>0.25</v>
      </c>
      <c r="AK182" s="230">
        <f>AJ182</f>
        <v>0.25</v>
      </c>
      <c r="AL182" s="73"/>
      <c r="AM182" s="230">
        <f>AK182</f>
        <v>0.25</v>
      </c>
      <c r="AN182" s="230">
        <f>AM182</f>
        <v>0.25</v>
      </c>
      <c r="AO182" s="230">
        <f>AN182</f>
        <v>0.25</v>
      </c>
      <c r="AP182" s="230">
        <f>AO182</f>
        <v>0.25</v>
      </c>
      <c r="AQ182" s="73"/>
    </row>
    <row r="183" spans="1:43" s="185" customFormat="1" x14ac:dyDescent="0.25">
      <c r="A183" s="271"/>
      <c r="B183" s="495" t="s">
        <v>361</v>
      </c>
      <c r="C183" s="495"/>
      <c r="D183" s="496"/>
      <c r="E183" s="497"/>
      <c r="F183" s="497"/>
      <c r="G183" s="497"/>
      <c r="H183" s="497"/>
      <c r="I183" s="497"/>
      <c r="J183" s="497"/>
      <c r="K183" s="497"/>
      <c r="L183" s="497"/>
      <c r="M183" s="497"/>
      <c r="N183" s="498"/>
      <c r="O183" s="194"/>
      <c r="P183" s="194"/>
      <c r="Q183" s="194"/>
      <c r="R183" s="497"/>
      <c r="S183" s="194"/>
      <c r="T183" s="194"/>
      <c r="U183" s="194"/>
      <c r="V183" s="194"/>
      <c r="W183" s="497"/>
      <c r="X183" s="194"/>
      <c r="Y183" s="194"/>
      <c r="Z183" s="194"/>
      <c r="AA183" s="194"/>
      <c r="AB183" s="499">
        <f>(AB102+AB67)/(AVERAGE(S101:V101)+AVERAGE(S66:V66))</f>
        <v>5.7694018294336777E-2</v>
      </c>
      <c r="AC183" s="194"/>
      <c r="AD183" s="194"/>
      <c r="AE183" s="194"/>
      <c r="AF183" s="194"/>
      <c r="AG183" s="499">
        <f>(AG102+AG67)/(AVERAGE(X101:AA101)+AVERAGE(X66:AA66))</f>
        <v>5.8369938543015754E-2</v>
      </c>
      <c r="AH183" s="194"/>
      <c r="AI183" s="194"/>
      <c r="AJ183" s="194"/>
      <c r="AK183" s="194"/>
      <c r="AL183" s="500">
        <f>(AL102+AL67)/(AVERAGE(AC101:AF101)+AVERAGE(AC66:AF66))</f>
        <v>5.5212618435503638E-2</v>
      </c>
      <c r="AM183" s="274"/>
      <c r="AN183" s="274"/>
      <c r="AO183" s="274"/>
      <c r="AP183" s="274"/>
      <c r="AQ183" s="500">
        <f>(AQ102+AQ67)/(AVERAGE(AH101:AK101)+AVERAGE(AH66:AK66))</f>
        <v>5.2323690478004205E-2</v>
      </c>
    </row>
    <row r="184" spans="1:43" ht="15.75" x14ac:dyDescent="0.25">
      <c r="A184" s="253"/>
      <c r="B184" s="532" t="s">
        <v>117</v>
      </c>
      <c r="C184" s="533"/>
      <c r="D184" s="31" t="s">
        <v>106</v>
      </c>
      <c r="E184" s="31" t="s">
        <v>244</v>
      </c>
      <c r="F184" s="31" t="s">
        <v>246</v>
      </c>
      <c r="G184" s="31" t="s">
        <v>337</v>
      </c>
      <c r="H184" s="85" t="s">
        <v>337</v>
      </c>
      <c r="I184" s="31" t="s">
        <v>336</v>
      </c>
      <c r="J184" s="31" t="s">
        <v>335</v>
      </c>
      <c r="K184" s="31" t="s">
        <v>334</v>
      </c>
      <c r="L184" s="31" t="s">
        <v>321</v>
      </c>
      <c r="M184" s="85" t="s">
        <v>321</v>
      </c>
      <c r="N184" s="31" t="s">
        <v>338</v>
      </c>
      <c r="O184" s="31" t="s">
        <v>346</v>
      </c>
      <c r="P184" s="31" t="s">
        <v>348</v>
      </c>
      <c r="Q184" s="33" t="s">
        <v>120</v>
      </c>
      <c r="R184" s="88" t="s">
        <v>120</v>
      </c>
      <c r="S184" s="33" t="s">
        <v>121</v>
      </c>
      <c r="T184" s="33" t="s">
        <v>122</v>
      </c>
      <c r="U184" s="33" t="s">
        <v>123</v>
      </c>
      <c r="V184" s="33" t="s">
        <v>124</v>
      </c>
      <c r="W184" s="88" t="s">
        <v>124</v>
      </c>
      <c r="X184" s="33" t="s">
        <v>125</v>
      </c>
      <c r="Y184" s="33" t="s">
        <v>126</v>
      </c>
      <c r="Z184" s="33" t="s">
        <v>127</v>
      </c>
      <c r="AA184" s="33" t="s">
        <v>128</v>
      </c>
      <c r="AB184" s="88" t="s">
        <v>128</v>
      </c>
      <c r="AC184" s="33" t="s">
        <v>248</v>
      </c>
      <c r="AD184" s="33" t="s">
        <v>249</v>
      </c>
      <c r="AE184" s="33" t="s">
        <v>250</v>
      </c>
      <c r="AF184" s="33" t="s">
        <v>251</v>
      </c>
      <c r="AG184" s="88" t="s">
        <v>251</v>
      </c>
      <c r="AH184" s="33" t="s">
        <v>281</v>
      </c>
      <c r="AI184" s="33" t="s">
        <v>282</v>
      </c>
      <c r="AJ184" s="33" t="s">
        <v>283</v>
      </c>
      <c r="AK184" s="33" t="s">
        <v>284</v>
      </c>
      <c r="AL184" s="88" t="s">
        <v>284</v>
      </c>
      <c r="AM184" s="33" t="s">
        <v>352</v>
      </c>
      <c r="AN184" s="33" t="s">
        <v>353</v>
      </c>
      <c r="AO184" s="33" t="s">
        <v>354</v>
      </c>
      <c r="AP184" s="33" t="s">
        <v>355</v>
      </c>
      <c r="AQ184" s="88" t="s">
        <v>355</v>
      </c>
    </row>
    <row r="185" spans="1:43" ht="17.25" x14ac:dyDescent="0.4">
      <c r="A185" s="253"/>
      <c r="B185" s="391" t="s">
        <v>3</v>
      </c>
      <c r="C185" s="392"/>
      <c r="D185" s="32" t="s">
        <v>119</v>
      </c>
      <c r="E185" s="32" t="s">
        <v>243</v>
      </c>
      <c r="F185" s="32" t="s">
        <v>247</v>
      </c>
      <c r="G185" s="32" t="s">
        <v>257</v>
      </c>
      <c r="H185" s="86" t="s">
        <v>258</v>
      </c>
      <c r="I185" s="32" t="s">
        <v>259</v>
      </c>
      <c r="J185" s="32" t="s">
        <v>260</v>
      </c>
      <c r="K185" s="32" t="s">
        <v>261</v>
      </c>
      <c r="L185" s="32" t="s">
        <v>322</v>
      </c>
      <c r="M185" s="86" t="s">
        <v>333</v>
      </c>
      <c r="N185" s="32" t="s">
        <v>339</v>
      </c>
      <c r="O185" s="32" t="s">
        <v>347</v>
      </c>
      <c r="P185" s="32" t="s">
        <v>349</v>
      </c>
      <c r="Q185" s="30" t="s">
        <v>129</v>
      </c>
      <c r="R185" s="89" t="s">
        <v>130</v>
      </c>
      <c r="S185" s="30" t="s">
        <v>131</v>
      </c>
      <c r="T185" s="30" t="s">
        <v>132</v>
      </c>
      <c r="U185" s="30" t="s">
        <v>133</v>
      </c>
      <c r="V185" s="30" t="s">
        <v>134</v>
      </c>
      <c r="W185" s="89" t="s">
        <v>135</v>
      </c>
      <c r="X185" s="30" t="s">
        <v>136</v>
      </c>
      <c r="Y185" s="30" t="s">
        <v>137</v>
      </c>
      <c r="Z185" s="30" t="s">
        <v>138</v>
      </c>
      <c r="AA185" s="30" t="s">
        <v>139</v>
      </c>
      <c r="AB185" s="89" t="s">
        <v>140</v>
      </c>
      <c r="AC185" s="30" t="s">
        <v>252</v>
      </c>
      <c r="AD185" s="30" t="s">
        <v>253</v>
      </c>
      <c r="AE185" s="30" t="s">
        <v>254</v>
      </c>
      <c r="AF185" s="30" t="s">
        <v>255</v>
      </c>
      <c r="AG185" s="89" t="s">
        <v>256</v>
      </c>
      <c r="AH185" s="30" t="s">
        <v>285</v>
      </c>
      <c r="AI185" s="30" t="s">
        <v>286</v>
      </c>
      <c r="AJ185" s="30" t="s">
        <v>287</v>
      </c>
      <c r="AK185" s="30" t="s">
        <v>288</v>
      </c>
      <c r="AL185" s="89" t="s">
        <v>289</v>
      </c>
      <c r="AM185" s="30" t="s">
        <v>356</v>
      </c>
      <c r="AN185" s="30" t="s">
        <v>357</v>
      </c>
      <c r="AO185" s="30" t="s">
        <v>358</v>
      </c>
      <c r="AP185" s="30" t="s">
        <v>359</v>
      </c>
      <c r="AQ185" s="89" t="s">
        <v>360</v>
      </c>
    </row>
    <row r="186" spans="1:43" ht="14.45" customHeight="1" x14ac:dyDescent="0.25">
      <c r="A186" s="253"/>
      <c r="B186" s="532" t="s">
        <v>6</v>
      </c>
      <c r="C186" s="533"/>
      <c r="D186" s="31"/>
      <c r="E186" s="31"/>
      <c r="F186" s="31"/>
      <c r="G186" s="296"/>
      <c r="H186" s="297"/>
      <c r="I186" s="296"/>
      <c r="J186" s="31"/>
      <c r="K186" s="31"/>
      <c r="L186" s="296"/>
      <c r="M186" s="297"/>
      <c r="N186" s="296"/>
      <c r="O186" s="31"/>
      <c r="P186" s="31"/>
      <c r="Q186" s="33"/>
      <c r="R186" s="88"/>
      <c r="S186" s="33"/>
      <c r="T186" s="33"/>
      <c r="U186" s="33"/>
      <c r="V186" s="33"/>
      <c r="W186" s="88"/>
      <c r="X186" s="33"/>
      <c r="Y186" s="33"/>
      <c r="Z186" s="33"/>
      <c r="AA186" s="33"/>
      <c r="AB186" s="88"/>
      <c r="AC186" s="33"/>
      <c r="AD186" s="33"/>
      <c r="AE186" s="33"/>
      <c r="AF186" s="33"/>
      <c r="AG186" s="88"/>
      <c r="AH186" s="33"/>
      <c r="AI186" s="33"/>
      <c r="AJ186" s="33"/>
      <c r="AK186" s="33"/>
      <c r="AL186" s="88"/>
      <c r="AM186" s="33"/>
      <c r="AN186" s="33"/>
      <c r="AO186" s="33"/>
      <c r="AP186" s="33"/>
      <c r="AQ186" s="88"/>
    </row>
    <row r="187" spans="1:43" ht="14.45" customHeight="1" outlineLevel="1" x14ac:dyDescent="0.25">
      <c r="A187" s="253"/>
      <c r="B187" s="562" t="s">
        <v>35</v>
      </c>
      <c r="C187" s="563"/>
      <c r="D187" s="34">
        <f>D279</f>
        <v>4761.6000000000004</v>
      </c>
      <c r="E187" s="34">
        <f t="shared" ref="E187:G187" si="661">E279</f>
        <v>2055.1000000000004</v>
      </c>
      <c r="F187" s="34">
        <f t="shared" si="661"/>
        <v>4763.4000000000015</v>
      </c>
      <c r="G187" s="255">
        <f t="shared" si="661"/>
        <v>2686.6000000000022</v>
      </c>
      <c r="H187" s="35">
        <f>G187</f>
        <v>2686.6000000000022</v>
      </c>
      <c r="I187" s="34">
        <f>I279</f>
        <v>3040.5000000000036</v>
      </c>
      <c r="J187" s="34">
        <f>J279</f>
        <v>2572.3000000000029</v>
      </c>
      <c r="K187" s="34">
        <f>K279</f>
        <v>3965.9000000000042</v>
      </c>
      <c r="L187" s="255">
        <f>L279</f>
        <v>4350.900000000006</v>
      </c>
      <c r="M187" s="35">
        <f>L187</f>
        <v>4350.900000000006</v>
      </c>
      <c r="N187" s="34">
        <f>N279</f>
        <v>5028.00000000001</v>
      </c>
      <c r="O187" s="34">
        <f>O279</f>
        <v>3880.6000000000104</v>
      </c>
      <c r="P187" s="34">
        <f>P279</f>
        <v>4753.1000000000095</v>
      </c>
      <c r="Q187" s="34">
        <f>Q279</f>
        <v>4294.8707058503524</v>
      </c>
      <c r="R187" s="35">
        <f>Q187</f>
        <v>4294.8707058503524</v>
      </c>
      <c r="S187" s="34">
        <f>S279</f>
        <v>4823.124687119026</v>
      </c>
      <c r="T187" s="34">
        <f>T279</f>
        <v>3794.5688510809077</v>
      </c>
      <c r="U187" s="34">
        <f>U279</f>
        <v>3546.6821421027125</v>
      </c>
      <c r="V187" s="34">
        <f>V279</f>
        <v>2749.1118412607516</v>
      </c>
      <c r="W187" s="35">
        <f>V187</f>
        <v>2749.1118412607516</v>
      </c>
      <c r="X187" s="34">
        <f>X279</f>
        <v>3387.9450174926437</v>
      </c>
      <c r="Y187" s="34">
        <f>Y279</f>
        <v>2736.6327288991683</v>
      </c>
      <c r="Z187" s="34">
        <f>Z279</f>
        <v>2833.1406752941016</v>
      </c>
      <c r="AA187" s="34">
        <f>AA279</f>
        <v>1923.7710112899858</v>
      </c>
      <c r="AB187" s="35">
        <f>AA187</f>
        <v>1923.7710112899858</v>
      </c>
      <c r="AC187" s="34">
        <f>AC279</f>
        <v>2993.180121803578</v>
      </c>
      <c r="AD187" s="34">
        <f>AD279</f>
        <v>2560.0820452824155</v>
      </c>
      <c r="AE187" s="34">
        <f>AE279</f>
        <v>2983.5166357290855</v>
      </c>
      <c r="AF187" s="34">
        <f>AF279</f>
        <v>2157.9806307067461</v>
      </c>
      <c r="AG187" s="35">
        <f>AF187</f>
        <v>2157.9806307067461</v>
      </c>
      <c r="AH187" s="34">
        <f>AH279</f>
        <v>3459.3331546560653</v>
      </c>
      <c r="AI187" s="34">
        <f>AI279</f>
        <v>3185.0231143088367</v>
      </c>
      <c r="AJ187" s="34">
        <f>AJ279</f>
        <v>3814.0365288585194</v>
      </c>
      <c r="AK187" s="34">
        <f>AK279</f>
        <v>3074.7759175336023</v>
      </c>
      <c r="AL187" s="35">
        <f>AK187</f>
        <v>3074.7759175336023</v>
      </c>
      <c r="AM187" s="34">
        <f>AM279</f>
        <v>4520.6839218440164</v>
      </c>
      <c r="AN187" s="34">
        <f>AN279</f>
        <v>4277.5312953315351</v>
      </c>
      <c r="AO187" s="34">
        <f>AO279</f>
        <v>5015.3783811220992</v>
      </c>
      <c r="AP187" s="34">
        <f>AP279</f>
        <v>4278.8152315815696</v>
      </c>
      <c r="AQ187" s="35">
        <f>AP187</f>
        <v>4278.8152315815696</v>
      </c>
    </row>
    <row r="188" spans="1:43" ht="14.45" customHeight="1" outlineLevel="1" x14ac:dyDescent="0.25">
      <c r="A188" s="371"/>
      <c r="B188" s="393" t="s">
        <v>201</v>
      </c>
      <c r="C188" s="394"/>
      <c r="D188" s="34">
        <v>230.2</v>
      </c>
      <c r="E188" s="34">
        <v>76.599999999999994</v>
      </c>
      <c r="F188" s="34">
        <v>72.099999999999994</v>
      </c>
      <c r="G188" s="34">
        <v>70.5</v>
      </c>
      <c r="H188" s="35">
        <f>+G188</f>
        <v>70.5</v>
      </c>
      <c r="I188" s="34">
        <v>68.400000000000006</v>
      </c>
      <c r="J188" s="34">
        <v>52.9</v>
      </c>
      <c r="K188" s="34">
        <v>229.9</v>
      </c>
      <c r="L188" s="34">
        <v>281.2</v>
      </c>
      <c r="M188" s="35">
        <f>+L188</f>
        <v>281.2</v>
      </c>
      <c r="N188" s="34">
        <v>235.5</v>
      </c>
      <c r="O188" s="34">
        <v>123</v>
      </c>
      <c r="P188" s="34">
        <v>153.6</v>
      </c>
      <c r="Q188" s="34">
        <f>+Q234*Q223*Q235</f>
        <v>201.82432589108697</v>
      </c>
      <c r="R188" s="35">
        <f>+Q188</f>
        <v>201.82432589108697</v>
      </c>
      <c r="S188" s="34">
        <f>+S234*S223*S235</f>
        <v>180.55132037268677</v>
      </c>
      <c r="T188" s="34">
        <f>+T234*T223*T235</f>
        <v>160.08657864154773</v>
      </c>
      <c r="U188" s="34">
        <f>+U234*U223*U235</f>
        <v>168.28651092414256</v>
      </c>
      <c r="V188" s="34">
        <f>+V234*V223*V235</f>
        <v>172.40823514680707</v>
      </c>
      <c r="W188" s="35">
        <f>+V188</f>
        <v>172.40823514680707</v>
      </c>
      <c r="X188" s="34">
        <f>+X234*X223*X235</f>
        <v>167.88242052763516</v>
      </c>
      <c r="Y188" s="34">
        <f>+Y234*Y223*Y235</f>
        <v>162.53958269178017</v>
      </c>
      <c r="Z188" s="34">
        <f>+Z234*Z223*Z235</f>
        <v>165.85290106119459</v>
      </c>
      <c r="AA188" s="34">
        <f>+AA234*AA223*AA235</f>
        <v>164.8863168937547</v>
      </c>
      <c r="AB188" s="35">
        <f>+AA188</f>
        <v>164.8863168937547</v>
      </c>
      <c r="AC188" s="34">
        <f>+AC234*AC223*AC235</f>
        <v>166.20889137972452</v>
      </c>
      <c r="AD188" s="34">
        <f>+AD234*AD223*AD235</f>
        <v>163.31190381821952</v>
      </c>
      <c r="AE188" s="34">
        <f>+AE234*AE223*AE235</f>
        <v>167.03520904833096</v>
      </c>
      <c r="AF188" s="34">
        <f>+AF234*AF223*AF235</f>
        <v>166.82076900209336</v>
      </c>
      <c r="AG188" s="35">
        <f>+AF188</f>
        <v>166.82076900209336</v>
      </c>
      <c r="AH188" s="34">
        <f>+AH234*AH223*AH235</f>
        <v>170.15465196168333</v>
      </c>
      <c r="AI188" s="34">
        <f>+AI234*AI223*AI235</f>
        <v>168.41448198700749</v>
      </c>
      <c r="AJ188" s="34">
        <f>+AJ234*AJ223*AJ235</f>
        <v>173.35648146173392</v>
      </c>
      <c r="AK188" s="34">
        <f>+AK234*AK223*AK235</f>
        <v>174.26263558775796</v>
      </c>
      <c r="AL188" s="35">
        <f>+AK188</f>
        <v>174.26263558775796</v>
      </c>
      <c r="AM188" s="34">
        <f>+AM234*AM223*AM235</f>
        <v>178.45778784105212</v>
      </c>
      <c r="AN188" s="34">
        <f>+AN234*AN223*AN235</f>
        <v>177.02768964559453</v>
      </c>
      <c r="AO188" s="34">
        <f>+AO234*AO223*AO235</f>
        <v>182.79778064825231</v>
      </c>
      <c r="AP188" s="34">
        <f>+AP234*AP223*AP235</f>
        <v>184.30366869629813</v>
      </c>
      <c r="AQ188" s="35">
        <f>+AP188</f>
        <v>184.30366869629813</v>
      </c>
    </row>
    <row r="189" spans="1:43" s="43" customFormat="1" ht="14.45" customHeight="1" outlineLevel="1" x14ac:dyDescent="0.25">
      <c r="A189" s="371"/>
      <c r="B189" s="562" t="s">
        <v>202</v>
      </c>
      <c r="C189" s="563"/>
      <c r="D189" s="34">
        <v>721.4</v>
      </c>
      <c r="E189" s="34">
        <v>703.6</v>
      </c>
      <c r="F189" s="34">
        <v>790.6</v>
      </c>
      <c r="G189" s="34">
        <v>879</v>
      </c>
      <c r="H189" s="35">
        <f>G189</f>
        <v>879</v>
      </c>
      <c r="I189" s="34">
        <v>908.1</v>
      </c>
      <c r="J189" s="34">
        <v>941</v>
      </c>
      <c r="K189" s="34">
        <v>881.1</v>
      </c>
      <c r="L189" s="34">
        <v>883.4</v>
      </c>
      <c r="M189" s="35">
        <f>L189</f>
        <v>883.4</v>
      </c>
      <c r="N189" s="34">
        <v>888</v>
      </c>
      <c r="O189" s="34">
        <v>880.2</v>
      </c>
      <c r="P189" s="34">
        <v>911.2</v>
      </c>
      <c r="Q189" s="34">
        <f>Q16/Q228</f>
        <v>1052.8646367323299</v>
      </c>
      <c r="R189" s="35">
        <f>Q189</f>
        <v>1052.8646367323299</v>
      </c>
      <c r="S189" s="34">
        <f>S16/S228</f>
        <v>979.31516870994517</v>
      </c>
      <c r="T189" s="34">
        <f>T16/T228</f>
        <v>952.69432294412536</v>
      </c>
      <c r="U189" s="34">
        <f>U16/U228</f>
        <v>996.12245882257434</v>
      </c>
      <c r="V189" s="34">
        <f>V16/V228</f>
        <v>1061.3149498160083</v>
      </c>
      <c r="W189" s="35">
        <f>V189</f>
        <v>1061.3149498160083</v>
      </c>
      <c r="X189" s="34">
        <f>X16/X228</f>
        <v>1052.5255250346152</v>
      </c>
      <c r="Y189" s="34">
        <f>Y16/Y228</f>
        <v>1039.3145733710753</v>
      </c>
      <c r="Z189" s="34">
        <f>Z16/Z228</f>
        <v>1082.3319774809861</v>
      </c>
      <c r="AA189" s="34">
        <f>AA16/AA228</f>
        <v>1148.2026115797862</v>
      </c>
      <c r="AB189" s="35">
        <f>AA189</f>
        <v>1148.2026115797862</v>
      </c>
      <c r="AC189" s="34">
        <f>AC16/AC228</f>
        <v>1126.1011735345089</v>
      </c>
      <c r="AD189" s="34">
        <f>AD16/AD228</f>
        <v>1116.2455419081323</v>
      </c>
      <c r="AE189" s="34">
        <f>AE16/AE228</f>
        <v>1164.9468348749167</v>
      </c>
      <c r="AF189" s="34">
        <f>AF16/AF228</f>
        <v>1238.7521698625983</v>
      </c>
      <c r="AG189" s="35">
        <f>AF189</f>
        <v>1238.7521698625983</v>
      </c>
      <c r="AH189" s="34">
        <f>AH16/AH228</f>
        <v>1215.8872071268806</v>
      </c>
      <c r="AI189" s="34">
        <f>AI16/AI228</f>
        <v>1205.18652284061</v>
      </c>
      <c r="AJ189" s="34">
        <f>AJ16/AJ228</f>
        <v>1256.2603628856532</v>
      </c>
      <c r="AK189" s="34">
        <f>AK16/AK228</f>
        <v>1335.9386360429155</v>
      </c>
      <c r="AL189" s="35">
        <f>AK189</f>
        <v>1335.9386360429155</v>
      </c>
      <c r="AM189" s="34">
        <f>AM16/AM228</f>
        <v>1312.2636055196904</v>
      </c>
      <c r="AN189" s="34">
        <f>AN16/AN228</f>
        <v>1300.3285510503276</v>
      </c>
      <c r="AO189" s="34">
        <f>AO16/AO228</f>
        <v>1353.2645266249999</v>
      </c>
      <c r="AP189" s="34">
        <f>AP16/AP228</f>
        <v>1438.6721947828948</v>
      </c>
      <c r="AQ189" s="35">
        <f>AP189</f>
        <v>1438.6721947828948</v>
      </c>
    </row>
    <row r="190" spans="1:43" s="43" customFormat="1" ht="14.45" customHeight="1" outlineLevel="1" x14ac:dyDescent="0.25">
      <c r="A190" s="371"/>
      <c r="B190" s="393" t="s">
        <v>203</v>
      </c>
      <c r="C190" s="394"/>
      <c r="D190" s="34">
        <v>1354.6</v>
      </c>
      <c r="E190" s="34">
        <v>1443</v>
      </c>
      <c r="F190" s="34">
        <v>1517.2</v>
      </c>
      <c r="G190" s="34">
        <v>1529.4</v>
      </c>
      <c r="H190" s="35">
        <f>G190</f>
        <v>1529.4</v>
      </c>
      <c r="I190" s="34">
        <v>1408.7</v>
      </c>
      <c r="J190" s="34">
        <v>1492.2</v>
      </c>
      <c r="K190" s="34">
        <v>1583.8</v>
      </c>
      <c r="L190" s="34">
        <v>1551.4</v>
      </c>
      <c r="M190" s="35">
        <f>L190</f>
        <v>1551.4</v>
      </c>
      <c r="N190" s="34">
        <v>1471.5</v>
      </c>
      <c r="O190" s="34">
        <v>1503.6</v>
      </c>
      <c r="P190" s="34">
        <v>1548.2</v>
      </c>
      <c r="Q190" s="34">
        <f>Q17/Q230</f>
        <v>2390.191921553605</v>
      </c>
      <c r="R190" s="35">
        <f>Q190</f>
        <v>2390.191921553605</v>
      </c>
      <c r="S190" s="34">
        <f>S17/S230</f>
        <v>1651.1331731041348</v>
      </c>
      <c r="T190" s="34">
        <f>T17/T230</f>
        <v>1721.9108011805874</v>
      </c>
      <c r="U190" s="34">
        <f>U17/U230</f>
        <v>1771.8960988326664</v>
      </c>
      <c r="V190" s="34">
        <f>V17/V230</f>
        <v>2444.8748607116599</v>
      </c>
      <c r="W190" s="35">
        <f>V190</f>
        <v>2444.8748607116599</v>
      </c>
      <c r="X190" s="34">
        <f>X17/X230</f>
        <v>1762.6299420690946</v>
      </c>
      <c r="Y190" s="34">
        <f>Y17/Y230</f>
        <v>1862.5647376764159</v>
      </c>
      <c r="Z190" s="34">
        <f>Z17/Z230</f>
        <v>1952.5756949305121</v>
      </c>
      <c r="AA190" s="34">
        <f>AA17/AA230</f>
        <v>2635.1250636915329</v>
      </c>
      <c r="AB190" s="35">
        <f>AA190</f>
        <v>2635.1250636915329</v>
      </c>
      <c r="AC190" s="34">
        <f>AC17/AC230</f>
        <v>1888.9611407145298</v>
      </c>
      <c r="AD190" s="34">
        <f>AD17/AD230</f>
        <v>2003.0669198649782</v>
      </c>
      <c r="AE190" s="34">
        <f>AE17/AE230</f>
        <v>2104.0613315299133</v>
      </c>
      <c r="AF190" s="34">
        <f>AF17/AF230</f>
        <v>2847.6585625634066</v>
      </c>
      <c r="AG190" s="35">
        <f>AF190</f>
        <v>2847.6585625634066</v>
      </c>
      <c r="AH190" s="34">
        <f>AH17/AH230</f>
        <v>2038.0830396106739</v>
      </c>
      <c r="AI190" s="34">
        <f>AI17/AI230</f>
        <v>2160.5334744325305</v>
      </c>
      <c r="AJ190" s="34">
        <f>AJ17/AJ230</f>
        <v>2266.9518702461414</v>
      </c>
      <c r="AK190" s="34">
        <f>AK17/AK230</f>
        <v>3069.3296581145669</v>
      </c>
      <c r="AL190" s="35">
        <f>AK190</f>
        <v>3069.3296581145669</v>
      </c>
      <c r="AM190" s="34">
        <f>AM17/AM230</f>
        <v>2198.3716640868051</v>
      </c>
      <c r="AN190" s="34">
        <f>AN17/AN230</f>
        <v>2329.1548836460915</v>
      </c>
      <c r="AO190" s="34">
        <f>AO17/AO230</f>
        <v>2440.1725966306071</v>
      </c>
      <c r="AP190" s="34">
        <f>AP17/AP230</f>
        <v>3303.8994532528723</v>
      </c>
      <c r="AQ190" s="35">
        <f>AP190</f>
        <v>3303.8994532528723</v>
      </c>
    </row>
    <row r="191" spans="1:43" ht="16.350000000000001" customHeight="1" outlineLevel="1" x14ac:dyDescent="0.4">
      <c r="A191" s="371"/>
      <c r="B191" s="562" t="s">
        <v>71</v>
      </c>
      <c r="C191" s="563"/>
      <c r="D191" s="37">
        <v>608.5</v>
      </c>
      <c r="E191" s="269">
        <v>674</v>
      </c>
      <c r="F191" s="269">
        <v>591.6</v>
      </c>
      <c r="G191" s="269">
        <v>488.2</v>
      </c>
      <c r="H191" s="38">
        <f>G191</f>
        <v>488.2</v>
      </c>
      <c r="I191" s="269">
        <v>474</v>
      </c>
      <c r="J191" s="269">
        <v>691.5</v>
      </c>
      <c r="K191" s="269">
        <v>920.3</v>
      </c>
      <c r="L191" s="269">
        <v>739.5</v>
      </c>
      <c r="M191" s="38">
        <f>L191</f>
        <v>739.5</v>
      </c>
      <c r="N191" s="269">
        <v>734.4</v>
      </c>
      <c r="O191" s="269">
        <v>592</v>
      </c>
      <c r="P191" s="269">
        <v>565.6</v>
      </c>
      <c r="Q191" s="61">
        <f>P191*1.01</f>
        <v>571.25599999999997</v>
      </c>
      <c r="R191" s="38">
        <f>Q191</f>
        <v>571.25599999999997</v>
      </c>
      <c r="S191" s="61">
        <f>Q191*1.01</f>
        <v>576.96856000000002</v>
      </c>
      <c r="T191" s="61">
        <f t="shared" ref="T191:V191" si="662">S191*1.01</f>
        <v>582.73824560000003</v>
      </c>
      <c r="U191" s="61">
        <f t="shared" si="662"/>
        <v>588.56562805600004</v>
      </c>
      <c r="V191" s="61">
        <f t="shared" si="662"/>
        <v>594.45128433656009</v>
      </c>
      <c r="W191" s="38">
        <f>V191</f>
        <v>594.45128433656009</v>
      </c>
      <c r="X191" s="61">
        <f>V191*1.01</f>
        <v>600.39579717992569</v>
      </c>
      <c r="Y191" s="61">
        <f t="shared" ref="Y191:AA191" si="663">X191*1.01</f>
        <v>606.399755151725</v>
      </c>
      <c r="Z191" s="61">
        <f t="shared" si="663"/>
        <v>612.46375270324222</v>
      </c>
      <c r="AA191" s="61">
        <f t="shared" si="663"/>
        <v>618.58839023027463</v>
      </c>
      <c r="AB191" s="38">
        <f>AA191</f>
        <v>618.58839023027463</v>
      </c>
      <c r="AC191" s="61">
        <f>AA191*1.01</f>
        <v>624.77427413257737</v>
      </c>
      <c r="AD191" s="61">
        <f t="shared" ref="AD191:AF191" si="664">AC191*1.01</f>
        <v>631.02201687390311</v>
      </c>
      <c r="AE191" s="61">
        <f t="shared" si="664"/>
        <v>637.33223704264219</v>
      </c>
      <c r="AF191" s="61">
        <f t="shared" si="664"/>
        <v>643.70555941306861</v>
      </c>
      <c r="AG191" s="38">
        <f>AF191</f>
        <v>643.70555941306861</v>
      </c>
      <c r="AH191" s="61">
        <f>AF191*1.01</f>
        <v>650.14261500719931</v>
      </c>
      <c r="AI191" s="61">
        <f t="shared" ref="AI191:AK191" si="665">AH191*1.01</f>
        <v>656.64404115727132</v>
      </c>
      <c r="AJ191" s="61">
        <f t="shared" si="665"/>
        <v>663.21048156884399</v>
      </c>
      <c r="AK191" s="61">
        <f t="shared" si="665"/>
        <v>669.84258638453241</v>
      </c>
      <c r="AL191" s="38">
        <f>AK191</f>
        <v>669.84258638453241</v>
      </c>
      <c r="AM191" s="61">
        <f>AK191*1.01</f>
        <v>676.5410122483778</v>
      </c>
      <c r="AN191" s="61">
        <f t="shared" ref="AN191" si="666">AM191*1.01</f>
        <v>683.30642237086158</v>
      </c>
      <c r="AO191" s="61">
        <f t="shared" ref="AO191" si="667">AN191*1.01</f>
        <v>690.13948659457026</v>
      </c>
      <c r="AP191" s="61">
        <f t="shared" ref="AP191" si="668">AO191*1.01</f>
        <v>697.04088146051595</v>
      </c>
      <c r="AQ191" s="38">
        <f>AP191</f>
        <v>697.04088146051595</v>
      </c>
    </row>
    <row r="192" spans="1:43" ht="14.45" customHeight="1" outlineLevel="1" x14ac:dyDescent="0.25">
      <c r="A192" s="371"/>
      <c r="B192" s="389" t="s">
        <v>4</v>
      </c>
      <c r="C192" s="390"/>
      <c r="D192" s="41">
        <f t="shared" ref="D192:AL192" si="669">SUM(D187:D191)</f>
        <v>7676.2999999999993</v>
      </c>
      <c r="E192" s="41">
        <f t="shared" si="669"/>
        <v>4952.3</v>
      </c>
      <c r="F192" s="41">
        <f t="shared" si="669"/>
        <v>7734.9000000000024</v>
      </c>
      <c r="G192" s="41">
        <f t="shared" si="669"/>
        <v>5653.7000000000016</v>
      </c>
      <c r="H192" s="42">
        <f t="shared" si="669"/>
        <v>5653.7000000000016</v>
      </c>
      <c r="I192" s="41">
        <f t="shared" si="669"/>
        <v>5899.7000000000035</v>
      </c>
      <c r="J192" s="41">
        <f t="shared" si="669"/>
        <v>5749.9000000000033</v>
      </c>
      <c r="K192" s="41">
        <f t="shared" si="669"/>
        <v>7581.0000000000045</v>
      </c>
      <c r="L192" s="282">
        <f t="shared" si="669"/>
        <v>7806.4000000000051</v>
      </c>
      <c r="M192" s="42">
        <f t="shared" si="669"/>
        <v>7806.4000000000051</v>
      </c>
      <c r="N192" s="41">
        <f t="shared" si="669"/>
        <v>8357.4000000000106</v>
      </c>
      <c r="O192" s="41">
        <f t="shared" si="669"/>
        <v>6979.4000000000106</v>
      </c>
      <c r="P192" s="41">
        <f t="shared" si="669"/>
        <v>7931.7000000000098</v>
      </c>
      <c r="Q192" s="41">
        <f t="shared" si="669"/>
        <v>8511.0075900273732</v>
      </c>
      <c r="R192" s="42">
        <f t="shared" si="669"/>
        <v>8511.0075900273732</v>
      </c>
      <c r="S192" s="41">
        <f t="shared" si="669"/>
        <v>8211.092909305793</v>
      </c>
      <c r="T192" s="41">
        <f t="shared" si="669"/>
        <v>7211.9987994471685</v>
      </c>
      <c r="U192" s="41">
        <f t="shared" si="669"/>
        <v>7071.5528387380955</v>
      </c>
      <c r="V192" s="41">
        <f t="shared" si="669"/>
        <v>7022.1611712717868</v>
      </c>
      <c r="W192" s="42">
        <f t="shared" si="669"/>
        <v>7022.1611712717868</v>
      </c>
      <c r="X192" s="41">
        <f t="shared" si="669"/>
        <v>6971.378702303914</v>
      </c>
      <c r="Y192" s="41">
        <f t="shared" si="669"/>
        <v>6407.4513777901648</v>
      </c>
      <c r="Z192" s="41">
        <f t="shared" si="669"/>
        <v>6646.3650014700361</v>
      </c>
      <c r="AA192" s="41">
        <f t="shared" si="669"/>
        <v>6490.5733936853348</v>
      </c>
      <c r="AB192" s="42">
        <f t="shared" si="669"/>
        <v>6490.5733936853348</v>
      </c>
      <c r="AC192" s="41">
        <f t="shared" si="669"/>
        <v>6799.2256015649191</v>
      </c>
      <c r="AD192" s="41">
        <f t="shared" si="669"/>
        <v>6473.7284277476492</v>
      </c>
      <c r="AE192" s="41">
        <f t="shared" si="669"/>
        <v>7056.892248224889</v>
      </c>
      <c r="AF192" s="41">
        <f t="shared" si="669"/>
        <v>7054.9176915479129</v>
      </c>
      <c r="AG192" s="42">
        <f t="shared" si="669"/>
        <v>7054.9176915479129</v>
      </c>
      <c r="AH192" s="41">
        <f t="shared" si="669"/>
        <v>7533.6006683625028</v>
      </c>
      <c r="AI192" s="41">
        <f t="shared" si="669"/>
        <v>7375.8016347262565</v>
      </c>
      <c r="AJ192" s="41">
        <f t="shared" si="669"/>
        <v>8173.8157250208915</v>
      </c>
      <c r="AK192" s="41">
        <f t="shared" si="669"/>
        <v>8324.149433663375</v>
      </c>
      <c r="AL192" s="42">
        <f t="shared" si="669"/>
        <v>8324.149433663375</v>
      </c>
      <c r="AM192" s="41">
        <f t="shared" ref="AM192:AQ192" si="670">SUM(AM187:AM191)</f>
        <v>8886.3179915399414</v>
      </c>
      <c r="AN192" s="41">
        <f t="shared" si="670"/>
        <v>8767.34884204441</v>
      </c>
      <c r="AO192" s="41">
        <f t="shared" si="670"/>
        <v>9681.7527716205277</v>
      </c>
      <c r="AP192" s="41">
        <f t="shared" si="670"/>
        <v>9902.7314297741505</v>
      </c>
      <c r="AQ192" s="42">
        <f t="shared" si="670"/>
        <v>9902.7314297741505</v>
      </c>
    </row>
    <row r="193" spans="1:43" ht="14.45" customHeight="1" outlineLevel="1" x14ac:dyDescent="0.25">
      <c r="A193" s="371"/>
      <c r="B193" s="393" t="s">
        <v>204</v>
      </c>
      <c r="C193" s="408"/>
      <c r="D193" s="34">
        <v>265</v>
      </c>
      <c r="E193" s="34">
        <v>251.9</v>
      </c>
      <c r="F193" s="34">
        <v>222.6</v>
      </c>
      <c r="G193" s="34">
        <v>220</v>
      </c>
      <c r="H193" s="35">
        <f t="shared" ref="H193:H194" si="671">+G193</f>
        <v>220</v>
      </c>
      <c r="I193" s="34">
        <v>199.8</v>
      </c>
      <c r="J193" s="34">
        <v>198.8</v>
      </c>
      <c r="K193" s="34">
        <v>223.4</v>
      </c>
      <c r="L193" s="255">
        <v>206.1</v>
      </c>
      <c r="M193" s="35">
        <f t="shared" ref="M193:M194" si="672">+L193</f>
        <v>206.1</v>
      </c>
      <c r="N193" s="34">
        <v>190.9</v>
      </c>
      <c r="O193" s="34">
        <v>284.8</v>
      </c>
      <c r="P193" s="34">
        <v>285.89999999999998</v>
      </c>
      <c r="Q193" s="34">
        <f>+Q234*Q223*(1-Q235)</f>
        <v>251.59578418800629</v>
      </c>
      <c r="R193" s="35">
        <f t="shared" ref="R193:R194" si="673">+Q193</f>
        <v>251.59578418800629</v>
      </c>
      <c r="S193" s="34">
        <f>+S234*S223*(1-S235)</f>
        <v>257.54172101015513</v>
      </c>
      <c r="T193" s="34">
        <f>+T234*T223*(1-T235)</f>
        <v>264.4471350397896</v>
      </c>
      <c r="U193" s="34">
        <f>+U234*U223*(1-U235)</f>
        <v>256.72727391970625</v>
      </c>
      <c r="V193" s="34">
        <f>+V234*V223*(1-V235)</f>
        <v>250.60444859528721</v>
      </c>
      <c r="W193" s="35">
        <f t="shared" ref="W193:W194" si="674">+V193</f>
        <v>250.60444859528721</v>
      </c>
      <c r="X193" s="34">
        <f>+X234*X223*(1-X235)</f>
        <v>253.73519753663933</v>
      </c>
      <c r="Y193" s="34">
        <f>+Y234*Y223*(1-Y235)</f>
        <v>249.26523578658322</v>
      </c>
      <c r="Z193" s="34">
        <f>+Z234*Z223*(1-Z235)</f>
        <v>249.71056212272848</v>
      </c>
      <c r="AA193" s="34">
        <f>+AA234*AA223*(1-AA235)</f>
        <v>247.44211698607717</v>
      </c>
      <c r="AB193" s="35">
        <f t="shared" ref="AB193:AB194" si="675">+AA193</f>
        <v>247.44211698607717</v>
      </c>
      <c r="AC193" s="34">
        <f>+AC234*AC223*(1-AC235)</f>
        <v>251.43250896270754</v>
      </c>
      <c r="AD193" s="34">
        <f>+AD234*AD223*(1-AD235)</f>
        <v>247.10580614650351</v>
      </c>
      <c r="AE193" s="34">
        <f>+AE234*AE223*(1-AE235)</f>
        <v>251.8931088429143</v>
      </c>
      <c r="AF193" s="34">
        <f>+AF234*AF223*(1-AF235)</f>
        <v>251.67033135712043</v>
      </c>
      <c r="AG193" s="35">
        <f t="shared" ref="AG193:AG194" si="676">+AF193</f>
        <v>251.67033135712043</v>
      </c>
      <c r="AH193" s="34">
        <f>+AH234*AH223*(1-AH235)</f>
        <v>257.0391851506742</v>
      </c>
      <c r="AI193" s="34">
        <f>+AI234*AI223*(1-AI235)</f>
        <v>254.32090072923108</v>
      </c>
      <c r="AJ193" s="34">
        <f>+AJ234*AJ223*(1-AJ235)</f>
        <v>261.65385346551085</v>
      </c>
      <c r="AK193" s="34">
        <f>+AK234*AK223*(1-AK235)</f>
        <v>263.07891221751896</v>
      </c>
      <c r="AL193" s="35">
        <f t="shared" ref="AL193:AL194" si="677">+AK193</f>
        <v>263.07891221751896</v>
      </c>
      <c r="AM193" s="34">
        <f>+AM234*AM223*(1-AM235)</f>
        <v>269.45871564107262</v>
      </c>
      <c r="AN193" s="34">
        <f>+AN234*AN223*(1-AN235)</f>
        <v>267.26878539142047</v>
      </c>
      <c r="AO193" s="34">
        <f>+AO234*AO223*(1-AO235)</f>
        <v>275.96503662314848</v>
      </c>
      <c r="AP193" s="34">
        <f>+AP234*AP223*(1-AP235)</f>
        <v>278.25382820075271</v>
      </c>
      <c r="AQ193" s="35">
        <f t="shared" ref="AQ193:AQ194" si="678">+AP193</f>
        <v>278.25382820075271</v>
      </c>
    </row>
    <row r="194" spans="1:43" ht="14.45" customHeight="1" outlineLevel="1" x14ac:dyDescent="0.25">
      <c r="A194" s="371"/>
      <c r="B194" s="393" t="s">
        <v>275</v>
      </c>
      <c r="C194" s="408"/>
      <c r="D194" s="34">
        <v>336.1</v>
      </c>
      <c r="E194" s="34">
        <v>309.3</v>
      </c>
      <c r="F194" s="34">
        <v>340.3</v>
      </c>
      <c r="G194" s="34">
        <v>396</v>
      </c>
      <c r="H194" s="35">
        <f t="shared" si="671"/>
        <v>396</v>
      </c>
      <c r="I194" s="34">
        <v>411.3</v>
      </c>
      <c r="J194" s="34">
        <v>420.9</v>
      </c>
      <c r="K194" s="34">
        <v>426.1</v>
      </c>
      <c r="L194" s="255">
        <v>478.7</v>
      </c>
      <c r="M194" s="35">
        <f t="shared" si="672"/>
        <v>478.7</v>
      </c>
      <c r="N194" s="34">
        <v>496</v>
      </c>
      <c r="O194" s="34">
        <v>499.4</v>
      </c>
      <c r="P194" s="34">
        <v>535.29999999999995</v>
      </c>
      <c r="Q194" s="34">
        <f t="shared" ref="Q194" si="679">P194</f>
        <v>535.29999999999995</v>
      </c>
      <c r="R194" s="35">
        <f t="shared" si="673"/>
        <v>535.29999999999995</v>
      </c>
      <c r="S194" s="34">
        <f>Q194</f>
        <v>535.29999999999995</v>
      </c>
      <c r="T194" s="34">
        <f>S194</f>
        <v>535.29999999999995</v>
      </c>
      <c r="U194" s="34">
        <f t="shared" ref="U194:V194" si="680">T194</f>
        <v>535.29999999999995</v>
      </c>
      <c r="V194" s="34">
        <f t="shared" si="680"/>
        <v>535.29999999999995</v>
      </c>
      <c r="W194" s="35">
        <f t="shared" si="674"/>
        <v>535.29999999999995</v>
      </c>
      <c r="X194" s="34">
        <f>V194</f>
        <v>535.29999999999995</v>
      </c>
      <c r="Y194" s="34">
        <f>X194</f>
        <v>535.29999999999995</v>
      </c>
      <c r="Z194" s="34">
        <f t="shared" ref="Z194:AA194" si="681">Y194</f>
        <v>535.29999999999995</v>
      </c>
      <c r="AA194" s="34">
        <f t="shared" si="681"/>
        <v>535.29999999999995</v>
      </c>
      <c r="AB194" s="35">
        <f t="shared" si="675"/>
        <v>535.29999999999995</v>
      </c>
      <c r="AC194" s="34">
        <f>AA194</f>
        <v>535.29999999999995</v>
      </c>
      <c r="AD194" s="34">
        <f>AC194</f>
        <v>535.29999999999995</v>
      </c>
      <c r="AE194" s="34">
        <f t="shared" ref="AE194:AF194" si="682">AD194</f>
        <v>535.29999999999995</v>
      </c>
      <c r="AF194" s="34">
        <f t="shared" si="682"/>
        <v>535.29999999999995</v>
      </c>
      <c r="AG194" s="35">
        <f t="shared" si="676"/>
        <v>535.29999999999995</v>
      </c>
      <c r="AH194" s="34">
        <f>AF194</f>
        <v>535.29999999999995</v>
      </c>
      <c r="AI194" s="34">
        <f>AH194</f>
        <v>535.29999999999995</v>
      </c>
      <c r="AJ194" s="34">
        <f t="shared" ref="AJ194:AK194" si="683">AI194</f>
        <v>535.29999999999995</v>
      </c>
      <c r="AK194" s="34">
        <f t="shared" si="683"/>
        <v>535.29999999999995</v>
      </c>
      <c r="AL194" s="35">
        <f t="shared" si="677"/>
        <v>535.29999999999995</v>
      </c>
      <c r="AM194" s="34">
        <f>AK194</f>
        <v>535.29999999999995</v>
      </c>
      <c r="AN194" s="34">
        <f>AM194</f>
        <v>535.29999999999995</v>
      </c>
      <c r="AO194" s="34">
        <f t="shared" ref="AO194" si="684">AN194</f>
        <v>535.29999999999995</v>
      </c>
      <c r="AP194" s="34">
        <f t="shared" ref="AP194" si="685">AO194</f>
        <v>535.29999999999995</v>
      </c>
      <c r="AQ194" s="35">
        <f t="shared" si="678"/>
        <v>535.29999999999995</v>
      </c>
    </row>
    <row r="195" spans="1:43" s="20" customFormat="1" outlineLevel="1" x14ac:dyDescent="0.25">
      <c r="A195" s="371"/>
      <c r="B195" s="393" t="s">
        <v>205</v>
      </c>
      <c r="C195" s="390"/>
      <c r="D195" s="34">
        <v>6039.3</v>
      </c>
      <c r="E195" s="34">
        <v>6135.5</v>
      </c>
      <c r="F195" s="34">
        <v>6187.8</v>
      </c>
      <c r="G195" s="34">
        <v>6431.7</v>
      </c>
      <c r="H195" s="35">
        <f>+G195</f>
        <v>6431.7</v>
      </c>
      <c r="I195" s="34">
        <v>6390.9</v>
      </c>
      <c r="J195" s="34">
        <v>6387</v>
      </c>
      <c r="K195" s="34">
        <v>6295.6</v>
      </c>
      <c r="L195" s="255">
        <v>6241.4</v>
      </c>
      <c r="M195" s="35">
        <f>+L195</f>
        <v>6241.4</v>
      </c>
      <c r="N195" s="34">
        <v>6177.9</v>
      </c>
      <c r="O195" s="34">
        <v>6123.1</v>
      </c>
      <c r="P195" s="34">
        <v>6151.4</v>
      </c>
      <c r="Q195" s="34">
        <f>+P195-Q263-Q245</f>
        <v>6473.547037111176</v>
      </c>
      <c r="R195" s="35">
        <f>+Q195</f>
        <v>6473.547037111176</v>
      </c>
      <c r="S195" s="34">
        <f>+Q195-S263-S245</f>
        <v>6538.2388206007981</v>
      </c>
      <c r="T195" s="34">
        <f>+S195-T263-T245</f>
        <v>6585.8924537451912</v>
      </c>
      <c r="U195" s="34">
        <f>+T195-U263-U245</f>
        <v>6693.0688920083066</v>
      </c>
      <c r="V195" s="34">
        <f>+U195-V263-V245</f>
        <v>6773.7318916317272</v>
      </c>
      <c r="W195" s="35">
        <f>+V195</f>
        <v>6773.7318916317272</v>
      </c>
      <c r="X195" s="34">
        <f>+V195-X263-X245</f>
        <v>6815.8930748665553</v>
      </c>
      <c r="Y195" s="34">
        <f>+X195-Y263-Y245</f>
        <v>6848.4962811633868</v>
      </c>
      <c r="Z195" s="34">
        <f>+Y195-Z263-Z245</f>
        <v>6938.4838091797419</v>
      </c>
      <c r="AA195" s="34">
        <f>+Z195-AA263-AA245</f>
        <v>6999.4514310191726</v>
      </c>
      <c r="AB195" s="35">
        <f>+AA195</f>
        <v>6999.4514310191726</v>
      </c>
      <c r="AC195" s="34">
        <f>+AA195-AC263-AC245</f>
        <v>7017.2958034149833</v>
      </c>
      <c r="AD195" s="34">
        <f>+AC195-AD263-AD245</f>
        <v>7028.6968158754398</v>
      </c>
      <c r="AE195" s="34">
        <f>+AD195-AE263-AE245</f>
        <v>7098.6061616259722</v>
      </c>
      <c r="AF195" s="34">
        <f>+AE195-AF263-AF245</f>
        <v>7168.7880311814251</v>
      </c>
      <c r="AG195" s="35">
        <f>+AF195</f>
        <v>7168.7880311814251</v>
      </c>
      <c r="AH195" s="34">
        <f>+AF195-AH263-AH245</f>
        <v>7213.4792853498748</v>
      </c>
      <c r="AI195" s="34">
        <f>+AH195-AI263-AI245</f>
        <v>7249.8991625056779</v>
      </c>
      <c r="AJ195" s="34">
        <f>+AI195-AJ263-AJ245</f>
        <v>7348.0809227472027</v>
      </c>
      <c r="AK195" s="34">
        <f>+AJ195-AK263-AK245</f>
        <v>7439.4875337542353</v>
      </c>
      <c r="AL195" s="35">
        <f>+AK195</f>
        <v>7439.4875337542353</v>
      </c>
      <c r="AM195" s="34">
        <f>+AK195-AM263-AM245</f>
        <v>7506.7432399919362</v>
      </c>
      <c r="AN195" s="34">
        <f>+AM195-AN263-AN245</f>
        <v>7563.5161980528628</v>
      </c>
      <c r="AO195" s="34">
        <f>+AN195-AO263-AO245</f>
        <v>7684.5648502296845</v>
      </c>
      <c r="AP195" s="34">
        <f>+AO195-AP263-AP245</f>
        <v>7796.5648984319405</v>
      </c>
      <c r="AQ195" s="35">
        <f>+AP195</f>
        <v>7796.5648984319405</v>
      </c>
    </row>
    <row r="196" spans="1:43" s="20" customFormat="1" outlineLevel="1" x14ac:dyDescent="0.25">
      <c r="A196" s="371"/>
      <c r="B196" s="393" t="s">
        <v>276</v>
      </c>
      <c r="C196" s="390"/>
      <c r="D196" s="34">
        <v>0</v>
      </c>
      <c r="E196" s="34">
        <v>0</v>
      </c>
      <c r="F196" s="34">
        <v>0</v>
      </c>
      <c r="G196" s="34">
        <v>0</v>
      </c>
      <c r="H196" s="35">
        <f>+G196</f>
        <v>0</v>
      </c>
      <c r="I196" s="34">
        <v>8358.5</v>
      </c>
      <c r="J196" s="34">
        <v>8260.7999999999993</v>
      </c>
      <c r="K196" s="34">
        <v>8214</v>
      </c>
      <c r="L196" s="255">
        <v>8134.1</v>
      </c>
      <c r="M196" s="35">
        <f>L196</f>
        <v>8134.1</v>
      </c>
      <c r="N196" s="34">
        <v>8199.4</v>
      </c>
      <c r="O196" s="34">
        <v>8036.8</v>
      </c>
      <c r="P196" s="34">
        <v>8065.2</v>
      </c>
      <c r="Q196" s="63">
        <f>P196*0.99</f>
        <v>7984.5479999999998</v>
      </c>
      <c r="R196" s="35">
        <f>Q196</f>
        <v>7984.5479999999998</v>
      </c>
      <c r="S196" s="63">
        <f>Q196*0.99</f>
        <v>7904.7025199999998</v>
      </c>
      <c r="T196" s="63">
        <f>S196*0.99</f>
        <v>7825.6554947999994</v>
      </c>
      <c r="U196" s="63">
        <f>T196*0.99</f>
        <v>7747.3989398519989</v>
      </c>
      <c r="V196" s="63">
        <f>U196*0.99</f>
        <v>7669.9249504534791</v>
      </c>
      <c r="W196" s="35">
        <f>V196</f>
        <v>7669.9249504534791</v>
      </c>
      <c r="X196" s="63">
        <f>V196*0.99</f>
        <v>7593.225700948944</v>
      </c>
      <c r="Y196" s="63">
        <f>X196*0.99</f>
        <v>7517.2934439394548</v>
      </c>
      <c r="Z196" s="63">
        <f>Y196*0.99</f>
        <v>7442.1205095000605</v>
      </c>
      <c r="AA196" s="63">
        <f>Z196*0.99</f>
        <v>7367.6993044050596</v>
      </c>
      <c r="AB196" s="35">
        <f>AA196</f>
        <v>7367.6993044050596</v>
      </c>
      <c r="AC196" s="63">
        <f>AA196*0.99</f>
        <v>7294.0223113610091</v>
      </c>
      <c r="AD196" s="63">
        <f>AC196*0.99</f>
        <v>7221.082088247399</v>
      </c>
      <c r="AE196" s="63">
        <f>AD196*0.99</f>
        <v>7148.8712673649252</v>
      </c>
      <c r="AF196" s="63">
        <f>AE196*0.99</f>
        <v>7077.3825546912758</v>
      </c>
      <c r="AG196" s="35">
        <f>AF196</f>
        <v>7077.3825546912758</v>
      </c>
      <c r="AH196" s="63">
        <f>AF196*0.99</f>
        <v>7006.6087291443628</v>
      </c>
      <c r="AI196" s="63">
        <f>AH196*0.99</f>
        <v>6936.5426418529187</v>
      </c>
      <c r="AJ196" s="63">
        <f>AI196*0.99</f>
        <v>6867.1772154343898</v>
      </c>
      <c r="AK196" s="63">
        <f>AJ196*0.99</f>
        <v>6798.5054432800462</v>
      </c>
      <c r="AL196" s="35">
        <f>AK196</f>
        <v>6798.5054432800462</v>
      </c>
      <c r="AM196" s="63">
        <f>AK196*0.99</f>
        <v>6730.5203888472461</v>
      </c>
      <c r="AN196" s="63">
        <f>AM196*0.99</f>
        <v>6663.2151849587735</v>
      </c>
      <c r="AO196" s="63">
        <f>AN196*0.99</f>
        <v>6596.5830331091856</v>
      </c>
      <c r="AP196" s="63">
        <f>AO196*0.99</f>
        <v>6530.617202778094</v>
      </c>
      <c r="AQ196" s="35">
        <f>AP196</f>
        <v>6530.617202778094</v>
      </c>
    </row>
    <row r="197" spans="1:43" s="20" customFormat="1" outlineLevel="1" x14ac:dyDescent="0.25">
      <c r="A197" s="371"/>
      <c r="B197" s="393" t="s">
        <v>214</v>
      </c>
      <c r="C197" s="390"/>
      <c r="D197" s="34">
        <v>650</v>
      </c>
      <c r="E197" s="34">
        <v>1006.6</v>
      </c>
      <c r="F197" s="34">
        <v>1533</v>
      </c>
      <c r="G197" s="34">
        <v>1765.8</v>
      </c>
      <c r="H197" s="35">
        <f t="shared" ref="H197:H198" si="686">+G197</f>
        <v>1765.8</v>
      </c>
      <c r="I197" s="34">
        <v>1731.4</v>
      </c>
      <c r="J197" s="34">
        <v>1709.7</v>
      </c>
      <c r="K197" s="34">
        <v>1740</v>
      </c>
      <c r="L197" s="255">
        <v>1789.9</v>
      </c>
      <c r="M197" s="35">
        <f t="shared" ref="M197:M198" si="687">+L197</f>
        <v>1789.9</v>
      </c>
      <c r="N197" s="34">
        <v>1792.4</v>
      </c>
      <c r="O197" s="34">
        <v>1770</v>
      </c>
      <c r="P197" s="34">
        <v>1851</v>
      </c>
      <c r="Q197" s="63">
        <f>Q238*(Q208+Q214)</f>
        <v>1774.7875297344281</v>
      </c>
      <c r="R197" s="35">
        <f t="shared" ref="R197:R198" si="688">+Q197</f>
        <v>1774.7875297344281</v>
      </c>
      <c r="S197" s="63">
        <f>S238*(S208+S214)</f>
        <v>1870.0533320715861</v>
      </c>
      <c r="T197" s="63">
        <f>T238*(T208+T214)</f>
        <v>1810.8091879436217</v>
      </c>
      <c r="U197" s="63">
        <f>U238*(U208+U214)</f>
        <v>1809.1451991194533</v>
      </c>
      <c r="V197" s="63">
        <f>V238*(V208+V214)</f>
        <v>1787.3422819709556</v>
      </c>
      <c r="W197" s="35">
        <f t="shared" ref="W197:W198" si="689">+V197</f>
        <v>1787.3422819709556</v>
      </c>
      <c r="X197" s="63">
        <f>X238*(X208+X214)</f>
        <v>1898.7071639960836</v>
      </c>
      <c r="Y197" s="63">
        <f>Y238*(Y208+Y214)</f>
        <v>1821.119094937018</v>
      </c>
      <c r="Z197" s="63">
        <f>Z238*(Z208+Z214)</f>
        <v>1811.3207755321814</v>
      </c>
      <c r="AA197" s="63">
        <f>AA238*(AA208+AA214)</f>
        <v>1799.6125356626708</v>
      </c>
      <c r="AB197" s="35">
        <f t="shared" ref="AB197:AB198" si="690">+AA197</f>
        <v>1799.6125356626708</v>
      </c>
      <c r="AC197" s="63">
        <f>AC238*(AC208+AC214)</f>
        <v>1920.0017682417192</v>
      </c>
      <c r="AD197" s="63">
        <f>AD238*(AD208+AD214)</f>
        <v>1833.541870791659</v>
      </c>
      <c r="AE197" s="63">
        <f>AE238*(AE208+AE214)</f>
        <v>1823.2442632144694</v>
      </c>
      <c r="AF197" s="63">
        <f>AF238*(AF208+AF214)</f>
        <v>1812.9575361668406</v>
      </c>
      <c r="AG197" s="35">
        <f t="shared" ref="AG197:AG198" si="691">+AF197</f>
        <v>1812.9575361668406</v>
      </c>
      <c r="AH197" s="63">
        <f>AH238*(AH208+AH214)</f>
        <v>1943.3587820254552</v>
      </c>
      <c r="AI197" s="63">
        <f>AI238*(AI208+AI214)</f>
        <v>1849.7965840858396</v>
      </c>
      <c r="AJ197" s="63">
        <f>AJ238*(AJ208+AJ214)</f>
        <v>1839.3408717028126</v>
      </c>
      <c r="AK197" s="63">
        <f>AK238*(AK208+AK214)</f>
        <v>1828.9917224229098</v>
      </c>
      <c r="AL197" s="35">
        <f t="shared" ref="AL197:AL198" si="692">+AK197</f>
        <v>1828.9917224229098</v>
      </c>
      <c r="AM197" s="63">
        <f>AM238*(AM208+AM214)</f>
        <v>1970.606400960324</v>
      </c>
      <c r="AN197" s="63">
        <f>AN238*(AN208+AN214)</f>
        <v>1869.7620018234875</v>
      </c>
      <c r="AO197" s="63">
        <f>AO238*(AO208+AO214)</f>
        <v>1859.0238668447178</v>
      </c>
      <c r="AP197" s="63">
        <f>AP238*(AP208+AP214)</f>
        <v>1848.3728991390699</v>
      </c>
      <c r="AQ197" s="35">
        <f t="shared" ref="AQ197:AQ198" si="693">+AP197</f>
        <v>1848.3728991390699</v>
      </c>
    </row>
    <row r="198" spans="1:43" s="20" customFormat="1" outlineLevel="1" x14ac:dyDescent="0.25">
      <c r="A198" s="371"/>
      <c r="B198" s="393" t="s">
        <v>277</v>
      </c>
      <c r="C198" s="390"/>
      <c r="D198" s="34">
        <v>472.7</v>
      </c>
      <c r="E198" s="34">
        <v>464.5</v>
      </c>
      <c r="F198" s="34">
        <v>458</v>
      </c>
      <c r="G198" s="34">
        <v>479.6</v>
      </c>
      <c r="H198" s="35">
        <f t="shared" si="686"/>
        <v>479.6</v>
      </c>
      <c r="I198" s="34">
        <v>484.7</v>
      </c>
      <c r="J198" s="34">
        <v>580.1</v>
      </c>
      <c r="K198" s="34">
        <v>550.79999999999995</v>
      </c>
      <c r="L198" s="255">
        <v>568.6</v>
      </c>
      <c r="M198" s="35">
        <f t="shared" si="687"/>
        <v>568.6</v>
      </c>
      <c r="N198" s="34">
        <v>541.1</v>
      </c>
      <c r="O198" s="34">
        <v>574.9</v>
      </c>
      <c r="P198" s="34">
        <v>586.29999999999995</v>
      </c>
      <c r="Q198" s="63">
        <f>+P198*(Q223/P223)</f>
        <v>600.22983171783289</v>
      </c>
      <c r="R198" s="35">
        <f t="shared" si="688"/>
        <v>600.22983171783289</v>
      </c>
      <c r="S198" s="63">
        <f>+Q198*(S223/Q223)</f>
        <v>595.43431276655133</v>
      </c>
      <c r="T198" s="63">
        <f>+S198*(T223/S223)</f>
        <v>573.03137181408033</v>
      </c>
      <c r="U198" s="63">
        <f>+T198*(U223/T223)</f>
        <v>570.17512607893241</v>
      </c>
      <c r="V198" s="63">
        <f>+U198*(V223/U223)</f>
        <v>568.29240943696936</v>
      </c>
      <c r="W198" s="35">
        <f t="shared" si="689"/>
        <v>568.29240943696936</v>
      </c>
      <c r="X198" s="63">
        <f>+V198*(X223/V223)</f>
        <v>568.5288221988551</v>
      </c>
      <c r="Y198" s="63">
        <f>+X198*(Y223/X223)</f>
        <v>554.20564345693253</v>
      </c>
      <c r="Z198" s="63">
        <f>+Y198*(Z223/Y223)</f>
        <v>558.85069841644258</v>
      </c>
      <c r="AA198" s="63">
        <f>+Z198*(AA223/Z223)</f>
        <v>554.83700998800464</v>
      </c>
      <c r="AB198" s="35">
        <f t="shared" si="690"/>
        <v>554.83700998800464</v>
      </c>
      <c r="AC198" s="63">
        <f>+AA198*(AC223/AA223)</f>
        <v>562.21415773663898</v>
      </c>
      <c r="AD198" s="63">
        <f>+AC198*(AD223/AC223)</f>
        <v>552.25625869925295</v>
      </c>
      <c r="AE198" s="63">
        <f>+AD198*(AE223/AD223)</f>
        <v>563.68701618379532</v>
      </c>
      <c r="AF198" s="63">
        <f>+AE198*(AF223/AE223)</f>
        <v>563.17650604059952</v>
      </c>
      <c r="AG198" s="35">
        <f t="shared" si="691"/>
        <v>563.17650604059952</v>
      </c>
      <c r="AH198" s="63">
        <f>+AF198*(AH223/AF223)</f>
        <v>574.90001855212313</v>
      </c>
      <c r="AI198" s="63">
        <f>+AH198*(AI223/AH223)</f>
        <v>568.85715765266821</v>
      </c>
      <c r="AJ198" s="63">
        <f>+AI198*(AJ223/AI223)</f>
        <v>585.3818071004232</v>
      </c>
      <c r="AK198" s="63">
        <f>+AJ198*(AK223/AJ223)</f>
        <v>588.53286164913413</v>
      </c>
      <c r="AL198" s="35">
        <f t="shared" si="692"/>
        <v>588.53286164913413</v>
      </c>
      <c r="AM198" s="63">
        <f>+AK198*(AM223/AK223)</f>
        <v>602.76074835758186</v>
      </c>
      <c r="AN198" s="63">
        <f>+AM198*(AN223/AM223)</f>
        <v>597.88258788582812</v>
      </c>
      <c r="AO198" s="63">
        <f>+AN198*(AO223/AN223)</f>
        <v>617.35269985627451</v>
      </c>
      <c r="AP198" s="63">
        <f>+AO198*(AP223/AO223)</f>
        <v>622.46113249412963</v>
      </c>
      <c r="AQ198" s="35">
        <f t="shared" si="693"/>
        <v>622.46113249412963</v>
      </c>
    </row>
    <row r="199" spans="1:43" s="20" customFormat="1" outlineLevel="1" x14ac:dyDescent="0.25">
      <c r="A199" s="371"/>
      <c r="B199" s="393" t="s">
        <v>206</v>
      </c>
      <c r="C199" s="390"/>
      <c r="D199" s="34">
        <v>981.6</v>
      </c>
      <c r="E199" s="34">
        <v>918.3</v>
      </c>
      <c r="F199" s="34">
        <v>853.2</v>
      </c>
      <c r="G199" s="34">
        <v>781.8</v>
      </c>
      <c r="H199" s="35">
        <f>+G199</f>
        <v>781.8</v>
      </c>
      <c r="I199" s="34">
        <v>739.1</v>
      </c>
      <c r="J199" s="34">
        <v>678.7</v>
      </c>
      <c r="K199" s="34">
        <v>599.6</v>
      </c>
      <c r="L199" s="255">
        <v>552.1</v>
      </c>
      <c r="M199" s="35">
        <f>+L199</f>
        <v>552.1</v>
      </c>
      <c r="N199" s="34">
        <v>506.4</v>
      </c>
      <c r="O199" s="34">
        <v>444.3</v>
      </c>
      <c r="P199" s="34">
        <v>398</v>
      </c>
      <c r="Q199" s="63">
        <f>+P199*0.94</f>
        <v>374.12</v>
      </c>
      <c r="R199" s="35">
        <f>+Q199</f>
        <v>374.12</v>
      </c>
      <c r="S199" s="63">
        <f>+Q199*0.94</f>
        <v>351.6728</v>
      </c>
      <c r="T199" s="63">
        <f>+S199*0.94</f>
        <v>330.57243199999999</v>
      </c>
      <c r="U199" s="63">
        <f>+T199*0.94</f>
        <v>310.73808607999996</v>
      </c>
      <c r="V199" s="63">
        <f>+U199*0.94</f>
        <v>292.09380091519995</v>
      </c>
      <c r="W199" s="35">
        <f>+V199</f>
        <v>292.09380091519995</v>
      </c>
      <c r="X199" s="63">
        <f>+V199*0.94</f>
        <v>274.56817286028792</v>
      </c>
      <c r="Y199" s="63">
        <f>+X199*0.94</f>
        <v>258.09408248867061</v>
      </c>
      <c r="Z199" s="63">
        <f>+Y199*0.94</f>
        <v>242.60843753935035</v>
      </c>
      <c r="AA199" s="63">
        <f>+Z199*0.94</f>
        <v>228.05193128698932</v>
      </c>
      <c r="AB199" s="35">
        <f>+AA199</f>
        <v>228.05193128698932</v>
      </c>
      <c r="AC199" s="63">
        <f>+AA199*0.94</f>
        <v>214.36881540976995</v>
      </c>
      <c r="AD199" s="63">
        <f>+AC199*0.94</f>
        <v>201.50668648518374</v>
      </c>
      <c r="AE199" s="63">
        <f>+AD199*0.94</f>
        <v>189.41628529607269</v>
      </c>
      <c r="AF199" s="63">
        <f>+AE199*0.94</f>
        <v>178.05130817830832</v>
      </c>
      <c r="AG199" s="35">
        <f>+AF199</f>
        <v>178.05130817830832</v>
      </c>
      <c r="AH199" s="63">
        <f>+AF199*0.94</f>
        <v>167.36822968760981</v>
      </c>
      <c r="AI199" s="63">
        <f>+AH199*0.94</f>
        <v>157.32613590635322</v>
      </c>
      <c r="AJ199" s="63">
        <f>+AI199*0.94</f>
        <v>147.88656775197202</v>
      </c>
      <c r="AK199" s="63">
        <f>+AJ199*0.94</f>
        <v>139.0133736868537</v>
      </c>
      <c r="AL199" s="35">
        <f>+AK199</f>
        <v>139.0133736868537</v>
      </c>
      <c r="AM199" s="63">
        <f>+AK199*0.94</f>
        <v>130.67257126564246</v>
      </c>
      <c r="AN199" s="63">
        <f>+AM199*0.94</f>
        <v>122.83221698970391</v>
      </c>
      <c r="AO199" s="63">
        <f>+AN199*0.94</f>
        <v>115.46228397032166</v>
      </c>
      <c r="AP199" s="63">
        <f>+AO199*0.94</f>
        <v>108.53454693210236</v>
      </c>
      <c r="AQ199" s="35">
        <f>+AP199</f>
        <v>108.53454693210236</v>
      </c>
    </row>
    <row r="200" spans="1:43" ht="17.25" outlineLevel="1" x14ac:dyDescent="0.4">
      <c r="A200" s="371"/>
      <c r="B200" s="562" t="s">
        <v>36</v>
      </c>
      <c r="C200" s="563"/>
      <c r="D200" s="37">
        <v>3560.3</v>
      </c>
      <c r="E200" s="37">
        <v>3603.5</v>
      </c>
      <c r="F200" s="37">
        <v>3564.7</v>
      </c>
      <c r="G200" s="37">
        <v>3490.8</v>
      </c>
      <c r="H200" s="38">
        <f>G200</f>
        <v>3490.8</v>
      </c>
      <c r="I200" s="37">
        <v>3515.9</v>
      </c>
      <c r="J200" s="37">
        <v>3493</v>
      </c>
      <c r="K200" s="37">
        <v>3510.1</v>
      </c>
      <c r="L200" s="269">
        <v>3597.2</v>
      </c>
      <c r="M200" s="38">
        <f>L200</f>
        <v>3597.2</v>
      </c>
      <c r="N200" s="37">
        <v>3706.8</v>
      </c>
      <c r="O200" s="37">
        <v>3658.9</v>
      </c>
      <c r="P200" s="37">
        <v>3672</v>
      </c>
      <c r="Q200" s="61">
        <f t="shared" ref="Q200" si="694">+P200</f>
        <v>3672</v>
      </c>
      <c r="R200" s="38">
        <f>Q200</f>
        <v>3672</v>
      </c>
      <c r="S200" s="61">
        <f>+Q200</f>
        <v>3672</v>
      </c>
      <c r="T200" s="61">
        <f>+S200</f>
        <v>3672</v>
      </c>
      <c r="U200" s="61">
        <f t="shared" ref="U200:V200" si="695">+T200</f>
        <v>3672</v>
      </c>
      <c r="V200" s="61">
        <f t="shared" si="695"/>
        <v>3672</v>
      </c>
      <c r="W200" s="38">
        <f>V200</f>
        <v>3672</v>
      </c>
      <c r="X200" s="61">
        <f>+V200</f>
        <v>3672</v>
      </c>
      <c r="Y200" s="61">
        <f>+X200</f>
        <v>3672</v>
      </c>
      <c r="Z200" s="61">
        <f t="shared" ref="Z200:AA200" si="696">+Y200</f>
        <v>3672</v>
      </c>
      <c r="AA200" s="61">
        <f t="shared" si="696"/>
        <v>3672</v>
      </c>
      <c r="AB200" s="38">
        <f>AA200</f>
        <v>3672</v>
      </c>
      <c r="AC200" s="61">
        <f>+AA200</f>
        <v>3672</v>
      </c>
      <c r="AD200" s="61">
        <f>+AC200</f>
        <v>3672</v>
      </c>
      <c r="AE200" s="61">
        <f t="shared" ref="AE200:AF200" si="697">+AD200</f>
        <v>3672</v>
      </c>
      <c r="AF200" s="61">
        <f t="shared" si="697"/>
        <v>3672</v>
      </c>
      <c r="AG200" s="38">
        <f>AF200</f>
        <v>3672</v>
      </c>
      <c r="AH200" s="61">
        <f>+AF200</f>
        <v>3672</v>
      </c>
      <c r="AI200" s="61">
        <f>+AH200</f>
        <v>3672</v>
      </c>
      <c r="AJ200" s="61">
        <f t="shared" ref="AJ200:AK200" si="698">+AI200</f>
        <v>3672</v>
      </c>
      <c r="AK200" s="61">
        <f t="shared" si="698"/>
        <v>3672</v>
      </c>
      <c r="AL200" s="38">
        <f>AK200</f>
        <v>3672</v>
      </c>
      <c r="AM200" s="61">
        <f>+AK200</f>
        <v>3672</v>
      </c>
      <c r="AN200" s="61">
        <f>+AM200</f>
        <v>3672</v>
      </c>
      <c r="AO200" s="61">
        <f t="shared" ref="AO200" si="699">+AN200</f>
        <v>3672</v>
      </c>
      <c r="AP200" s="61">
        <f t="shared" ref="AP200" si="700">+AO200</f>
        <v>3672</v>
      </c>
      <c r="AQ200" s="38">
        <f>AP200</f>
        <v>3672</v>
      </c>
    </row>
    <row r="201" spans="1:43" outlineLevel="1" x14ac:dyDescent="0.25">
      <c r="A201" s="371"/>
      <c r="B201" s="580" t="s">
        <v>5</v>
      </c>
      <c r="C201" s="581"/>
      <c r="D201" s="41">
        <f t="shared" ref="D201:AB201" si="701">+SUM(D192:D200)</f>
        <v>19981.3</v>
      </c>
      <c r="E201" s="41">
        <f t="shared" si="701"/>
        <v>17641.900000000001</v>
      </c>
      <c r="F201" s="41">
        <f t="shared" si="701"/>
        <v>20894.500000000004</v>
      </c>
      <c r="G201" s="41">
        <f t="shared" si="701"/>
        <v>19219.400000000001</v>
      </c>
      <c r="H201" s="42">
        <f t="shared" si="701"/>
        <v>19219.400000000001</v>
      </c>
      <c r="I201" s="41">
        <f t="shared" si="701"/>
        <v>27731.300000000007</v>
      </c>
      <c r="J201" s="41">
        <f t="shared" si="701"/>
        <v>27478.9</v>
      </c>
      <c r="K201" s="41">
        <f t="shared" si="701"/>
        <v>29140.600000000002</v>
      </c>
      <c r="L201" s="41">
        <f t="shared" si="701"/>
        <v>29374.500000000004</v>
      </c>
      <c r="M201" s="42">
        <f t="shared" si="701"/>
        <v>29374.500000000004</v>
      </c>
      <c r="N201" s="41">
        <f t="shared" si="701"/>
        <v>29968.30000000001</v>
      </c>
      <c r="O201" s="41">
        <f t="shared" si="701"/>
        <v>28371.600000000013</v>
      </c>
      <c r="P201" s="41">
        <f t="shared" si="701"/>
        <v>29476.800000000007</v>
      </c>
      <c r="Q201" s="41">
        <f t="shared" si="701"/>
        <v>30177.135772778813</v>
      </c>
      <c r="R201" s="42">
        <f t="shared" si="701"/>
        <v>30177.135772778813</v>
      </c>
      <c r="S201" s="41">
        <f t="shared" si="701"/>
        <v>29936.036415754887</v>
      </c>
      <c r="T201" s="41">
        <f t="shared" si="701"/>
        <v>28809.706874789852</v>
      </c>
      <c r="U201" s="41">
        <f t="shared" si="701"/>
        <v>28666.106355796492</v>
      </c>
      <c r="V201" s="41">
        <f t="shared" si="701"/>
        <v>28571.450954275406</v>
      </c>
      <c r="W201" s="42">
        <f t="shared" si="701"/>
        <v>28571.450954275406</v>
      </c>
      <c r="X201" s="41">
        <f t="shared" si="701"/>
        <v>28583.336834711281</v>
      </c>
      <c r="Y201" s="41">
        <f t="shared" si="701"/>
        <v>27863.225159562211</v>
      </c>
      <c r="Z201" s="41">
        <f t="shared" si="701"/>
        <v>28096.759793760539</v>
      </c>
      <c r="AA201" s="41">
        <f t="shared" si="701"/>
        <v>27894.967723033315</v>
      </c>
      <c r="AB201" s="42">
        <f t="shared" si="701"/>
        <v>27894.967723033315</v>
      </c>
      <c r="AC201" s="41">
        <f t="shared" ref="AC201:AG201" si="702">+SUM(AC192:AC200)</f>
        <v>28265.860966691747</v>
      </c>
      <c r="AD201" s="41">
        <f t="shared" si="702"/>
        <v>27765.217953993088</v>
      </c>
      <c r="AE201" s="41">
        <f t="shared" si="702"/>
        <v>28339.910350753038</v>
      </c>
      <c r="AF201" s="41">
        <f t="shared" si="702"/>
        <v>28314.243959163483</v>
      </c>
      <c r="AG201" s="42">
        <f t="shared" si="702"/>
        <v>28314.243959163483</v>
      </c>
      <c r="AH201" s="41">
        <f t="shared" ref="AH201:AL201" si="703">+SUM(AH192:AH200)</f>
        <v>28903.654898272602</v>
      </c>
      <c r="AI201" s="41">
        <f t="shared" si="703"/>
        <v>28599.844217458944</v>
      </c>
      <c r="AJ201" s="41">
        <f t="shared" si="703"/>
        <v>29430.636963223202</v>
      </c>
      <c r="AK201" s="41">
        <f t="shared" si="703"/>
        <v>29589.059280674071</v>
      </c>
      <c r="AL201" s="42">
        <f t="shared" si="703"/>
        <v>29589.059280674071</v>
      </c>
      <c r="AM201" s="41">
        <f t="shared" ref="AM201:AQ201" si="704">+SUM(AM192:AM200)</f>
        <v>30304.380056603743</v>
      </c>
      <c r="AN201" s="41">
        <f t="shared" si="704"/>
        <v>30059.125817146487</v>
      </c>
      <c r="AO201" s="41">
        <f t="shared" si="704"/>
        <v>31038.004542253857</v>
      </c>
      <c r="AP201" s="41">
        <f t="shared" si="704"/>
        <v>31294.835937750238</v>
      </c>
      <c r="AQ201" s="42">
        <f t="shared" si="704"/>
        <v>31294.835937750238</v>
      </c>
    </row>
    <row r="202" spans="1:43" ht="18" x14ac:dyDescent="0.4">
      <c r="A202" s="371"/>
      <c r="B202" s="532" t="s">
        <v>7</v>
      </c>
      <c r="C202" s="533"/>
      <c r="D202" s="32" t="s">
        <v>119</v>
      </c>
      <c r="E202" s="32" t="s">
        <v>243</v>
      </c>
      <c r="F202" s="32" t="s">
        <v>247</v>
      </c>
      <c r="G202" s="32" t="s">
        <v>257</v>
      </c>
      <c r="H202" s="86" t="s">
        <v>258</v>
      </c>
      <c r="I202" s="32" t="s">
        <v>259</v>
      </c>
      <c r="J202" s="32" t="s">
        <v>260</v>
      </c>
      <c r="K202" s="32" t="s">
        <v>261</v>
      </c>
      <c r="L202" s="32" t="s">
        <v>322</v>
      </c>
      <c r="M202" s="86" t="s">
        <v>333</v>
      </c>
      <c r="N202" s="32" t="s">
        <v>339</v>
      </c>
      <c r="O202" s="32" t="s">
        <v>347</v>
      </c>
      <c r="P202" s="32" t="s">
        <v>349</v>
      </c>
      <c r="Q202" s="30" t="s">
        <v>129</v>
      </c>
      <c r="R202" s="89" t="s">
        <v>130</v>
      </c>
      <c r="S202" s="30" t="s">
        <v>131</v>
      </c>
      <c r="T202" s="30" t="s">
        <v>132</v>
      </c>
      <c r="U202" s="30" t="s">
        <v>133</v>
      </c>
      <c r="V202" s="30" t="s">
        <v>134</v>
      </c>
      <c r="W202" s="89" t="s">
        <v>135</v>
      </c>
      <c r="X202" s="30" t="s">
        <v>136</v>
      </c>
      <c r="Y202" s="30" t="s">
        <v>137</v>
      </c>
      <c r="Z202" s="30" t="s">
        <v>138</v>
      </c>
      <c r="AA202" s="30" t="s">
        <v>139</v>
      </c>
      <c r="AB202" s="89" t="s">
        <v>140</v>
      </c>
      <c r="AC202" s="30" t="s">
        <v>252</v>
      </c>
      <c r="AD202" s="30" t="s">
        <v>253</v>
      </c>
      <c r="AE202" s="30" t="s">
        <v>254</v>
      </c>
      <c r="AF202" s="30" t="s">
        <v>255</v>
      </c>
      <c r="AG202" s="89" t="s">
        <v>256</v>
      </c>
      <c r="AH202" s="30" t="s">
        <v>285</v>
      </c>
      <c r="AI202" s="30" t="s">
        <v>286</v>
      </c>
      <c r="AJ202" s="30" t="s">
        <v>287</v>
      </c>
      <c r="AK202" s="30" t="s">
        <v>288</v>
      </c>
      <c r="AL202" s="89" t="s">
        <v>289</v>
      </c>
      <c r="AM202" s="30" t="s">
        <v>356</v>
      </c>
      <c r="AN202" s="30" t="s">
        <v>357</v>
      </c>
      <c r="AO202" s="30" t="s">
        <v>358</v>
      </c>
      <c r="AP202" s="30" t="s">
        <v>359</v>
      </c>
      <c r="AQ202" s="89" t="s">
        <v>360</v>
      </c>
    </row>
    <row r="203" spans="1:43" s="43" customFormat="1" outlineLevel="1" x14ac:dyDescent="0.25">
      <c r="A203" s="371"/>
      <c r="B203" s="586" t="s">
        <v>37</v>
      </c>
      <c r="C203" s="587"/>
      <c r="D203" s="81">
        <v>1100.5</v>
      </c>
      <c r="E203" s="81">
        <v>1096.7</v>
      </c>
      <c r="F203" s="81">
        <v>1145.4000000000001</v>
      </c>
      <c r="G203" s="81">
        <v>1189.7</v>
      </c>
      <c r="H203" s="82">
        <f>G203</f>
        <v>1189.7</v>
      </c>
      <c r="I203" s="81">
        <v>1085.5999999999999</v>
      </c>
      <c r="J203" s="81">
        <v>997.7</v>
      </c>
      <c r="K203" s="81">
        <v>860.8</v>
      </c>
      <c r="L203" s="81">
        <v>997.9</v>
      </c>
      <c r="M203" s="82">
        <f>L203</f>
        <v>997.9</v>
      </c>
      <c r="N203" s="81">
        <v>1050.5999999999999</v>
      </c>
      <c r="O203" s="81">
        <v>1033.5999999999999</v>
      </c>
      <c r="P203" s="81">
        <v>1127</v>
      </c>
      <c r="Q203" s="81">
        <f>(Q17/Q232)</f>
        <v>1299.667902202491</v>
      </c>
      <c r="R203" s="82">
        <f>Q203</f>
        <v>1299.667902202491</v>
      </c>
      <c r="S203" s="81">
        <f t="shared" ref="S203:AP203" si="705">(S17/S232)</f>
        <v>1146.621032337574</v>
      </c>
      <c r="T203" s="81">
        <f t="shared" si="705"/>
        <v>1161.179304167609</v>
      </c>
      <c r="U203" s="81">
        <f t="shared" si="705"/>
        <v>1371.6245452896028</v>
      </c>
      <c r="V203" s="81">
        <f t="shared" si="705"/>
        <v>1298.0425922404961</v>
      </c>
      <c r="W203" s="82">
        <f>V203</f>
        <v>1298.0425922404961</v>
      </c>
      <c r="X203" s="81">
        <f t="shared" si="705"/>
        <v>1241.0146015635912</v>
      </c>
      <c r="Y203" s="81">
        <f t="shared" si="705"/>
        <v>1268.0775321569556</v>
      </c>
      <c r="Z203" s="81">
        <f t="shared" si="705"/>
        <v>1465.0405569842055</v>
      </c>
      <c r="AA203" s="81">
        <f t="shared" si="705"/>
        <v>1415.7489902403145</v>
      </c>
      <c r="AB203" s="82">
        <f>AA203</f>
        <v>1415.7489902403145</v>
      </c>
      <c r="AC203" s="81">
        <f t="shared" si="705"/>
        <v>1320.8074585667646</v>
      </c>
      <c r="AD203" s="81">
        <f t="shared" si="705"/>
        <v>1357.2256090422479</v>
      </c>
      <c r="AE203" s="81">
        <f t="shared" si="705"/>
        <v>1603.3372909497914</v>
      </c>
      <c r="AF203" s="81">
        <f t="shared" si="705"/>
        <v>1520.8589656077827</v>
      </c>
      <c r="AG203" s="82">
        <f>AF203</f>
        <v>1520.8589656077827</v>
      </c>
      <c r="AH203" s="81">
        <f t="shared" si="705"/>
        <v>1429.9979151424081</v>
      </c>
      <c r="AI203" s="81">
        <f t="shared" si="705"/>
        <v>1467.4228109320838</v>
      </c>
      <c r="AJ203" s="81">
        <f t="shared" si="705"/>
        <v>1714.0891957084266</v>
      </c>
      <c r="AK203" s="81">
        <f t="shared" si="705"/>
        <v>1644.1242756015622</v>
      </c>
      <c r="AL203" s="82">
        <f>AK203</f>
        <v>1644.1242756015622</v>
      </c>
      <c r="AM203" s="81">
        <f t="shared" si="705"/>
        <v>1539.8041354101379</v>
      </c>
      <c r="AN203" s="81">
        <f t="shared" si="705"/>
        <v>1580.0596615475922</v>
      </c>
      <c r="AO203" s="81">
        <f t="shared" si="705"/>
        <v>1852.2349498692747</v>
      </c>
      <c r="AP203" s="81">
        <f t="shared" si="705"/>
        <v>1767.1459076619233</v>
      </c>
      <c r="AQ203" s="82">
        <f>AP203</f>
        <v>1767.1459076619233</v>
      </c>
    </row>
    <row r="204" spans="1:43" outlineLevel="1" x14ac:dyDescent="0.25">
      <c r="A204" s="371"/>
      <c r="B204" s="586" t="s">
        <v>207</v>
      </c>
      <c r="C204" s="587"/>
      <c r="D204" s="81">
        <v>2564</v>
      </c>
      <c r="E204" s="81">
        <v>2569.3000000000002</v>
      </c>
      <c r="F204" s="81">
        <v>3238.7</v>
      </c>
      <c r="G204" s="81">
        <v>1753.7</v>
      </c>
      <c r="H204" s="82">
        <f>G204</f>
        <v>1753.7</v>
      </c>
      <c r="I204" s="81">
        <v>1637.8</v>
      </c>
      <c r="J204" s="81">
        <v>1539</v>
      </c>
      <c r="K204" s="81">
        <v>1511.7</v>
      </c>
      <c r="L204" s="81">
        <v>1160.7</v>
      </c>
      <c r="M204" s="82">
        <f>L204</f>
        <v>1160.7</v>
      </c>
      <c r="N204" s="81">
        <v>1616.9</v>
      </c>
      <c r="O204" s="81">
        <v>1771.6</v>
      </c>
      <c r="P204" s="81">
        <v>1791.4</v>
      </c>
      <c r="Q204" s="63">
        <f>((L23-L22-L20)/(K23-K22-K20)*P204)</f>
        <v>2044.5783461023427</v>
      </c>
      <c r="R204" s="82">
        <f>Q204</f>
        <v>2044.5783461023427</v>
      </c>
      <c r="S204" s="63">
        <f>((N23-N22-N20)/(L23-L22-L20)*R204)</f>
        <v>2155.1619915263541</v>
      </c>
      <c r="T204" s="63">
        <f>((O23-O22-O20)/(N23-N22-N20)*S204)</f>
        <v>2110.920668232608</v>
      </c>
      <c r="U204" s="63">
        <f>((P23-P22-P20)/(O23-O22-O20)*T204)</f>
        <v>2256.9760235330277</v>
      </c>
      <c r="V204" s="63">
        <f>((Q23-Q22-Q20)/(P23-P22-P20)*U204)</f>
        <v>2479.4769800574973</v>
      </c>
      <c r="W204" s="82">
        <f>V204</f>
        <v>2479.4769800574973</v>
      </c>
      <c r="X204" s="63">
        <f>((S23-S22-S20)/(Q23-Q22-Q20)*W204)</f>
        <v>2307.6062160023998</v>
      </c>
      <c r="Y204" s="63">
        <f>((T23-T22-T20)/(S23-S22-S20)*X204)</f>
        <v>2270.3697503444087</v>
      </c>
      <c r="Z204" s="63">
        <f>((U23-U22-U20)/(T23-T22-T20)*Y204)</f>
        <v>2520.6820155719874</v>
      </c>
      <c r="AA204" s="63">
        <f>((V23-V22-V20)/(U23-U22-U20)*Z204)</f>
        <v>2495.9811014481438</v>
      </c>
      <c r="AB204" s="82">
        <f>AA204</f>
        <v>2495.9811014481438</v>
      </c>
      <c r="AC204" s="63">
        <f>((X23-X22-X20)/(V23-V22-V20)*AB204)</f>
        <v>2445.9283914210773</v>
      </c>
      <c r="AD204" s="63">
        <f>((Y23-Y22-Y20)/(X23-X22-X20)*AC204)</f>
        <v>2441.5239683723844</v>
      </c>
      <c r="AE204" s="63">
        <f>((Z23-Z22-Z20)/(Y23-Y22-Y20)*AD204)</f>
        <v>2767.098056912876</v>
      </c>
      <c r="AF204" s="63">
        <f>((AA23-AA22-AA20)/(Z23-Z22-Z20)*AE204)</f>
        <v>2691.3354315391675</v>
      </c>
      <c r="AG204" s="82">
        <f>AF204</f>
        <v>2691.3354315391675</v>
      </c>
      <c r="AH204" s="63">
        <f>((AC23-AC22-AC20)/(AA23-AA22-AA20)*AG204)</f>
        <v>2611.1946925516986</v>
      </c>
      <c r="AI204" s="63">
        <f>((AD23-AD22-AD20)/(AC23-AC22-AC20)*AH204)</f>
        <v>2616.1553984853163</v>
      </c>
      <c r="AJ204" s="63">
        <f>((AE23-AE22-AE20)/(AD23-AD22-AD20)*AI204)</f>
        <v>2973.6079841747137</v>
      </c>
      <c r="AK204" s="63">
        <f>((AF23-AF22-AF20)/(AE23-AE22-AE20)*AJ204)</f>
        <v>2900.1770648313718</v>
      </c>
      <c r="AL204" s="82">
        <f>AK204</f>
        <v>2900.1770648313718</v>
      </c>
      <c r="AM204" s="63">
        <f>((AH23-AH22-AH20)/(AF23-AF22-AF20)*AL204)</f>
        <v>2812.4678069927741</v>
      </c>
      <c r="AN204" s="63">
        <f>((AI23-AI22-AI20)/(AH23-AH22-AH20)*AM204)</f>
        <v>2816.5989072747993</v>
      </c>
      <c r="AO204" s="63">
        <f>((AJ23-AJ22-AJ20)/(AI23-AI22-AI20)*AN204)</f>
        <v>3200.0544432323099</v>
      </c>
      <c r="AP204" s="63">
        <f>((AK23-AK22-AK20)/(AJ23-AJ22-AJ20)*AO204)</f>
        <v>3121.9642297802966</v>
      </c>
      <c r="AQ204" s="82">
        <f>AP204</f>
        <v>3121.9642297802966</v>
      </c>
    </row>
    <row r="205" spans="1:43" outlineLevel="1" x14ac:dyDescent="0.25">
      <c r="A205" s="371"/>
      <c r="B205" s="395" t="s">
        <v>272</v>
      </c>
      <c r="C205" s="396"/>
      <c r="D205" s="81">
        <v>0</v>
      </c>
      <c r="E205" s="81">
        <v>0</v>
      </c>
      <c r="F205" s="81">
        <v>0</v>
      </c>
      <c r="G205" s="81">
        <v>664.6</v>
      </c>
      <c r="H205" s="82">
        <f t="shared" ref="H205:H215" si="706">G205</f>
        <v>664.6</v>
      </c>
      <c r="I205" s="81">
        <v>578.5</v>
      </c>
      <c r="J205" s="81">
        <v>596.1</v>
      </c>
      <c r="K205" s="81">
        <v>652.1</v>
      </c>
      <c r="L205" s="81">
        <v>696</v>
      </c>
      <c r="M205" s="82">
        <f t="shared" ref="M205:M215" si="707">L205</f>
        <v>696</v>
      </c>
      <c r="N205" s="81">
        <v>685.3</v>
      </c>
      <c r="O205" s="81">
        <v>646.1</v>
      </c>
      <c r="P205" s="81">
        <v>741</v>
      </c>
      <c r="Q205" s="63">
        <f t="shared" ref="Q205:R215" si="708">P205</f>
        <v>741</v>
      </c>
      <c r="R205" s="82">
        <f t="shared" si="708"/>
        <v>741</v>
      </c>
      <c r="S205" s="63">
        <f>Q205</f>
        <v>741</v>
      </c>
      <c r="T205" s="63">
        <f>S205</f>
        <v>741</v>
      </c>
      <c r="U205" s="63">
        <f t="shared" ref="U205:W215" si="709">T205</f>
        <v>741</v>
      </c>
      <c r="V205" s="63">
        <f t="shared" si="709"/>
        <v>741</v>
      </c>
      <c r="W205" s="82">
        <f t="shared" si="709"/>
        <v>741</v>
      </c>
      <c r="X205" s="63">
        <f>V205</f>
        <v>741</v>
      </c>
      <c r="Y205" s="63">
        <f>X205</f>
        <v>741</v>
      </c>
      <c r="Z205" s="63">
        <f t="shared" ref="Z205:AB215" si="710">Y205</f>
        <v>741</v>
      </c>
      <c r="AA205" s="63">
        <f t="shared" si="710"/>
        <v>741</v>
      </c>
      <c r="AB205" s="82">
        <f t="shared" si="710"/>
        <v>741</v>
      </c>
      <c r="AC205" s="63">
        <f>AA205</f>
        <v>741</v>
      </c>
      <c r="AD205" s="63">
        <f>AC205</f>
        <v>741</v>
      </c>
      <c r="AE205" s="63">
        <f t="shared" ref="AE205:AG215" si="711">AD205</f>
        <v>741</v>
      </c>
      <c r="AF205" s="63">
        <f t="shared" si="711"/>
        <v>741</v>
      </c>
      <c r="AG205" s="82">
        <f t="shared" si="711"/>
        <v>741</v>
      </c>
      <c r="AH205" s="63">
        <f>AF205</f>
        <v>741</v>
      </c>
      <c r="AI205" s="63">
        <f>AH205</f>
        <v>741</v>
      </c>
      <c r="AJ205" s="63">
        <f t="shared" ref="AJ205:AL215" si="712">AI205</f>
        <v>741</v>
      </c>
      <c r="AK205" s="63">
        <f t="shared" si="712"/>
        <v>741</v>
      </c>
      <c r="AL205" s="82">
        <f t="shared" si="712"/>
        <v>741</v>
      </c>
      <c r="AM205" s="63">
        <f>AK205</f>
        <v>741</v>
      </c>
      <c r="AN205" s="63">
        <f>AM205</f>
        <v>741</v>
      </c>
      <c r="AO205" s="63">
        <f t="shared" ref="AO205:AO206" si="713">AN205</f>
        <v>741</v>
      </c>
      <c r="AP205" s="63">
        <f t="shared" ref="AP205:AP206" si="714">AO205</f>
        <v>741</v>
      </c>
      <c r="AQ205" s="82">
        <f t="shared" ref="AQ205:AQ210" si="715">AP205</f>
        <v>741</v>
      </c>
    </row>
    <row r="206" spans="1:43" outlineLevel="1" x14ac:dyDescent="0.25">
      <c r="A206" s="371"/>
      <c r="B206" s="395" t="s">
        <v>273</v>
      </c>
      <c r="C206" s="396"/>
      <c r="D206" s="81">
        <v>0</v>
      </c>
      <c r="E206" s="81">
        <v>0</v>
      </c>
      <c r="F206" s="81">
        <v>0</v>
      </c>
      <c r="G206" s="81">
        <v>1291.7</v>
      </c>
      <c r="H206" s="82">
        <f t="shared" si="706"/>
        <v>1291.7</v>
      </c>
      <c r="I206" s="81">
        <v>1414</v>
      </c>
      <c r="J206" s="81">
        <v>86.7</v>
      </c>
      <c r="K206" s="81">
        <v>90.9</v>
      </c>
      <c r="L206" s="81">
        <v>98.2</v>
      </c>
      <c r="M206" s="82">
        <f t="shared" si="707"/>
        <v>98.2</v>
      </c>
      <c r="N206" s="81">
        <v>149.69999999999999</v>
      </c>
      <c r="O206" s="81">
        <v>117</v>
      </c>
      <c r="P206" s="81">
        <v>204.8</v>
      </c>
      <c r="Q206" s="63">
        <f t="shared" ref="Q206" si="716">P206</f>
        <v>204.8</v>
      </c>
      <c r="R206" s="82">
        <f t="shared" si="708"/>
        <v>204.8</v>
      </c>
      <c r="S206" s="63">
        <f t="shared" ref="S206" si="717">Q206</f>
        <v>204.8</v>
      </c>
      <c r="T206" s="63">
        <f t="shared" ref="T206:V206" si="718">S206</f>
        <v>204.8</v>
      </c>
      <c r="U206" s="63">
        <f t="shared" si="718"/>
        <v>204.8</v>
      </c>
      <c r="V206" s="63">
        <f t="shared" si="718"/>
        <v>204.8</v>
      </c>
      <c r="W206" s="82">
        <f t="shared" si="709"/>
        <v>204.8</v>
      </c>
      <c r="X206" s="63">
        <f t="shared" ref="X206" si="719">V206</f>
        <v>204.8</v>
      </c>
      <c r="Y206" s="63">
        <f t="shared" ref="Y206:AA206" si="720">X206</f>
        <v>204.8</v>
      </c>
      <c r="Z206" s="63">
        <f t="shared" si="720"/>
        <v>204.8</v>
      </c>
      <c r="AA206" s="63">
        <f t="shared" si="720"/>
        <v>204.8</v>
      </c>
      <c r="AB206" s="82">
        <f t="shared" si="710"/>
        <v>204.8</v>
      </c>
      <c r="AC206" s="63">
        <f t="shared" ref="AC206" si="721">AA206</f>
        <v>204.8</v>
      </c>
      <c r="AD206" s="63">
        <f t="shared" ref="AD206:AF206" si="722">AC206</f>
        <v>204.8</v>
      </c>
      <c r="AE206" s="63">
        <f t="shared" si="722"/>
        <v>204.8</v>
      </c>
      <c r="AF206" s="63">
        <f t="shared" si="722"/>
        <v>204.8</v>
      </c>
      <c r="AG206" s="82">
        <f t="shared" si="711"/>
        <v>204.8</v>
      </c>
      <c r="AH206" s="63">
        <f t="shared" ref="AH206" si="723">AF206</f>
        <v>204.8</v>
      </c>
      <c r="AI206" s="63">
        <f t="shared" ref="AI206:AK206" si="724">AH206</f>
        <v>204.8</v>
      </c>
      <c r="AJ206" s="63">
        <f t="shared" si="724"/>
        <v>204.8</v>
      </c>
      <c r="AK206" s="63">
        <f t="shared" si="724"/>
        <v>204.8</v>
      </c>
      <c r="AL206" s="82">
        <f t="shared" si="712"/>
        <v>204.8</v>
      </c>
      <c r="AM206" s="63">
        <f t="shared" ref="AM206" si="725">AK206</f>
        <v>204.8</v>
      </c>
      <c r="AN206" s="63">
        <f t="shared" ref="AN206" si="726">AM206</f>
        <v>204.8</v>
      </c>
      <c r="AO206" s="63">
        <f t="shared" si="713"/>
        <v>204.8</v>
      </c>
      <c r="AP206" s="63">
        <f t="shared" si="714"/>
        <v>204.8</v>
      </c>
      <c r="AQ206" s="82">
        <f t="shared" si="715"/>
        <v>204.8</v>
      </c>
    </row>
    <row r="207" spans="1:43" outlineLevel="1" x14ac:dyDescent="0.25">
      <c r="A207" s="371"/>
      <c r="B207" s="395" t="s">
        <v>274</v>
      </c>
      <c r="C207" s="396"/>
      <c r="D207" s="81">
        <v>0</v>
      </c>
      <c r="E207" s="81">
        <v>0</v>
      </c>
      <c r="F207" s="81">
        <v>0</v>
      </c>
      <c r="G207" s="81">
        <v>0</v>
      </c>
      <c r="H207" s="82">
        <f t="shared" si="706"/>
        <v>0</v>
      </c>
      <c r="I207" s="81">
        <v>1268.9000000000001</v>
      </c>
      <c r="J207" s="81">
        <v>1253.5</v>
      </c>
      <c r="K207" s="81">
        <v>1237.0999999999999</v>
      </c>
      <c r="L207" s="81">
        <v>1248.8</v>
      </c>
      <c r="M207" s="82">
        <f t="shared" si="707"/>
        <v>1248.8</v>
      </c>
      <c r="N207" s="81">
        <v>1267.5999999999999</v>
      </c>
      <c r="O207" s="81">
        <v>1296.4000000000001</v>
      </c>
      <c r="P207" s="81">
        <v>1308.4000000000001</v>
      </c>
      <c r="Q207" s="63">
        <f>P207*0.99</f>
        <v>1295.316</v>
      </c>
      <c r="R207" s="82">
        <f t="shared" si="708"/>
        <v>1295.316</v>
      </c>
      <c r="S207" s="63">
        <f>Q207*0.99</f>
        <v>1282.36284</v>
      </c>
      <c r="T207" s="63">
        <f>S207*0.99</f>
        <v>1269.5392116</v>
      </c>
      <c r="U207" s="63">
        <f>T207*0.99</f>
        <v>1256.8438194840001</v>
      </c>
      <c r="V207" s="63">
        <f>U207*0.99</f>
        <v>1244.2753812891601</v>
      </c>
      <c r="W207" s="82">
        <f t="shared" si="709"/>
        <v>1244.2753812891601</v>
      </c>
      <c r="X207" s="63">
        <f>V207*0.99</f>
        <v>1231.8326274762685</v>
      </c>
      <c r="Y207" s="63">
        <f>X207*0.99</f>
        <v>1219.5143012015058</v>
      </c>
      <c r="Z207" s="63">
        <f>Y207*0.99</f>
        <v>1207.3191581894907</v>
      </c>
      <c r="AA207" s="63">
        <f>Z207*0.99</f>
        <v>1195.2459666075958</v>
      </c>
      <c r="AB207" s="82">
        <f t="shared" si="710"/>
        <v>1195.2459666075958</v>
      </c>
      <c r="AC207" s="63">
        <f>AA207*0.99</f>
        <v>1183.2935069415198</v>
      </c>
      <c r="AD207" s="63">
        <f>AC207*0.99</f>
        <v>1171.4605718721045</v>
      </c>
      <c r="AE207" s="63">
        <f>AD207*0.99</f>
        <v>1159.7459661533835</v>
      </c>
      <c r="AF207" s="63">
        <f>AE207*0.99</f>
        <v>1148.1485064918497</v>
      </c>
      <c r="AG207" s="82">
        <f t="shared" si="711"/>
        <v>1148.1485064918497</v>
      </c>
      <c r="AH207" s="63">
        <f>AF207*0.99</f>
        <v>1136.6670214269311</v>
      </c>
      <c r="AI207" s="63">
        <f>AH207*0.99</f>
        <v>1125.3003512126618</v>
      </c>
      <c r="AJ207" s="63">
        <f>AI207*0.99</f>
        <v>1114.0473477005351</v>
      </c>
      <c r="AK207" s="63">
        <f>AJ207*0.99</f>
        <v>1102.9068742235297</v>
      </c>
      <c r="AL207" s="82">
        <f t="shared" si="712"/>
        <v>1102.9068742235297</v>
      </c>
      <c r="AM207" s="63">
        <f>AK207*0.99</f>
        <v>1091.8778054812944</v>
      </c>
      <c r="AN207" s="63">
        <f>AM207*0.99</f>
        <v>1080.9590274264815</v>
      </c>
      <c r="AO207" s="63">
        <f>AN207*0.99</f>
        <v>1070.1494371522167</v>
      </c>
      <c r="AP207" s="63">
        <f>AO207*0.99</f>
        <v>1059.4479427806946</v>
      </c>
      <c r="AQ207" s="82">
        <f t="shared" si="715"/>
        <v>1059.4479427806946</v>
      </c>
    </row>
    <row r="208" spans="1:43" outlineLevel="1" x14ac:dyDescent="0.25">
      <c r="A208" s="371"/>
      <c r="B208" s="395" t="s">
        <v>208</v>
      </c>
      <c r="C208" s="396"/>
      <c r="D208" s="81">
        <v>1554.2</v>
      </c>
      <c r="E208" s="81">
        <v>1311.4</v>
      </c>
      <c r="F208" s="81">
        <v>1300.2</v>
      </c>
      <c r="G208" s="81">
        <v>1269</v>
      </c>
      <c r="H208" s="82">
        <f t="shared" si="706"/>
        <v>1269</v>
      </c>
      <c r="I208" s="81">
        <v>1694.1</v>
      </c>
      <c r="J208" s="81">
        <v>1436.3</v>
      </c>
      <c r="K208" s="81">
        <v>1463.3</v>
      </c>
      <c r="L208" s="81">
        <v>1456.5</v>
      </c>
      <c r="M208" s="82">
        <f t="shared" si="707"/>
        <v>1456.5</v>
      </c>
      <c r="N208" s="81">
        <v>1871.2</v>
      </c>
      <c r="O208" s="81">
        <v>1622.1</v>
      </c>
      <c r="P208" s="81">
        <v>1628.3</v>
      </c>
      <c r="Q208" s="63">
        <f>P208*0.99</f>
        <v>1612.0170000000001</v>
      </c>
      <c r="R208" s="82">
        <f t="shared" si="708"/>
        <v>1612.0170000000001</v>
      </c>
      <c r="S208" s="63">
        <f>Q208*1.3</f>
        <v>2095.6221</v>
      </c>
      <c r="T208" s="63">
        <f>S208*0.85</f>
        <v>1781.278785</v>
      </c>
      <c r="U208" s="63">
        <f>T208*0.99</f>
        <v>1763.46599715</v>
      </c>
      <c r="V208" s="63">
        <f>U208*0.99</f>
        <v>1745.8313371785</v>
      </c>
      <c r="W208" s="82">
        <f t="shared" si="709"/>
        <v>1745.8313371785</v>
      </c>
      <c r="X208" s="63">
        <f>V208*1.3</f>
        <v>2269.5807383320503</v>
      </c>
      <c r="Y208" s="63">
        <f>X208*0.85</f>
        <v>1929.1436275822427</v>
      </c>
      <c r="Z208" s="63">
        <f>Y208*0.99</f>
        <v>1909.8521913064203</v>
      </c>
      <c r="AA208" s="63">
        <f>Z208*0.99</f>
        <v>1890.7536693933562</v>
      </c>
      <c r="AB208" s="82">
        <f t="shared" si="710"/>
        <v>1890.7536693933562</v>
      </c>
      <c r="AC208" s="63">
        <f>AA208*1.3</f>
        <v>2457.9797702113633</v>
      </c>
      <c r="AD208" s="63">
        <f>AC208*0.85</f>
        <v>2089.282804679659</v>
      </c>
      <c r="AE208" s="63">
        <f>AD208*0.99</f>
        <v>2068.3899766328623</v>
      </c>
      <c r="AF208" s="63">
        <f>AE208*0.99</f>
        <v>2047.7060768665335</v>
      </c>
      <c r="AG208" s="82">
        <f t="shared" si="711"/>
        <v>2047.7060768665335</v>
      </c>
      <c r="AH208" s="63">
        <f>AF208*1.3</f>
        <v>2662.0178999264936</v>
      </c>
      <c r="AI208" s="63">
        <f>AH208*0.85</f>
        <v>2262.7152149375192</v>
      </c>
      <c r="AJ208" s="63">
        <f>AI208*0.99</f>
        <v>2240.0880627881438</v>
      </c>
      <c r="AK208" s="63">
        <f>AJ208*0.99</f>
        <v>2217.6871821602622</v>
      </c>
      <c r="AL208" s="82">
        <f t="shared" si="712"/>
        <v>2217.6871821602622</v>
      </c>
      <c r="AM208" s="63">
        <f>AK208*1.3</f>
        <v>2882.9933368083412</v>
      </c>
      <c r="AN208" s="63">
        <f>AM208*0.85</f>
        <v>2450.5443362870901</v>
      </c>
      <c r="AO208" s="63">
        <f>AN208*0.99</f>
        <v>2426.038892924219</v>
      </c>
      <c r="AP208" s="63">
        <f>AO208*0.99</f>
        <v>2401.7785039949767</v>
      </c>
      <c r="AQ208" s="82">
        <f t="shared" si="715"/>
        <v>2401.7785039949767</v>
      </c>
    </row>
    <row r="209" spans="1:43" outlineLevel="1" x14ac:dyDescent="0.25">
      <c r="A209" s="371"/>
      <c r="B209" s="395" t="s">
        <v>278</v>
      </c>
      <c r="C209" s="369"/>
      <c r="D209" s="81">
        <v>0</v>
      </c>
      <c r="E209" s="81">
        <f>75+0</f>
        <v>75</v>
      </c>
      <c r="F209" s="81">
        <v>0</v>
      </c>
      <c r="G209" s="81">
        <v>0</v>
      </c>
      <c r="H209" s="82">
        <f t="shared" si="706"/>
        <v>0</v>
      </c>
      <c r="I209" s="81">
        <f>497.9+498.7</f>
        <v>996.59999999999991</v>
      </c>
      <c r="J209" s="81">
        <f>1107.1+1249.4</f>
        <v>2356.5</v>
      </c>
      <c r="K209" s="81">
        <f>936.5+1249.6</f>
        <v>2186.1</v>
      </c>
      <c r="L209" s="81">
        <f>438.8+1249.9</f>
        <v>1688.7</v>
      </c>
      <c r="M209" s="82">
        <f t="shared" si="707"/>
        <v>1688.7</v>
      </c>
      <c r="N209" s="81">
        <f>492.6+750</f>
        <v>1242.5999999999999</v>
      </c>
      <c r="O209" s="81">
        <v>18.3</v>
      </c>
      <c r="P209" s="81">
        <v>998.9</v>
      </c>
      <c r="Q209" s="63">
        <f>P209-250</f>
        <v>748.9</v>
      </c>
      <c r="R209" s="82">
        <f t="shared" si="708"/>
        <v>748.9</v>
      </c>
      <c r="S209" s="63">
        <f>Q209-250+1000-250</f>
        <v>1248.9000000000001</v>
      </c>
      <c r="T209" s="63">
        <f>S209-250-250</f>
        <v>748.90000000000009</v>
      </c>
      <c r="U209" s="63">
        <f>T209-249-250</f>
        <v>249.90000000000009</v>
      </c>
      <c r="V209" s="63">
        <f>U209-250</f>
        <v>-9.9999999999909051E-2</v>
      </c>
      <c r="W209" s="82">
        <f t="shared" si="709"/>
        <v>-9.9999999999909051E-2</v>
      </c>
      <c r="X209" s="63">
        <f>V209+1000-250</f>
        <v>749.90000000000009</v>
      </c>
      <c r="Y209" s="63">
        <f>X209-250</f>
        <v>499.90000000000009</v>
      </c>
      <c r="Z209" s="63">
        <f>Y209-250</f>
        <v>249.90000000000009</v>
      </c>
      <c r="AA209" s="63">
        <f>Z209-250</f>
        <v>-9.9999999999909051E-2</v>
      </c>
      <c r="AB209" s="82">
        <f t="shared" si="710"/>
        <v>-9.9999999999909051E-2</v>
      </c>
      <c r="AC209" s="63">
        <f>1543-385.75</f>
        <v>1157.25</v>
      </c>
      <c r="AD209" s="63">
        <f>AC209-385.75</f>
        <v>771.5</v>
      </c>
      <c r="AE209" s="63">
        <f>AD209-385.75</f>
        <v>385.75</v>
      </c>
      <c r="AF209" s="63">
        <f>AE209-385.75</f>
        <v>0</v>
      </c>
      <c r="AG209" s="82">
        <f t="shared" si="711"/>
        <v>0</v>
      </c>
      <c r="AH209" s="63">
        <f>AF209+1250-312.5</f>
        <v>937.5</v>
      </c>
      <c r="AI209" s="63">
        <f>AH209-312.5</f>
        <v>625</v>
      </c>
      <c r="AJ209" s="63">
        <f>AI209-312.5</f>
        <v>312.5</v>
      </c>
      <c r="AK209" s="63">
        <f>AJ209-312.5</f>
        <v>0</v>
      </c>
      <c r="AL209" s="82">
        <f t="shared" si="712"/>
        <v>0</v>
      </c>
      <c r="AM209" s="63">
        <f>AK209+1250-312.5</f>
        <v>937.5</v>
      </c>
      <c r="AN209" s="63">
        <f>AM209-312.5</f>
        <v>625</v>
      </c>
      <c r="AO209" s="63">
        <f>AN209-312.5</f>
        <v>312.5</v>
      </c>
      <c r="AP209" s="63">
        <f>AO209-312.5</f>
        <v>0</v>
      </c>
      <c r="AQ209" s="82">
        <f t="shared" si="715"/>
        <v>0</v>
      </c>
    </row>
    <row r="210" spans="1:43" ht="17.25" outlineLevel="1" x14ac:dyDescent="0.4">
      <c r="A210" s="371"/>
      <c r="B210" s="395" t="s">
        <v>271</v>
      </c>
      <c r="C210" s="369"/>
      <c r="D210" s="247">
        <v>208.8</v>
      </c>
      <c r="E210" s="247">
        <v>221</v>
      </c>
      <c r="F210" s="247">
        <v>211.5</v>
      </c>
      <c r="G210" s="247">
        <v>0</v>
      </c>
      <c r="H210" s="240">
        <f t="shared" si="706"/>
        <v>0</v>
      </c>
      <c r="I210" s="247">
        <v>0</v>
      </c>
      <c r="J210" s="247">
        <v>0</v>
      </c>
      <c r="K210" s="247">
        <v>0</v>
      </c>
      <c r="L210" s="247">
        <v>0</v>
      </c>
      <c r="M210" s="240">
        <f t="shared" si="707"/>
        <v>0</v>
      </c>
      <c r="N210" s="247">
        <v>0</v>
      </c>
      <c r="O210" s="247">
        <v>0</v>
      </c>
      <c r="P210" s="247">
        <v>0</v>
      </c>
      <c r="Q210" s="61">
        <v>0</v>
      </c>
      <c r="R210" s="240">
        <f t="shared" si="708"/>
        <v>0</v>
      </c>
      <c r="S210" s="61">
        <v>0</v>
      </c>
      <c r="T210" s="61">
        <v>0</v>
      </c>
      <c r="U210" s="61">
        <v>0</v>
      </c>
      <c r="V210" s="61">
        <v>0</v>
      </c>
      <c r="W210" s="240">
        <f t="shared" si="709"/>
        <v>0</v>
      </c>
      <c r="X210" s="61">
        <v>0</v>
      </c>
      <c r="Y210" s="61">
        <v>0</v>
      </c>
      <c r="Z210" s="61">
        <v>0</v>
      </c>
      <c r="AA210" s="61">
        <v>0</v>
      </c>
      <c r="AB210" s="240">
        <f t="shared" si="710"/>
        <v>0</v>
      </c>
      <c r="AC210" s="61">
        <v>0</v>
      </c>
      <c r="AD210" s="61">
        <v>0</v>
      </c>
      <c r="AE210" s="61">
        <v>0</v>
      </c>
      <c r="AF210" s="61">
        <v>0</v>
      </c>
      <c r="AG210" s="240">
        <f t="shared" si="711"/>
        <v>0</v>
      </c>
      <c r="AH210" s="61">
        <v>0</v>
      </c>
      <c r="AI210" s="61">
        <v>0</v>
      </c>
      <c r="AJ210" s="61">
        <v>0</v>
      </c>
      <c r="AK210" s="61">
        <v>0</v>
      </c>
      <c r="AL210" s="240">
        <f t="shared" si="712"/>
        <v>0</v>
      </c>
      <c r="AM210" s="61">
        <v>0</v>
      </c>
      <c r="AN210" s="61">
        <v>0</v>
      </c>
      <c r="AO210" s="61">
        <v>0</v>
      </c>
      <c r="AP210" s="61">
        <v>0</v>
      </c>
      <c r="AQ210" s="240">
        <f t="shared" si="715"/>
        <v>0</v>
      </c>
    </row>
    <row r="211" spans="1:43" outlineLevel="1" x14ac:dyDescent="0.25">
      <c r="A211" s="371"/>
      <c r="B211" s="397" t="s">
        <v>8</v>
      </c>
      <c r="C211" s="369"/>
      <c r="D211" s="80">
        <f t="shared" ref="D211:K211" si="727">SUM(D203:D210)</f>
        <v>5427.5</v>
      </c>
      <c r="E211" s="80">
        <f t="shared" si="727"/>
        <v>5273.4</v>
      </c>
      <c r="F211" s="80">
        <f t="shared" si="727"/>
        <v>5895.8</v>
      </c>
      <c r="G211" s="80">
        <f t="shared" si="727"/>
        <v>6168.7</v>
      </c>
      <c r="H211" s="241">
        <f t="shared" si="727"/>
        <v>6168.7</v>
      </c>
      <c r="I211" s="80">
        <f t="shared" si="727"/>
        <v>8675.5</v>
      </c>
      <c r="J211" s="80">
        <f t="shared" si="727"/>
        <v>8265.7999999999993</v>
      </c>
      <c r="K211" s="80">
        <f t="shared" si="727"/>
        <v>8002</v>
      </c>
      <c r="L211" s="80">
        <f t="shared" ref="L211:AL211" si="728">SUM(L203:L209)</f>
        <v>7346.7999999999993</v>
      </c>
      <c r="M211" s="241">
        <f t="shared" si="728"/>
        <v>7346.7999999999993</v>
      </c>
      <c r="N211" s="80">
        <f t="shared" si="728"/>
        <v>7883.9</v>
      </c>
      <c r="O211" s="80">
        <f t="shared" si="728"/>
        <v>6505.0999999999995</v>
      </c>
      <c r="P211" s="80">
        <f t="shared" si="728"/>
        <v>7799.8</v>
      </c>
      <c r="Q211" s="80">
        <f t="shared" si="728"/>
        <v>7946.2792483048333</v>
      </c>
      <c r="R211" s="241">
        <f t="shared" si="728"/>
        <v>7946.2792483048333</v>
      </c>
      <c r="S211" s="80">
        <f t="shared" si="728"/>
        <v>8874.4679638639282</v>
      </c>
      <c r="T211" s="80">
        <f t="shared" si="728"/>
        <v>8017.6179690002173</v>
      </c>
      <c r="U211" s="80">
        <f t="shared" si="728"/>
        <v>7844.61038545663</v>
      </c>
      <c r="V211" s="80">
        <f t="shared" si="728"/>
        <v>7713.3262907656535</v>
      </c>
      <c r="W211" s="241">
        <f t="shared" si="728"/>
        <v>7713.3262907656535</v>
      </c>
      <c r="X211" s="80">
        <f t="shared" si="728"/>
        <v>8745.7341833743103</v>
      </c>
      <c r="Y211" s="80">
        <f t="shared" si="728"/>
        <v>8132.8052112851128</v>
      </c>
      <c r="Z211" s="80">
        <f t="shared" si="728"/>
        <v>8298.593922052105</v>
      </c>
      <c r="AA211" s="80">
        <f t="shared" si="728"/>
        <v>7943.4297276894104</v>
      </c>
      <c r="AB211" s="241">
        <f t="shared" si="728"/>
        <v>7943.4297276894104</v>
      </c>
      <c r="AC211" s="80">
        <f t="shared" si="728"/>
        <v>9511.0591271407247</v>
      </c>
      <c r="AD211" s="80">
        <f t="shared" si="728"/>
        <v>8776.7929539663946</v>
      </c>
      <c r="AE211" s="80">
        <f t="shared" si="728"/>
        <v>8930.1212906489127</v>
      </c>
      <c r="AF211" s="80">
        <f t="shared" si="728"/>
        <v>8353.8489805053341</v>
      </c>
      <c r="AG211" s="241">
        <f t="shared" si="728"/>
        <v>8353.8489805053341</v>
      </c>
      <c r="AH211" s="80">
        <f t="shared" si="728"/>
        <v>9723.1775290475325</v>
      </c>
      <c r="AI211" s="80">
        <f t="shared" si="728"/>
        <v>9042.3937755675815</v>
      </c>
      <c r="AJ211" s="80">
        <f t="shared" si="728"/>
        <v>9300.1325903718189</v>
      </c>
      <c r="AK211" s="80">
        <f t="shared" si="728"/>
        <v>8810.6953968167254</v>
      </c>
      <c r="AL211" s="241">
        <f t="shared" si="728"/>
        <v>8810.6953968167254</v>
      </c>
      <c r="AM211" s="80">
        <f t="shared" ref="AM211:AQ211" si="729">SUM(AM203:AM209)</f>
        <v>10210.443084692548</v>
      </c>
      <c r="AN211" s="80">
        <f t="shared" si="729"/>
        <v>9498.9619325359636</v>
      </c>
      <c r="AO211" s="80">
        <f t="shared" si="729"/>
        <v>9806.7777231780201</v>
      </c>
      <c r="AP211" s="80">
        <f t="shared" si="729"/>
        <v>9296.1365842178911</v>
      </c>
      <c r="AQ211" s="241">
        <f t="shared" si="729"/>
        <v>9296.1365842178911</v>
      </c>
    </row>
    <row r="212" spans="1:43" outlineLevel="1" x14ac:dyDescent="0.25">
      <c r="A212" s="371"/>
      <c r="B212" s="395" t="s">
        <v>209</v>
      </c>
      <c r="C212" s="369"/>
      <c r="D212" s="81">
        <v>9130.7000000000007</v>
      </c>
      <c r="E212" s="81">
        <v>9141.5</v>
      </c>
      <c r="F212" s="81">
        <v>11159.1</v>
      </c>
      <c r="G212" s="81">
        <v>11167</v>
      </c>
      <c r="H212" s="82">
        <f t="shared" si="706"/>
        <v>11167</v>
      </c>
      <c r="I212" s="81">
        <v>10653.2</v>
      </c>
      <c r="J212" s="81">
        <v>11658.7</v>
      </c>
      <c r="K212" s="81">
        <v>14645.6</v>
      </c>
      <c r="L212" s="81">
        <v>14659.6</v>
      </c>
      <c r="M212" s="82">
        <f t="shared" si="707"/>
        <v>14659.6</v>
      </c>
      <c r="N212" s="81">
        <v>14673.5</v>
      </c>
      <c r="O212" s="81">
        <v>14630.3</v>
      </c>
      <c r="P212" s="81">
        <v>13619.2</v>
      </c>
      <c r="Q212" s="63">
        <f>P212</f>
        <v>13619.2</v>
      </c>
      <c r="R212" s="82">
        <f t="shared" si="708"/>
        <v>13619.2</v>
      </c>
      <c r="S212" s="63">
        <f>Q212-1000</f>
        <v>12619.2</v>
      </c>
      <c r="T212" s="63">
        <f>S212</f>
        <v>12619.2</v>
      </c>
      <c r="U212" s="63">
        <f t="shared" ref="U212:V212" si="730">T212</f>
        <v>12619.2</v>
      </c>
      <c r="V212" s="63">
        <f t="shared" si="730"/>
        <v>12619.2</v>
      </c>
      <c r="W212" s="82">
        <f t="shared" si="709"/>
        <v>12619.2</v>
      </c>
      <c r="X212" s="63">
        <f>V212-1000</f>
        <v>11619.2</v>
      </c>
      <c r="Y212" s="63">
        <f>X212</f>
        <v>11619.2</v>
      </c>
      <c r="Z212" s="63">
        <f t="shared" ref="Z212" si="731">Y212</f>
        <v>11619.2</v>
      </c>
      <c r="AA212" s="63">
        <f>Z212</f>
        <v>11619.2</v>
      </c>
      <c r="AB212" s="82">
        <f t="shared" si="710"/>
        <v>11619.2</v>
      </c>
      <c r="AC212" s="63">
        <f>AA212-1516.7</f>
        <v>10102.5</v>
      </c>
      <c r="AD212" s="63">
        <f>AC212</f>
        <v>10102.5</v>
      </c>
      <c r="AE212" s="63">
        <f t="shared" ref="AE212" si="732">AD212</f>
        <v>10102.5</v>
      </c>
      <c r="AF212" s="63">
        <f>AE212</f>
        <v>10102.5</v>
      </c>
      <c r="AG212" s="82">
        <f t="shared" si="711"/>
        <v>10102.5</v>
      </c>
      <c r="AH212" s="63">
        <f>AF212-1250</f>
        <v>8852.5</v>
      </c>
      <c r="AI212" s="63">
        <f>AH212</f>
        <v>8852.5</v>
      </c>
      <c r="AJ212" s="63">
        <f t="shared" ref="AJ212" si="733">AI212</f>
        <v>8852.5</v>
      </c>
      <c r="AK212" s="63">
        <f>AJ212</f>
        <v>8852.5</v>
      </c>
      <c r="AL212" s="82">
        <f t="shared" si="712"/>
        <v>8852.5</v>
      </c>
      <c r="AM212" s="63">
        <f>AK212-1250</f>
        <v>7602.5</v>
      </c>
      <c r="AN212" s="63">
        <f>AM212</f>
        <v>7602.5</v>
      </c>
      <c r="AO212" s="63">
        <f t="shared" ref="AO212" si="734">AN212</f>
        <v>7602.5</v>
      </c>
      <c r="AP212" s="63">
        <f>AO212</f>
        <v>7602.5</v>
      </c>
      <c r="AQ212" s="82">
        <f t="shared" ref="AQ212:AQ213" si="735">AP212</f>
        <v>7602.5</v>
      </c>
    </row>
    <row r="213" spans="1:43" outlineLevel="1" x14ac:dyDescent="0.25">
      <c r="A213" s="371"/>
      <c r="B213" s="395" t="s">
        <v>279</v>
      </c>
      <c r="C213" s="228"/>
      <c r="D213" s="81">
        <v>0</v>
      </c>
      <c r="E213" s="81">
        <v>0</v>
      </c>
      <c r="F213" s="81">
        <v>0</v>
      </c>
      <c r="G213" s="81">
        <v>0</v>
      </c>
      <c r="H213" s="82">
        <f t="shared" si="706"/>
        <v>0</v>
      </c>
      <c r="I213" s="81">
        <v>7711.7</v>
      </c>
      <c r="J213" s="81">
        <v>7650.4</v>
      </c>
      <c r="K213" s="81">
        <v>7653.6</v>
      </c>
      <c r="L213" s="81">
        <v>7661.7</v>
      </c>
      <c r="M213" s="82">
        <f>L213</f>
        <v>7661.7</v>
      </c>
      <c r="N213" s="81">
        <v>7754.5</v>
      </c>
      <c r="O213" s="81">
        <v>7577.7</v>
      </c>
      <c r="P213" s="81">
        <v>7597.8</v>
      </c>
      <c r="Q213" s="63">
        <f>P213*0.99</f>
        <v>7521.8220000000001</v>
      </c>
      <c r="R213" s="82">
        <f>Q213</f>
        <v>7521.8220000000001</v>
      </c>
      <c r="S213" s="63">
        <f>Q213*0.99</f>
        <v>7446.6037800000004</v>
      </c>
      <c r="T213" s="63">
        <f>S213*0.99</f>
        <v>7372.1377422000005</v>
      </c>
      <c r="U213" s="63">
        <f>T213*0.99</f>
        <v>7298.4163647780006</v>
      </c>
      <c r="V213" s="63">
        <f>U213*0.99</f>
        <v>7225.4322011302202</v>
      </c>
      <c r="W213" s="82">
        <f>V213</f>
        <v>7225.4322011302202</v>
      </c>
      <c r="X213" s="63">
        <f>V213*0.99</f>
        <v>7153.1778791189181</v>
      </c>
      <c r="Y213" s="63">
        <f>X213*0.99</f>
        <v>7081.6461003277291</v>
      </c>
      <c r="Z213" s="63">
        <f>Y213*0.99</f>
        <v>7010.8296393244518</v>
      </c>
      <c r="AA213" s="63">
        <f>Z213*0.99</f>
        <v>6940.7213429312069</v>
      </c>
      <c r="AB213" s="82">
        <f>AA213</f>
        <v>6940.7213429312069</v>
      </c>
      <c r="AC213" s="63">
        <f>AA213*0.99</f>
        <v>6871.314129501895</v>
      </c>
      <c r="AD213" s="63">
        <f>AC213*0.99</f>
        <v>6802.6009882068756</v>
      </c>
      <c r="AE213" s="63">
        <f>AD213*0.99</f>
        <v>6734.5749783248066</v>
      </c>
      <c r="AF213" s="63">
        <f>AE213*0.99</f>
        <v>6667.2292285415588</v>
      </c>
      <c r="AG213" s="82">
        <f>AF213</f>
        <v>6667.2292285415588</v>
      </c>
      <c r="AH213" s="63">
        <f>AF213*0.99</f>
        <v>6600.5569362561428</v>
      </c>
      <c r="AI213" s="63">
        <f>AH213*0.99</f>
        <v>6534.551366893581</v>
      </c>
      <c r="AJ213" s="63">
        <f>AI213*0.99</f>
        <v>6469.2058532246447</v>
      </c>
      <c r="AK213" s="63">
        <f>AJ213*0.99</f>
        <v>6404.5137946923978</v>
      </c>
      <c r="AL213" s="82">
        <f t="shared" si="712"/>
        <v>6404.5137946923978</v>
      </c>
      <c r="AM213" s="63">
        <f>AK213*0.99</f>
        <v>6340.4686567454737</v>
      </c>
      <c r="AN213" s="63">
        <f>AM213*0.99</f>
        <v>6277.0639701780192</v>
      </c>
      <c r="AO213" s="63">
        <f>AN213*0.99</f>
        <v>6214.2933304762391</v>
      </c>
      <c r="AP213" s="63">
        <f>AO213*0.99</f>
        <v>6152.1503971714765</v>
      </c>
      <c r="AQ213" s="82">
        <f t="shared" si="735"/>
        <v>6152.1503971714765</v>
      </c>
    </row>
    <row r="214" spans="1:43" outlineLevel="1" x14ac:dyDescent="0.25">
      <c r="A214" s="371"/>
      <c r="B214" s="395" t="s">
        <v>218</v>
      </c>
      <c r="C214" s="228"/>
      <c r="D214" s="81">
        <v>6823.7</v>
      </c>
      <c r="E214" s="81">
        <v>6761.9</v>
      </c>
      <c r="F214" s="81">
        <v>6717.9</v>
      </c>
      <c r="G214" s="81">
        <v>6744.4</v>
      </c>
      <c r="H214" s="82">
        <f>G214</f>
        <v>6744.4</v>
      </c>
      <c r="I214" s="81">
        <v>6748.8</v>
      </c>
      <c r="J214" s="81">
        <v>6685.5</v>
      </c>
      <c r="K214" s="81">
        <v>6642.6</v>
      </c>
      <c r="L214" s="81">
        <v>6598.5</v>
      </c>
      <c r="M214" s="82">
        <f>L214</f>
        <v>6598.5</v>
      </c>
      <c r="N214" s="81">
        <v>6597.7</v>
      </c>
      <c r="O214" s="81">
        <v>6532.1</v>
      </c>
      <c r="P214" s="81">
        <v>6491.4</v>
      </c>
      <c r="Q214" s="63">
        <f t="shared" ref="Q214" si="736">P214*0.996</f>
        <v>6465.4343999999992</v>
      </c>
      <c r="R214" s="82">
        <f>Q214</f>
        <v>6465.4343999999992</v>
      </c>
      <c r="S214" s="63">
        <f>Q214*0.996</f>
        <v>6439.572662399999</v>
      </c>
      <c r="T214" s="63">
        <f t="shared" ref="T214:V214" si="737">S214*0.996</f>
        <v>6413.814371750399</v>
      </c>
      <c r="U214" s="63">
        <f t="shared" si="737"/>
        <v>6388.159114263397</v>
      </c>
      <c r="V214" s="63">
        <f t="shared" si="737"/>
        <v>6362.6064778063437</v>
      </c>
      <c r="W214" s="82">
        <f>V214</f>
        <v>6362.6064778063437</v>
      </c>
      <c r="X214" s="63">
        <f>V214*0.996</f>
        <v>6337.1560518951183</v>
      </c>
      <c r="Y214" s="63">
        <f t="shared" ref="Y214:AA214" si="738">X214*0.996</f>
        <v>6311.8074276875377</v>
      </c>
      <c r="Z214" s="63">
        <f t="shared" si="738"/>
        <v>6286.5601979767871</v>
      </c>
      <c r="AA214" s="63">
        <f t="shared" si="738"/>
        <v>6261.41395718488</v>
      </c>
      <c r="AB214" s="82">
        <f>AA214</f>
        <v>6261.41395718488</v>
      </c>
      <c r="AC214" s="63">
        <f>AA214*0.996</f>
        <v>6236.3683013561404</v>
      </c>
      <c r="AD214" s="63">
        <f t="shared" ref="AD214:AF214" si="739">AC214*0.996</f>
        <v>6211.4228281507158</v>
      </c>
      <c r="AE214" s="63">
        <f t="shared" si="739"/>
        <v>6186.5771368381129</v>
      </c>
      <c r="AF214" s="63">
        <f t="shared" si="739"/>
        <v>6161.8308282907601</v>
      </c>
      <c r="AG214" s="82">
        <f>AF214</f>
        <v>6161.8308282907601</v>
      </c>
      <c r="AH214" s="63">
        <f>AF214*0.996</f>
        <v>6137.1835049775973</v>
      </c>
      <c r="AI214" s="63">
        <f t="shared" ref="AI214:AK214" si="740">AH214*0.996</f>
        <v>6112.6347709576867</v>
      </c>
      <c r="AJ214" s="63">
        <f t="shared" si="740"/>
        <v>6088.1842318738563</v>
      </c>
      <c r="AK214" s="63">
        <f t="shared" si="740"/>
        <v>6063.8314949463611</v>
      </c>
      <c r="AL214" s="82">
        <f>AK214</f>
        <v>6063.8314949463611</v>
      </c>
      <c r="AM214" s="63">
        <f>AK214*0.996</f>
        <v>6039.576168966576</v>
      </c>
      <c r="AN214" s="63">
        <f t="shared" ref="AN214" si="741">AM214*0.996</f>
        <v>6015.41786429071</v>
      </c>
      <c r="AO214" s="63">
        <f t="shared" ref="AO214" si="742">AN214*0.996</f>
        <v>5991.3561928335475</v>
      </c>
      <c r="AP214" s="63">
        <f t="shared" ref="AP214" si="743">AO214*0.996</f>
        <v>5967.3907680622133</v>
      </c>
      <c r="AQ214" s="82">
        <f>AP214</f>
        <v>5967.3907680622133</v>
      </c>
    </row>
    <row r="215" spans="1:43" ht="15.75" customHeight="1" outlineLevel="1" x14ac:dyDescent="0.4">
      <c r="A215" s="371"/>
      <c r="B215" s="586" t="s">
        <v>210</v>
      </c>
      <c r="C215" s="587"/>
      <c r="D215" s="247">
        <v>1478.2</v>
      </c>
      <c r="E215" s="247">
        <v>1500.3</v>
      </c>
      <c r="F215" s="247">
        <v>1440.6</v>
      </c>
      <c r="G215" s="247">
        <v>1370.5</v>
      </c>
      <c r="H215" s="240">
        <f t="shared" si="706"/>
        <v>1370.5</v>
      </c>
      <c r="I215" s="247">
        <v>701.2</v>
      </c>
      <c r="J215" s="247">
        <v>751.4</v>
      </c>
      <c r="K215" s="247">
        <v>821.1</v>
      </c>
      <c r="L215" s="247">
        <v>907.3</v>
      </c>
      <c r="M215" s="240">
        <f t="shared" si="707"/>
        <v>907.3</v>
      </c>
      <c r="N215" s="247">
        <v>962.8</v>
      </c>
      <c r="O215" s="247">
        <v>774.8</v>
      </c>
      <c r="P215" s="247">
        <v>762.9</v>
      </c>
      <c r="Q215" s="61">
        <f>P215*1.01</f>
        <v>770.529</v>
      </c>
      <c r="R215" s="240">
        <f t="shared" si="708"/>
        <v>770.529</v>
      </c>
      <c r="S215" s="61">
        <f>Q215*1.01</f>
        <v>778.23428999999999</v>
      </c>
      <c r="T215" s="61">
        <f>S215*1.01</f>
        <v>786.01663289999999</v>
      </c>
      <c r="U215" s="61">
        <f>T215*1.01</f>
        <v>793.87679922899997</v>
      </c>
      <c r="V215" s="61">
        <f>U215*1.01</f>
        <v>801.81556722128994</v>
      </c>
      <c r="W215" s="240">
        <f t="shared" si="709"/>
        <v>801.81556722128994</v>
      </c>
      <c r="X215" s="61">
        <f>V215*1.01</f>
        <v>809.8337228935028</v>
      </c>
      <c r="Y215" s="61">
        <f>X215*1.01</f>
        <v>817.93206012243786</v>
      </c>
      <c r="Z215" s="61">
        <f>Y215*1.01</f>
        <v>826.11138072366225</v>
      </c>
      <c r="AA215" s="61">
        <f>Z215*1.01</f>
        <v>834.37249453089885</v>
      </c>
      <c r="AB215" s="240">
        <f t="shared" si="710"/>
        <v>834.37249453089885</v>
      </c>
      <c r="AC215" s="61">
        <f>AA215*1.01</f>
        <v>842.71621947620781</v>
      </c>
      <c r="AD215" s="61">
        <f>AC215*1.01</f>
        <v>851.14338167096992</v>
      </c>
      <c r="AE215" s="61">
        <f>AD215*1.01</f>
        <v>859.65481548767957</v>
      </c>
      <c r="AF215" s="61">
        <f>AE215*1.01</f>
        <v>868.25136364255638</v>
      </c>
      <c r="AG215" s="240">
        <f t="shared" si="711"/>
        <v>868.25136364255638</v>
      </c>
      <c r="AH215" s="61">
        <f>AF215*1.01</f>
        <v>876.93387727898198</v>
      </c>
      <c r="AI215" s="61">
        <f>AH215*1.01</f>
        <v>885.70321605177185</v>
      </c>
      <c r="AJ215" s="61">
        <f>AI215*1.01</f>
        <v>894.56024821228959</v>
      </c>
      <c r="AK215" s="61">
        <f>AJ215*1.01</f>
        <v>903.50585069441252</v>
      </c>
      <c r="AL215" s="240">
        <f t="shared" si="712"/>
        <v>903.50585069441252</v>
      </c>
      <c r="AM215" s="61">
        <f>AK215*1.01</f>
        <v>912.54090920135661</v>
      </c>
      <c r="AN215" s="61">
        <f>AM215*1.01</f>
        <v>921.66631829337018</v>
      </c>
      <c r="AO215" s="61">
        <f>AN215*1.01</f>
        <v>930.88298147630394</v>
      </c>
      <c r="AP215" s="61">
        <f>AO215*1.01</f>
        <v>940.19181129106698</v>
      </c>
      <c r="AQ215" s="240">
        <f t="shared" ref="AQ215" si="744">AP215</f>
        <v>940.19181129106698</v>
      </c>
    </row>
    <row r="216" spans="1:43" outlineLevel="1" x14ac:dyDescent="0.25">
      <c r="A216" s="371"/>
      <c r="B216" s="588" t="s">
        <v>9</v>
      </c>
      <c r="C216" s="589"/>
      <c r="D216" s="80">
        <f t="shared" ref="D216" si="745">SUM(D211:D215)</f>
        <v>22860.100000000002</v>
      </c>
      <c r="E216" s="80">
        <f>SUM(E211:E215)</f>
        <v>22677.1</v>
      </c>
      <c r="F216" s="80">
        <f>SUM(F211:F215)</f>
        <v>25213.4</v>
      </c>
      <c r="G216" s="80">
        <f>SUM(G211:G215)</f>
        <v>25450.6</v>
      </c>
      <c r="H216" s="241">
        <f t="shared" ref="H216" si="746">SUM(H211:H215)</f>
        <v>25450.6</v>
      </c>
      <c r="I216" s="80">
        <f>SUM(I211:I215)</f>
        <v>34490.400000000001</v>
      </c>
      <c r="J216" s="80">
        <f>SUM(J211:J215)</f>
        <v>35011.800000000003</v>
      </c>
      <c r="K216" s="80">
        <f>SUM(K211:K215)</f>
        <v>37764.899999999994</v>
      </c>
      <c r="L216" s="80">
        <f>SUM(L211:L215)</f>
        <v>37173.900000000009</v>
      </c>
      <c r="M216" s="241">
        <f t="shared" ref="M216" si="747">SUM(M211:M215)</f>
        <v>37173.900000000009</v>
      </c>
      <c r="N216" s="80">
        <f>SUM(N211:N215)</f>
        <v>37872.400000000001</v>
      </c>
      <c r="O216" s="80">
        <f>SUM(O211:O215)</f>
        <v>36020</v>
      </c>
      <c r="P216" s="80">
        <f>SUM(P211:P215)</f>
        <v>36271.1</v>
      </c>
      <c r="Q216" s="80">
        <f>SUM(Q211:Q215)</f>
        <v>36323.264648304837</v>
      </c>
      <c r="R216" s="241">
        <f t="shared" ref="R216" si="748">SUM(R211:R215)</f>
        <v>36323.264648304837</v>
      </c>
      <c r="S216" s="80">
        <f>SUM(S211:S215)</f>
        <v>36158.078696263932</v>
      </c>
      <c r="T216" s="80">
        <f>SUM(T211:T215)</f>
        <v>35208.78671585062</v>
      </c>
      <c r="U216" s="80">
        <f>SUM(U211:U215)</f>
        <v>34944.26266372703</v>
      </c>
      <c r="V216" s="80">
        <f>SUM(V211:V215)</f>
        <v>34722.380536923505</v>
      </c>
      <c r="W216" s="241">
        <f t="shared" ref="W216" si="749">SUM(W211:W215)</f>
        <v>34722.380536923505</v>
      </c>
      <c r="X216" s="80">
        <f>SUM(X211:X215)</f>
        <v>34665.101837281851</v>
      </c>
      <c r="Y216" s="80">
        <f>SUM(Y211:Y215)</f>
        <v>33963.390799422814</v>
      </c>
      <c r="Z216" s="80">
        <f>SUM(Z211:Z215)</f>
        <v>34041.295140077011</v>
      </c>
      <c r="AA216" s="80">
        <f>SUM(AA211:AA215)</f>
        <v>33599.137522336394</v>
      </c>
      <c r="AB216" s="241">
        <f t="shared" ref="AB216" si="750">SUM(AB211:AB215)</f>
        <v>33599.137522336394</v>
      </c>
      <c r="AC216" s="80">
        <f>SUM(AC211:AC215)</f>
        <v>33563.957777474963</v>
      </c>
      <c r="AD216" s="80">
        <f>SUM(AD211:AD215)</f>
        <v>32744.460151994957</v>
      </c>
      <c r="AE216" s="80">
        <f>SUM(AE211:AE215)</f>
        <v>32813.428221299509</v>
      </c>
      <c r="AF216" s="80">
        <f>SUM(AF211:AF215)</f>
        <v>32153.66040098021</v>
      </c>
      <c r="AG216" s="241">
        <f t="shared" ref="AG216" si="751">SUM(AG211:AG215)</f>
        <v>32153.66040098021</v>
      </c>
      <c r="AH216" s="80">
        <f>SUM(AH211:AH215)</f>
        <v>32190.351847560258</v>
      </c>
      <c r="AI216" s="80">
        <f>SUM(AI211:AI215)</f>
        <v>31427.783129470619</v>
      </c>
      <c r="AJ216" s="80">
        <f>SUM(AJ211:AJ215)</f>
        <v>31604.582923682607</v>
      </c>
      <c r="AK216" s="80">
        <f>SUM(AK211:AK215)</f>
        <v>31035.046537149894</v>
      </c>
      <c r="AL216" s="241">
        <f t="shared" ref="AL216" si="752">SUM(AL211:AL215)</f>
        <v>31035.046537149894</v>
      </c>
      <c r="AM216" s="80">
        <f>SUM(AM211:AM215)</f>
        <v>31105.528819605956</v>
      </c>
      <c r="AN216" s="80">
        <f>SUM(AN211:AN215)</f>
        <v>30315.610085298063</v>
      </c>
      <c r="AO216" s="80">
        <f>SUM(AO211:AO215)</f>
        <v>30545.810227964113</v>
      </c>
      <c r="AP216" s="80">
        <f>SUM(AP211:AP215)</f>
        <v>29958.369560742653</v>
      </c>
      <c r="AQ216" s="241">
        <f t="shared" ref="AQ216" si="753">SUM(AQ211:AQ215)</f>
        <v>29958.369560742653</v>
      </c>
    </row>
    <row r="217" spans="1:43" ht="18" x14ac:dyDescent="0.4">
      <c r="A217" s="253"/>
      <c r="B217" s="532" t="s">
        <v>78</v>
      </c>
      <c r="C217" s="533"/>
      <c r="D217" s="32" t="s">
        <v>119</v>
      </c>
      <c r="E217" s="32" t="s">
        <v>243</v>
      </c>
      <c r="F217" s="32" t="s">
        <v>247</v>
      </c>
      <c r="G217" s="32" t="s">
        <v>257</v>
      </c>
      <c r="H217" s="86" t="s">
        <v>258</v>
      </c>
      <c r="I217" s="32" t="s">
        <v>259</v>
      </c>
      <c r="J217" s="32" t="s">
        <v>260</v>
      </c>
      <c r="K217" s="32" t="s">
        <v>261</v>
      </c>
      <c r="L217" s="32" t="s">
        <v>322</v>
      </c>
      <c r="M217" s="86" t="s">
        <v>333</v>
      </c>
      <c r="N217" s="32" t="s">
        <v>339</v>
      </c>
      <c r="O217" s="32" t="s">
        <v>347</v>
      </c>
      <c r="P217" s="32" t="s">
        <v>349</v>
      </c>
      <c r="Q217" s="242" t="s">
        <v>129</v>
      </c>
      <c r="R217" s="243" t="s">
        <v>130</v>
      </c>
      <c r="S217" s="242" t="s">
        <v>131</v>
      </c>
      <c r="T217" s="242" t="s">
        <v>132</v>
      </c>
      <c r="U217" s="242" t="s">
        <v>133</v>
      </c>
      <c r="V217" s="242" t="s">
        <v>134</v>
      </c>
      <c r="W217" s="243" t="s">
        <v>135</v>
      </c>
      <c r="X217" s="242" t="s">
        <v>136</v>
      </c>
      <c r="Y217" s="242" t="s">
        <v>137</v>
      </c>
      <c r="Z217" s="242" t="s">
        <v>138</v>
      </c>
      <c r="AA217" s="242" t="s">
        <v>139</v>
      </c>
      <c r="AB217" s="243" t="s">
        <v>140</v>
      </c>
      <c r="AC217" s="30" t="s">
        <v>252</v>
      </c>
      <c r="AD217" s="30" t="s">
        <v>253</v>
      </c>
      <c r="AE217" s="30" t="s">
        <v>254</v>
      </c>
      <c r="AF217" s="30" t="s">
        <v>255</v>
      </c>
      <c r="AG217" s="89" t="s">
        <v>256</v>
      </c>
      <c r="AH217" s="30" t="s">
        <v>285</v>
      </c>
      <c r="AI217" s="30" t="s">
        <v>286</v>
      </c>
      <c r="AJ217" s="30" t="s">
        <v>287</v>
      </c>
      <c r="AK217" s="30" t="s">
        <v>288</v>
      </c>
      <c r="AL217" s="89" t="s">
        <v>289</v>
      </c>
      <c r="AM217" s="30" t="s">
        <v>356</v>
      </c>
      <c r="AN217" s="30" t="s">
        <v>357</v>
      </c>
      <c r="AO217" s="30" t="s">
        <v>358</v>
      </c>
      <c r="AP217" s="30" t="s">
        <v>359</v>
      </c>
      <c r="AQ217" s="89" t="s">
        <v>360</v>
      </c>
    </row>
    <row r="218" spans="1:43" outlineLevel="1" x14ac:dyDescent="0.25">
      <c r="A218" s="253"/>
      <c r="B218" s="562" t="s">
        <v>211</v>
      </c>
      <c r="C218" s="563"/>
      <c r="D218" s="34">
        <f>1.2+41.1</f>
        <v>42.300000000000004</v>
      </c>
      <c r="E218" s="34">
        <f>1.2+41.1</f>
        <v>42.300000000000004</v>
      </c>
      <c r="F218" s="34">
        <f>1.2+41.1</f>
        <v>42.300000000000004</v>
      </c>
      <c r="G218" s="34">
        <f>1.2+41.1</f>
        <v>42.300000000000004</v>
      </c>
      <c r="H218" s="35">
        <f>G218</f>
        <v>42.300000000000004</v>
      </c>
      <c r="I218" s="34">
        <f>1.2+41.1</f>
        <v>42.300000000000004</v>
      </c>
      <c r="J218" s="34">
        <f>1.2+41.1</f>
        <v>42.300000000000004</v>
      </c>
      <c r="K218" s="34">
        <f>1.2+115.4</f>
        <v>116.60000000000001</v>
      </c>
      <c r="L218" s="34">
        <f>1.2+373.9</f>
        <v>375.09999999999997</v>
      </c>
      <c r="M218" s="35">
        <f>L218</f>
        <v>375.09999999999997</v>
      </c>
      <c r="N218" s="34">
        <f>1.2+488.6</f>
        <v>489.8</v>
      </c>
      <c r="O218" s="34">
        <f>1.2+595.4</f>
        <v>596.6</v>
      </c>
      <c r="P218" s="34">
        <f>1.2+729.3</f>
        <v>730.5</v>
      </c>
      <c r="Q218" s="34">
        <f>+P218+Q250+Q273</f>
        <v>820.21493745950227</v>
      </c>
      <c r="R218" s="35">
        <f>Q218</f>
        <v>820.21493745950227</v>
      </c>
      <c r="S218" s="34">
        <f>+Q218+S250+S273</f>
        <v>905.69942600373111</v>
      </c>
      <c r="T218" s="34">
        <f>+S218+T250+T273</f>
        <v>984.1216486860377</v>
      </c>
      <c r="U218" s="34">
        <f t="shared" ref="U218:V218" si="754">+T218+U250+U273</f>
        <v>1073.2780873151141</v>
      </c>
      <c r="V218" s="34">
        <f t="shared" si="754"/>
        <v>1163.9295075659795</v>
      </c>
      <c r="W218" s="35">
        <f>V218</f>
        <v>1163.9295075659795</v>
      </c>
      <c r="X218" s="34">
        <f>+V218+X250+X273</f>
        <v>1252.5234011060277</v>
      </c>
      <c r="Y218" s="34">
        <f>+X218+Y250+Y273</f>
        <v>1338.9088051760623</v>
      </c>
      <c r="Z218" s="34">
        <f t="shared" ref="Z218:AA218" si="755">+Y218+Z250+Z273</f>
        <v>1436.8420299595793</v>
      </c>
      <c r="AA218" s="34">
        <f t="shared" si="755"/>
        <v>1534.563091172781</v>
      </c>
      <c r="AB218" s="35">
        <f>AA218</f>
        <v>1534.563091172781</v>
      </c>
      <c r="AC218" s="34">
        <f>+AA218+AC250+AC273</f>
        <v>1628.8687353898397</v>
      </c>
      <c r="AD218" s="34">
        <f>+AC218+AD250+AD273</f>
        <v>1721.9211304403188</v>
      </c>
      <c r="AE218" s="34">
        <f t="shared" ref="AE218:AF218" si="756">+AD218+AE250+AE273</f>
        <v>1827.4624608873942</v>
      </c>
      <c r="AF218" s="34">
        <f t="shared" si="756"/>
        <v>1932.7709033695571</v>
      </c>
      <c r="AG218" s="35">
        <f>AF218</f>
        <v>1932.7709033695571</v>
      </c>
      <c r="AH218" s="34">
        <f>+AF218+AH250+AH273</f>
        <v>2034.5435159521173</v>
      </c>
      <c r="AI218" s="34">
        <f>+AH218+AI250+AI273</f>
        <v>2135.0741098521607</v>
      </c>
      <c r="AJ218" s="34">
        <f t="shared" ref="AJ218:AK218" si="757">+AI218+AJ250+AJ273</f>
        <v>2248.8953359984371</v>
      </c>
      <c r="AK218" s="34">
        <f t="shared" si="757"/>
        <v>2362.4389164291301</v>
      </c>
      <c r="AL218" s="35">
        <f>AK218</f>
        <v>2362.4389164291301</v>
      </c>
      <c r="AM218" s="34">
        <f>+AK218+AM250+AM273</f>
        <v>2472.2770549456432</v>
      </c>
      <c r="AN218" s="34">
        <f>+AM218+AN250+AN273</f>
        <v>2580.7560904429311</v>
      </c>
      <c r="AO218" s="34">
        <f t="shared" ref="AO218" si="758">+AN218+AO250+AO273</f>
        <v>2703.3639200782131</v>
      </c>
      <c r="AP218" s="34">
        <f t="shared" ref="AP218" si="759">+AO218+AP250+AP273</f>
        <v>2825.6342319545779</v>
      </c>
      <c r="AQ218" s="35">
        <f>AP218</f>
        <v>2825.6342319545779</v>
      </c>
    </row>
    <row r="219" spans="1:43" outlineLevel="1" x14ac:dyDescent="0.25">
      <c r="A219" s="253"/>
      <c r="B219" s="582" t="s">
        <v>38</v>
      </c>
      <c r="C219" s="583"/>
      <c r="D219" s="34">
        <v>-2584</v>
      </c>
      <c r="E219" s="255">
        <v>-4807.7</v>
      </c>
      <c r="F219" s="255">
        <v>-4013.9</v>
      </c>
      <c r="G219" s="255">
        <v>-5771.2</v>
      </c>
      <c r="H219" s="256">
        <f>G219</f>
        <v>-5771.2</v>
      </c>
      <c r="I219" s="255">
        <v>-6414.8</v>
      </c>
      <c r="J219" s="255">
        <v>-7050.6</v>
      </c>
      <c r="K219" s="255">
        <v>-8208.2999999999993</v>
      </c>
      <c r="L219" s="255">
        <v>-7815.6</v>
      </c>
      <c r="M219" s="256">
        <f>L219</f>
        <v>-7815.6</v>
      </c>
      <c r="N219" s="255">
        <v>-8253.6</v>
      </c>
      <c r="O219" s="255">
        <v>-8124.3</v>
      </c>
      <c r="P219" s="255">
        <v>-7501.6</v>
      </c>
      <c r="Q219" s="255">
        <f t="shared" ref="Q219" si="760">P219+Q244+Q271+Q272</f>
        <v>-6943.1438129855269</v>
      </c>
      <c r="R219" s="256">
        <f>Q219</f>
        <v>-6943.1438129855269</v>
      </c>
      <c r="S219" s="255">
        <f>Q219+S244+S271+S272</f>
        <v>-7104.5417065127858</v>
      </c>
      <c r="T219" s="255">
        <f>S219+T244+T271+T272</f>
        <v>-7360.0014897468145</v>
      </c>
      <c r="U219" s="255">
        <f t="shared" ref="U219:V219" si="761">T219+U244+U271+U272</f>
        <v>-7328.2343952456595</v>
      </c>
      <c r="V219" s="255">
        <f t="shared" si="761"/>
        <v>-7291.6590902140915</v>
      </c>
      <c r="W219" s="256">
        <f>V219</f>
        <v>-7291.6590902140915</v>
      </c>
      <c r="X219" s="255">
        <f>V219+X244+X271+X272</f>
        <v>-7311.0884036766047</v>
      </c>
      <c r="Y219" s="255">
        <f>X219+Y244+Y271+Y272</f>
        <v>-7415.8744450366758</v>
      </c>
      <c r="Z219" s="255">
        <f t="shared" ref="Z219:AA219" si="762">Y219+Z244+Z271+Z272</f>
        <v>-7358.1773762760495</v>
      </c>
      <c r="AA219" s="255">
        <f t="shared" si="762"/>
        <v>-7215.5328904758753</v>
      </c>
      <c r="AB219" s="256">
        <f>AA219</f>
        <v>-7215.5328904758753</v>
      </c>
      <c r="AC219" s="255">
        <f>AA219+AC244+AC271+AC272</f>
        <v>-6903.7655461730628</v>
      </c>
      <c r="AD219" s="255">
        <f>AC219+AD244+AD271+AD272</f>
        <v>-6677.9633284421916</v>
      </c>
      <c r="AE219" s="255">
        <f t="shared" ref="AE219:AF219" si="763">AD219+AE244+AE271+AE272</f>
        <v>-6277.7803314338707</v>
      </c>
      <c r="AF219" s="255">
        <f t="shared" si="763"/>
        <v>-5748.9873451862859</v>
      </c>
      <c r="AG219" s="256">
        <f>AF219</f>
        <v>-5748.9873451862859</v>
      </c>
      <c r="AH219" s="255">
        <f>AF219+AH244+AH271+AH272</f>
        <v>-5298.040465239771</v>
      </c>
      <c r="AI219" s="255">
        <f>AH219+AI244+AI271+AI272</f>
        <v>-4939.8130218638398</v>
      </c>
      <c r="AJ219" s="255">
        <f t="shared" ref="AJ219:AK219" si="764">AI219+AJ244+AJ271+AJ272</f>
        <v>-4399.6412964578467</v>
      </c>
      <c r="AK219" s="255">
        <f t="shared" si="764"/>
        <v>-3785.2261729049578</v>
      </c>
      <c r="AL219" s="256">
        <f>AK219</f>
        <v>-3785.2261729049578</v>
      </c>
      <c r="AM219" s="255">
        <f>AK219+AM244+AM271+AM272</f>
        <v>-3250.2258179478495</v>
      </c>
      <c r="AN219" s="255">
        <f>AM219+AN244+AN271+AN272</f>
        <v>-2814.0403585945041</v>
      </c>
      <c r="AO219" s="255">
        <f t="shared" ref="AO219" si="765">AN219+AO244+AO271+AO272</f>
        <v>-2187.9696057884603</v>
      </c>
      <c r="AP219" s="255">
        <f t="shared" ref="AP219" si="766">AO219+AP244+AP271+AP272</f>
        <v>-1465.9678549469841</v>
      </c>
      <c r="AQ219" s="448">
        <f>AP219</f>
        <v>-1465.9678549469841</v>
      </c>
    </row>
    <row r="220" spans="1:43" outlineLevel="1" x14ac:dyDescent="0.25">
      <c r="A220" s="253"/>
      <c r="B220" s="582" t="s">
        <v>114</v>
      </c>
      <c r="C220" s="583"/>
      <c r="D220" s="34">
        <v>-343.2</v>
      </c>
      <c r="E220" s="257">
        <v>-271.5</v>
      </c>
      <c r="F220" s="255">
        <v>-349</v>
      </c>
      <c r="G220" s="255">
        <v>-503.3</v>
      </c>
      <c r="H220" s="256">
        <f>+G220</f>
        <v>-503.3</v>
      </c>
      <c r="I220" s="255">
        <v>-387.4</v>
      </c>
      <c r="J220" s="255">
        <v>-521.79999999999995</v>
      </c>
      <c r="K220" s="255">
        <v>-529.9</v>
      </c>
      <c r="L220" s="255">
        <v>-364.6</v>
      </c>
      <c r="M220" s="256">
        <f>+L220</f>
        <v>-364.6</v>
      </c>
      <c r="N220" s="255">
        <v>-145.9</v>
      </c>
      <c r="O220" s="255">
        <v>-126.3</v>
      </c>
      <c r="P220" s="255">
        <v>-29.7</v>
      </c>
      <c r="Q220" s="255">
        <f t="shared" ref="Q220:Q221" si="767">+P220</f>
        <v>-29.7</v>
      </c>
      <c r="R220" s="256">
        <f>+Q220</f>
        <v>-29.7</v>
      </c>
      <c r="S220" s="255">
        <f>+Q220</f>
        <v>-29.7</v>
      </c>
      <c r="T220" s="255">
        <f>+S220</f>
        <v>-29.7</v>
      </c>
      <c r="U220" s="255">
        <f t="shared" ref="U220:V221" si="768">+T220</f>
        <v>-29.7</v>
      </c>
      <c r="V220" s="255">
        <f t="shared" si="768"/>
        <v>-29.7</v>
      </c>
      <c r="W220" s="256">
        <f>+V220</f>
        <v>-29.7</v>
      </c>
      <c r="X220" s="255">
        <f>+V220</f>
        <v>-29.7</v>
      </c>
      <c r="Y220" s="255">
        <f>+X220</f>
        <v>-29.7</v>
      </c>
      <c r="Z220" s="255">
        <f t="shared" ref="Z220:AA221" si="769">+Y220</f>
        <v>-29.7</v>
      </c>
      <c r="AA220" s="255">
        <f t="shared" si="769"/>
        <v>-29.7</v>
      </c>
      <c r="AB220" s="256">
        <f>+AA220</f>
        <v>-29.7</v>
      </c>
      <c r="AC220" s="255">
        <f>+AA220</f>
        <v>-29.7</v>
      </c>
      <c r="AD220" s="255">
        <f>+AC220</f>
        <v>-29.7</v>
      </c>
      <c r="AE220" s="255">
        <f t="shared" ref="AE220:AF221" si="770">+AD220</f>
        <v>-29.7</v>
      </c>
      <c r="AF220" s="255">
        <f t="shared" si="770"/>
        <v>-29.7</v>
      </c>
      <c r="AG220" s="256">
        <f>+AF220</f>
        <v>-29.7</v>
      </c>
      <c r="AH220" s="255">
        <f>+AF220</f>
        <v>-29.7</v>
      </c>
      <c r="AI220" s="255">
        <f>+AH220</f>
        <v>-29.7</v>
      </c>
      <c r="AJ220" s="255">
        <f t="shared" ref="AJ220:AK221" si="771">+AI220</f>
        <v>-29.7</v>
      </c>
      <c r="AK220" s="255">
        <f t="shared" si="771"/>
        <v>-29.7</v>
      </c>
      <c r="AL220" s="256">
        <f>+AK220</f>
        <v>-29.7</v>
      </c>
      <c r="AM220" s="255">
        <f>+AK220</f>
        <v>-29.7</v>
      </c>
      <c r="AN220" s="255">
        <f>+AM220</f>
        <v>-29.7</v>
      </c>
      <c r="AO220" s="255">
        <f t="shared" ref="AO220:AO221" si="772">+AN220</f>
        <v>-29.7</v>
      </c>
      <c r="AP220" s="255">
        <f t="shared" ref="AP220:AP221" si="773">+AO220</f>
        <v>-29.7</v>
      </c>
      <c r="AQ220" s="448">
        <f>+AP220</f>
        <v>-29.7</v>
      </c>
    </row>
    <row r="221" spans="1:43" ht="17.25" outlineLevel="1" x14ac:dyDescent="0.4">
      <c r="A221" s="253"/>
      <c r="B221" s="163" t="s">
        <v>212</v>
      </c>
      <c r="C221" s="164"/>
      <c r="D221" s="37">
        <v>6.1</v>
      </c>
      <c r="E221" s="269">
        <v>1.7</v>
      </c>
      <c r="F221" s="269">
        <v>1.6</v>
      </c>
      <c r="G221" s="269">
        <v>1.2</v>
      </c>
      <c r="H221" s="38">
        <f>+G221</f>
        <v>1.2</v>
      </c>
      <c r="I221" s="269">
        <v>0.8</v>
      </c>
      <c r="J221" s="269">
        <v>-2.8</v>
      </c>
      <c r="K221" s="269">
        <v>-2.7</v>
      </c>
      <c r="L221" s="269">
        <v>5.7</v>
      </c>
      <c r="M221" s="355">
        <f>+L221</f>
        <v>5.7</v>
      </c>
      <c r="N221" s="269">
        <v>5.7</v>
      </c>
      <c r="O221" s="269">
        <v>5.7</v>
      </c>
      <c r="P221" s="269">
        <v>6.5</v>
      </c>
      <c r="Q221" s="269">
        <f t="shared" si="767"/>
        <v>6.5</v>
      </c>
      <c r="R221" s="355">
        <f>+Q221</f>
        <v>6.5</v>
      </c>
      <c r="S221" s="269">
        <f>+Q221</f>
        <v>6.5</v>
      </c>
      <c r="T221" s="269">
        <f>+S221</f>
        <v>6.5</v>
      </c>
      <c r="U221" s="269">
        <f t="shared" si="768"/>
        <v>6.5</v>
      </c>
      <c r="V221" s="269">
        <f t="shared" si="768"/>
        <v>6.5</v>
      </c>
      <c r="W221" s="355">
        <f>+V221</f>
        <v>6.5</v>
      </c>
      <c r="X221" s="269">
        <f>+V221</f>
        <v>6.5</v>
      </c>
      <c r="Y221" s="269">
        <f>+X221</f>
        <v>6.5</v>
      </c>
      <c r="Z221" s="269">
        <f t="shared" si="769"/>
        <v>6.5</v>
      </c>
      <c r="AA221" s="269">
        <f t="shared" si="769"/>
        <v>6.5</v>
      </c>
      <c r="AB221" s="355">
        <f>+AA221</f>
        <v>6.5</v>
      </c>
      <c r="AC221" s="269">
        <f>+AA221</f>
        <v>6.5</v>
      </c>
      <c r="AD221" s="269">
        <f>+AC221</f>
        <v>6.5</v>
      </c>
      <c r="AE221" s="269">
        <f t="shared" si="770"/>
        <v>6.5</v>
      </c>
      <c r="AF221" s="269">
        <f t="shared" si="770"/>
        <v>6.5</v>
      </c>
      <c r="AG221" s="355">
        <f>+AF221</f>
        <v>6.5</v>
      </c>
      <c r="AH221" s="269">
        <f>+AF221</f>
        <v>6.5</v>
      </c>
      <c r="AI221" s="269">
        <f>+AH221</f>
        <v>6.5</v>
      </c>
      <c r="AJ221" s="269">
        <f t="shared" si="771"/>
        <v>6.5</v>
      </c>
      <c r="AK221" s="269">
        <f t="shared" si="771"/>
        <v>6.5</v>
      </c>
      <c r="AL221" s="355">
        <f>+AK221</f>
        <v>6.5</v>
      </c>
      <c r="AM221" s="269">
        <f>+AK221</f>
        <v>6.5</v>
      </c>
      <c r="AN221" s="269">
        <f>+AM221</f>
        <v>6.5</v>
      </c>
      <c r="AO221" s="269">
        <f t="shared" si="772"/>
        <v>6.5</v>
      </c>
      <c r="AP221" s="269">
        <f t="shared" si="773"/>
        <v>6.5</v>
      </c>
      <c r="AQ221" s="355">
        <f>+AP221</f>
        <v>6.5</v>
      </c>
    </row>
    <row r="222" spans="1:43" outlineLevel="1" x14ac:dyDescent="0.25">
      <c r="A222" s="253"/>
      <c r="B222" s="580" t="s">
        <v>39</v>
      </c>
      <c r="C222" s="581"/>
      <c r="D222" s="41">
        <f t="shared" ref="D222:AB222" si="774">SUM(D218:D221)</f>
        <v>-2878.7999999999997</v>
      </c>
      <c r="E222" s="41">
        <f t="shared" si="774"/>
        <v>-5035.2</v>
      </c>
      <c r="F222" s="41">
        <f t="shared" si="774"/>
        <v>-4319</v>
      </c>
      <c r="G222" s="41">
        <f t="shared" si="774"/>
        <v>-6231</v>
      </c>
      <c r="H222" s="42">
        <f t="shared" si="774"/>
        <v>-6231</v>
      </c>
      <c r="I222" s="41">
        <f t="shared" si="774"/>
        <v>-6759.0999999999995</v>
      </c>
      <c r="J222" s="41">
        <f t="shared" si="774"/>
        <v>-7532.9000000000005</v>
      </c>
      <c r="K222" s="41">
        <f t="shared" si="774"/>
        <v>-8624.2999999999993</v>
      </c>
      <c r="L222" s="41">
        <f t="shared" si="774"/>
        <v>-7799.4000000000005</v>
      </c>
      <c r="M222" s="42">
        <f t="shared" si="774"/>
        <v>-7799.4000000000005</v>
      </c>
      <c r="N222" s="41">
        <f t="shared" si="774"/>
        <v>-7904</v>
      </c>
      <c r="O222" s="41">
        <f t="shared" si="774"/>
        <v>-7648.3</v>
      </c>
      <c r="P222" s="41">
        <f t="shared" si="774"/>
        <v>-6794.3</v>
      </c>
      <c r="Q222" s="41">
        <f t="shared" si="774"/>
        <v>-6146.1288755260248</v>
      </c>
      <c r="R222" s="42">
        <f t="shared" si="774"/>
        <v>-6146.1288755260248</v>
      </c>
      <c r="S222" s="41">
        <f t="shared" si="774"/>
        <v>-6222.0422805090548</v>
      </c>
      <c r="T222" s="41">
        <f t="shared" si="774"/>
        <v>-6399.0798410607767</v>
      </c>
      <c r="U222" s="41">
        <f t="shared" si="774"/>
        <v>-6278.1563079305452</v>
      </c>
      <c r="V222" s="41">
        <f t="shared" si="774"/>
        <v>-6150.929582648112</v>
      </c>
      <c r="W222" s="42">
        <f t="shared" si="774"/>
        <v>-6150.929582648112</v>
      </c>
      <c r="X222" s="41">
        <f t="shared" si="774"/>
        <v>-6081.7650025705771</v>
      </c>
      <c r="Y222" s="41">
        <f t="shared" si="774"/>
        <v>-6100.1656398606128</v>
      </c>
      <c r="Z222" s="41">
        <f t="shared" si="774"/>
        <v>-5944.5353463164702</v>
      </c>
      <c r="AA222" s="41">
        <f t="shared" si="774"/>
        <v>-5704.1697993030939</v>
      </c>
      <c r="AB222" s="42">
        <f t="shared" si="774"/>
        <v>-5704.1697993030939</v>
      </c>
      <c r="AC222" s="41">
        <f t="shared" ref="AC222:AL222" si="775">SUM(AC218:AC221)</f>
        <v>-5298.0968107832232</v>
      </c>
      <c r="AD222" s="41">
        <f t="shared" si="775"/>
        <v>-4979.2421980018726</v>
      </c>
      <c r="AE222" s="41">
        <f t="shared" si="775"/>
        <v>-4473.5178705464759</v>
      </c>
      <c r="AF222" s="41">
        <f t="shared" si="775"/>
        <v>-3839.4164418167284</v>
      </c>
      <c r="AG222" s="42">
        <f t="shared" si="775"/>
        <v>-3839.4164418167284</v>
      </c>
      <c r="AH222" s="41">
        <f t="shared" si="775"/>
        <v>-3286.6969492876533</v>
      </c>
      <c r="AI222" s="41">
        <f t="shared" si="775"/>
        <v>-2827.9389120116789</v>
      </c>
      <c r="AJ222" s="41">
        <f t="shared" si="775"/>
        <v>-2173.9459604594094</v>
      </c>
      <c r="AK222" s="41">
        <f t="shared" si="775"/>
        <v>-1445.9872564758277</v>
      </c>
      <c r="AL222" s="42">
        <f t="shared" si="775"/>
        <v>-1445.9872564758277</v>
      </c>
      <c r="AM222" s="41">
        <f t="shared" ref="AM222:AQ222" si="776">SUM(AM218:AM221)</f>
        <v>-801.14876300220635</v>
      </c>
      <c r="AN222" s="41">
        <f t="shared" si="776"/>
        <v>-256.48426815157308</v>
      </c>
      <c r="AO222" s="41">
        <f t="shared" si="776"/>
        <v>492.19431428975287</v>
      </c>
      <c r="AP222" s="41">
        <f t="shared" si="776"/>
        <v>1336.4663770075938</v>
      </c>
      <c r="AQ222" s="42">
        <f t="shared" si="776"/>
        <v>1336.4663770075938</v>
      </c>
    </row>
    <row r="223" spans="1:43" outlineLevel="1" x14ac:dyDescent="0.25">
      <c r="A223" s="253"/>
      <c r="B223" s="584" t="s">
        <v>10</v>
      </c>
      <c r="C223" s="585"/>
      <c r="D223" s="48">
        <f t="shared" ref="D223:AL223" si="777">D222+D216</f>
        <v>19981.300000000003</v>
      </c>
      <c r="E223" s="48">
        <f t="shared" si="777"/>
        <v>17641.899999999998</v>
      </c>
      <c r="F223" s="48">
        <f t="shared" si="777"/>
        <v>20894.400000000001</v>
      </c>
      <c r="G223" s="48">
        <f t="shared" si="777"/>
        <v>19219.599999999999</v>
      </c>
      <c r="H223" s="244">
        <f t="shared" si="777"/>
        <v>19219.599999999999</v>
      </c>
      <c r="I223" s="48">
        <f t="shared" si="777"/>
        <v>27731.300000000003</v>
      </c>
      <c r="J223" s="48">
        <f t="shared" si="777"/>
        <v>27478.9</v>
      </c>
      <c r="K223" s="48">
        <f t="shared" si="777"/>
        <v>29140.599999999995</v>
      </c>
      <c r="L223" s="48">
        <f t="shared" si="777"/>
        <v>29374.500000000007</v>
      </c>
      <c r="M223" s="244">
        <f t="shared" si="777"/>
        <v>29374.500000000007</v>
      </c>
      <c r="N223" s="48">
        <f t="shared" si="777"/>
        <v>29968.400000000001</v>
      </c>
      <c r="O223" s="48">
        <f t="shared" si="777"/>
        <v>28371.7</v>
      </c>
      <c r="P223" s="48">
        <f t="shared" si="777"/>
        <v>29476.799999999999</v>
      </c>
      <c r="Q223" s="48">
        <f t="shared" si="777"/>
        <v>30177.135772778813</v>
      </c>
      <c r="R223" s="244">
        <f t="shared" si="777"/>
        <v>30177.135772778813</v>
      </c>
      <c r="S223" s="48">
        <f t="shared" si="777"/>
        <v>29936.036415754876</v>
      </c>
      <c r="T223" s="48">
        <f t="shared" si="777"/>
        <v>28809.706874789845</v>
      </c>
      <c r="U223" s="48">
        <f t="shared" si="777"/>
        <v>28666.106355796484</v>
      </c>
      <c r="V223" s="48">
        <f t="shared" si="777"/>
        <v>28571.450954275395</v>
      </c>
      <c r="W223" s="244">
        <f t="shared" si="777"/>
        <v>28571.450954275395</v>
      </c>
      <c r="X223" s="48">
        <f t="shared" si="777"/>
        <v>28583.336834711274</v>
      </c>
      <c r="Y223" s="48">
        <f t="shared" si="777"/>
        <v>27863.2251595622</v>
      </c>
      <c r="Z223" s="48">
        <f t="shared" si="777"/>
        <v>28096.759793760539</v>
      </c>
      <c r="AA223" s="48">
        <f t="shared" si="777"/>
        <v>27894.9677230333</v>
      </c>
      <c r="AB223" s="244">
        <f t="shared" si="777"/>
        <v>27894.9677230333</v>
      </c>
      <c r="AC223" s="48">
        <f t="shared" si="777"/>
        <v>28265.86096669174</v>
      </c>
      <c r="AD223" s="48">
        <f t="shared" si="777"/>
        <v>27765.217953993084</v>
      </c>
      <c r="AE223" s="48">
        <f t="shared" si="777"/>
        <v>28339.910350753034</v>
      </c>
      <c r="AF223" s="48">
        <f t="shared" si="777"/>
        <v>28314.243959163483</v>
      </c>
      <c r="AG223" s="244">
        <f t="shared" si="777"/>
        <v>28314.243959163483</v>
      </c>
      <c r="AH223" s="48">
        <f t="shared" si="777"/>
        <v>28903.654898272605</v>
      </c>
      <c r="AI223" s="48">
        <f t="shared" si="777"/>
        <v>28599.84421745894</v>
      </c>
      <c r="AJ223" s="48">
        <f t="shared" si="777"/>
        <v>29430.636963223198</v>
      </c>
      <c r="AK223" s="48">
        <f t="shared" si="777"/>
        <v>29589.059280674068</v>
      </c>
      <c r="AL223" s="244">
        <f t="shared" si="777"/>
        <v>29589.059280674068</v>
      </c>
      <c r="AM223" s="48">
        <f t="shared" ref="AM223:AQ223" si="778">AM222+AM216</f>
        <v>30304.38005660375</v>
      </c>
      <c r="AN223" s="48">
        <f t="shared" si="778"/>
        <v>30059.125817146491</v>
      </c>
      <c r="AO223" s="48">
        <f t="shared" si="778"/>
        <v>31038.004542253868</v>
      </c>
      <c r="AP223" s="48">
        <f t="shared" si="778"/>
        <v>31294.835937750246</v>
      </c>
      <c r="AQ223" s="244">
        <f t="shared" si="778"/>
        <v>31294.835937750246</v>
      </c>
    </row>
    <row r="224" spans="1:43" x14ac:dyDescent="0.25">
      <c r="A224" s="253"/>
      <c r="B224" s="370"/>
      <c r="C224" s="237"/>
      <c r="D224" s="357">
        <f t="shared" ref="D224:AL224" si="779">ROUND((D223-D201),0)</f>
        <v>0</v>
      </c>
      <c r="E224" s="357">
        <f t="shared" si="779"/>
        <v>0</v>
      </c>
      <c r="F224" s="357">
        <f t="shared" si="779"/>
        <v>0</v>
      </c>
      <c r="G224" s="357">
        <f t="shared" si="779"/>
        <v>0</v>
      </c>
      <c r="H224" s="357">
        <f t="shared" si="779"/>
        <v>0</v>
      </c>
      <c r="I224" s="357">
        <f t="shared" si="779"/>
        <v>0</v>
      </c>
      <c r="J224" s="357">
        <f t="shared" si="779"/>
        <v>0</v>
      </c>
      <c r="K224" s="357">
        <f t="shared" si="779"/>
        <v>0</v>
      </c>
      <c r="L224" s="66">
        <f t="shared" si="779"/>
        <v>0</v>
      </c>
      <c r="M224" s="66">
        <f t="shared" si="779"/>
        <v>0</v>
      </c>
      <c r="N224" s="66">
        <f t="shared" si="779"/>
        <v>0</v>
      </c>
      <c r="O224" s="66">
        <f t="shared" si="779"/>
        <v>0</v>
      </c>
      <c r="P224" s="66">
        <f t="shared" si="779"/>
        <v>0</v>
      </c>
      <c r="Q224" s="66">
        <f t="shared" si="779"/>
        <v>0</v>
      </c>
      <c r="R224" s="66">
        <f t="shared" si="779"/>
        <v>0</v>
      </c>
      <c r="S224" s="66">
        <f t="shared" si="779"/>
        <v>0</v>
      </c>
      <c r="T224" s="66">
        <f t="shared" si="779"/>
        <v>0</v>
      </c>
      <c r="U224" s="66">
        <f t="shared" si="779"/>
        <v>0</v>
      </c>
      <c r="V224" s="66">
        <f t="shared" si="779"/>
        <v>0</v>
      </c>
      <c r="W224" s="66">
        <f t="shared" si="779"/>
        <v>0</v>
      </c>
      <c r="X224" s="66">
        <f t="shared" si="779"/>
        <v>0</v>
      </c>
      <c r="Y224" s="66">
        <f t="shared" si="779"/>
        <v>0</v>
      </c>
      <c r="Z224" s="66">
        <f t="shared" si="779"/>
        <v>0</v>
      </c>
      <c r="AA224" s="66">
        <f t="shared" si="779"/>
        <v>0</v>
      </c>
      <c r="AB224" s="66">
        <f t="shared" si="779"/>
        <v>0</v>
      </c>
      <c r="AC224" s="66">
        <f t="shared" si="779"/>
        <v>0</v>
      </c>
      <c r="AD224" s="66">
        <f t="shared" si="779"/>
        <v>0</v>
      </c>
      <c r="AE224" s="66">
        <f t="shared" si="779"/>
        <v>0</v>
      </c>
      <c r="AF224" s="66">
        <f t="shared" si="779"/>
        <v>0</v>
      </c>
      <c r="AG224" s="66">
        <f t="shared" si="779"/>
        <v>0</v>
      </c>
      <c r="AH224" s="66">
        <f t="shared" si="779"/>
        <v>0</v>
      </c>
      <c r="AI224" s="66">
        <f t="shared" si="779"/>
        <v>0</v>
      </c>
      <c r="AJ224" s="66">
        <f t="shared" si="779"/>
        <v>0</v>
      </c>
      <c r="AK224" s="66">
        <f t="shared" si="779"/>
        <v>0</v>
      </c>
      <c r="AL224" s="66">
        <f t="shared" si="779"/>
        <v>0</v>
      </c>
      <c r="AM224" s="66">
        <f t="shared" ref="AM224:AQ224" si="780">ROUND((AM223-AM201),0)</f>
        <v>0</v>
      </c>
      <c r="AN224" s="66">
        <f t="shared" si="780"/>
        <v>0</v>
      </c>
      <c r="AO224" s="66">
        <f t="shared" si="780"/>
        <v>0</v>
      </c>
      <c r="AP224" s="66">
        <f t="shared" si="780"/>
        <v>0</v>
      </c>
      <c r="AQ224" s="66">
        <f t="shared" si="780"/>
        <v>0</v>
      </c>
    </row>
    <row r="225" spans="1:43" ht="15.75" x14ac:dyDescent="0.25">
      <c r="A225" s="253"/>
      <c r="B225" s="532" t="s">
        <v>20</v>
      </c>
      <c r="C225" s="533"/>
      <c r="D225" s="31" t="s">
        <v>106</v>
      </c>
      <c r="E225" s="31" t="s">
        <v>244</v>
      </c>
      <c r="F225" s="31" t="s">
        <v>246</v>
      </c>
      <c r="G225" s="31" t="s">
        <v>337</v>
      </c>
      <c r="H225" s="85" t="s">
        <v>337</v>
      </c>
      <c r="I225" s="31" t="s">
        <v>336</v>
      </c>
      <c r="J225" s="31" t="s">
        <v>335</v>
      </c>
      <c r="K225" s="31" t="s">
        <v>334</v>
      </c>
      <c r="L225" s="31" t="s">
        <v>321</v>
      </c>
      <c r="M225" s="85" t="s">
        <v>321</v>
      </c>
      <c r="N225" s="31" t="s">
        <v>338</v>
      </c>
      <c r="O225" s="31" t="s">
        <v>346</v>
      </c>
      <c r="P225" s="31" t="s">
        <v>348</v>
      </c>
      <c r="Q225" s="33" t="s">
        <v>120</v>
      </c>
      <c r="R225" s="88" t="s">
        <v>120</v>
      </c>
      <c r="S225" s="33" t="s">
        <v>121</v>
      </c>
      <c r="T225" s="33" t="s">
        <v>122</v>
      </c>
      <c r="U225" s="33" t="s">
        <v>123</v>
      </c>
      <c r="V225" s="33" t="s">
        <v>124</v>
      </c>
      <c r="W225" s="88" t="s">
        <v>124</v>
      </c>
      <c r="X225" s="33" t="s">
        <v>125</v>
      </c>
      <c r="Y225" s="33" t="s">
        <v>126</v>
      </c>
      <c r="Z225" s="33" t="s">
        <v>127</v>
      </c>
      <c r="AA225" s="33" t="s">
        <v>128</v>
      </c>
      <c r="AB225" s="88" t="s">
        <v>128</v>
      </c>
      <c r="AC225" s="33" t="s">
        <v>248</v>
      </c>
      <c r="AD225" s="33" t="s">
        <v>249</v>
      </c>
      <c r="AE225" s="33" t="s">
        <v>250</v>
      </c>
      <c r="AF225" s="33" t="s">
        <v>251</v>
      </c>
      <c r="AG225" s="88" t="s">
        <v>251</v>
      </c>
      <c r="AH225" s="33" t="s">
        <v>281</v>
      </c>
      <c r="AI225" s="33" t="s">
        <v>282</v>
      </c>
      <c r="AJ225" s="33" t="s">
        <v>283</v>
      </c>
      <c r="AK225" s="33" t="s">
        <v>284</v>
      </c>
      <c r="AL225" s="88" t="s">
        <v>284</v>
      </c>
      <c r="AM225" s="33" t="s">
        <v>352</v>
      </c>
      <c r="AN225" s="33" t="s">
        <v>353</v>
      </c>
      <c r="AO225" s="33" t="s">
        <v>354</v>
      </c>
      <c r="AP225" s="33" t="s">
        <v>355</v>
      </c>
      <c r="AQ225" s="88" t="s">
        <v>355</v>
      </c>
    </row>
    <row r="226" spans="1:43" ht="17.25" x14ac:dyDescent="0.4">
      <c r="A226" s="253"/>
      <c r="B226" s="534"/>
      <c r="C226" s="535"/>
      <c r="D226" s="32" t="s">
        <v>119</v>
      </c>
      <c r="E226" s="32" t="s">
        <v>243</v>
      </c>
      <c r="F226" s="32" t="s">
        <v>247</v>
      </c>
      <c r="G226" s="32" t="s">
        <v>257</v>
      </c>
      <c r="H226" s="86" t="s">
        <v>258</v>
      </c>
      <c r="I226" s="32" t="s">
        <v>259</v>
      </c>
      <c r="J226" s="32" t="s">
        <v>260</v>
      </c>
      <c r="K226" s="32" t="s">
        <v>261</v>
      </c>
      <c r="L226" s="32" t="s">
        <v>322</v>
      </c>
      <c r="M226" s="86" t="s">
        <v>333</v>
      </c>
      <c r="N226" s="32" t="s">
        <v>339</v>
      </c>
      <c r="O226" s="32" t="s">
        <v>347</v>
      </c>
      <c r="P226" s="32" t="s">
        <v>349</v>
      </c>
      <c r="Q226" s="30" t="s">
        <v>129</v>
      </c>
      <c r="R226" s="89" t="s">
        <v>130</v>
      </c>
      <c r="S226" s="30" t="s">
        <v>131</v>
      </c>
      <c r="T226" s="30" t="s">
        <v>132</v>
      </c>
      <c r="U226" s="30" t="s">
        <v>133</v>
      </c>
      <c r="V226" s="30" t="s">
        <v>134</v>
      </c>
      <c r="W226" s="89" t="s">
        <v>135</v>
      </c>
      <c r="X226" s="30" t="s">
        <v>136</v>
      </c>
      <c r="Y226" s="30" t="s">
        <v>137</v>
      </c>
      <c r="Z226" s="30" t="s">
        <v>138</v>
      </c>
      <c r="AA226" s="30" t="s">
        <v>139</v>
      </c>
      <c r="AB226" s="89" t="s">
        <v>140</v>
      </c>
      <c r="AC226" s="30" t="s">
        <v>252</v>
      </c>
      <c r="AD226" s="30" t="s">
        <v>253</v>
      </c>
      <c r="AE226" s="30" t="s">
        <v>254</v>
      </c>
      <c r="AF226" s="30" t="s">
        <v>255</v>
      </c>
      <c r="AG226" s="89" t="s">
        <v>256</v>
      </c>
      <c r="AH226" s="30" t="s">
        <v>285</v>
      </c>
      <c r="AI226" s="30" t="s">
        <v>286</v>
      </c>
      <c r="AJ226" s="30" t="s">
        <v>287</v>
      </c>
      <c r="AK226" s="30" t="s">
        <v>288</v>
      </c>
      <c r="AL226" s="89" t="s">
        <v>289</v>
      </c>
      <c r="AM226" s="30" t="s">
        <v>356</v>
      </c>
      <c r="AN226" s="30" t="s">
        <v>357</v>
      </c>
      <c r="AO226" s="30" t="s">
        <v>358</v>
      </c>
      <c r="AP226" s="30" t="s">
        <v>359</v>
      </c>
      <c r="AQ226" s="89" t="s">
        <v>360</v>
      </c>
    </row>
    <row r="227" spans="1:43" outlineLevel="1" x14ac:dyDescent="0.25">
      <c r="A227" s="253"/>
      <c r="B227" s="404" t="s">
        <v>280</v>
      </c>
      <c r="C227" s="314"/>
      <c r="D227" s="275">
        <f>31+30+31</f>
        <v>92</v>
      </c>
      <c r="E227" s="275">
        <f>31+28+31</f>
        <v>90</v>
      </c>
      <c r="F227" s="275">
        <f>30+31+30</f>
        <v>91</v>
      </c>
      <c r="G227" s="275">
        <f>31+31+30</f>
        <v>92</v>
      </c>
      <c r="H227" s="290"/>
      <c r="I227" s="275">
        <f>31+30+31</f>
        <v>92</v>
      </c>
      <c r="J227" s="275">
        <f>31+29+31</f>
        <v>91</v>
      </c>
      <c r="K227" s="275">
        <f>30+31+30</f>
        <v>91</v>
      </c>
      <c r="L227" s="275">
        <f>31+31+30</f>
        <v>92</v>
      </c>
      <c r="M227" s="290"/>
      <c r="N227" s="275">
        <f>31+30+31</f>
        <v>92</v>
      </c>
      <c r="O227" s="275">
        <f>31+28+31</f>
        <v>90</v>
      </c>
      <c r="P227" s="275">
        <f>30+31+30</f>
        <v>91</v>
      </c>
      <c r="Q227" s="275">
        <f>31+31+30</f>
        <v>92</v>
      </c>
      <c r="R227" s="290"/>
      <c r="S227" s="275">
        <f>31+30+31</f>
        <v>92</v>
      </c>
      <c r="T227" s="275">
        <f>31+28+31</f>
        <v>90</v>
      </c>
      <c r="U227" s="275">
        <f>30+31+30</f>
        <v>91</v>
      </c>
      <c r="V227" s="275">
        <f>31+31+30</f>
        <v>92</v>
      </c>
      <c r="W227" s="290"/>
      <c r="X227" s="275">
        <f>31+30+31</f>
        <v>92</v>
      </c>
      <c r="Y227" s="275">
        <f>31+28+31</f>
        <v>90</v>
      </c>
      <c r="Z227" s="275">
        <f>30+31+30</f>
        <v>91</v>
      </c>
      <c r="AA227" s="275">
        <f>31+31+30</f>
        <v>92</v>
      </c>
      <c r="AB227" s="290"/>
      <c r="AC227" s="275">
        <f>31+30+31</f>
        <v>92</v>
      </c>
      <c r="AD227" s="275">
        <f>31+29+31</f>
        <v>91</v>
      </c>
      <c r="AE227" s="275">
        <f>30+31+30</f>
        <v>91</v>
      </c>
      <c r="AF227" s="275">
        <f>31+31+30</f>
        <v>92</v>
      </c>
      <c r="AG227" s="290"/>
      <c r="AH227" s="275">
        <f>31+30+31</f>
        <v>92</v>
      </c>
      <c r="AI227" s="275">
        <f>31+28+31</f>
        <v>90</v>
      </c>
      <c r="AJ227" s="275">
        <f>30+31+30</f>
        <v>91</v>
      </c>
      <c r="AK227" s="275">
        <f>31+31+30</f>
        <v>92</v>
      </c>
      <c r="AL227" s="290"/>
      <c r="AM227" s="275">
        <f>31+30+31</f>
        <v>92</v>
      </c>
      <c r="AN227" s="275">
        <f>31+28+31</f>
        <v>90</v>
      </c>
      <c r="AO227" s="275">
        <f>30+31+30</f>
        <v>91</v>
      </c>
      <c r="AP227" s="275">
        <f>31+31+30</f>
        <v>92</v>
      </c>
      <c r="AQ227" s="290"/>
    </row>
    <row r="228" spans="1:43" outlineLevel="1" x14ac:dyDescent="0.25">
      <c r="A228" s="253"/>
      <c r="B228" s="562" t="s">
        <v>21</v>
      </c>
      <c r="C228" s="563"/>
      <c r="D228" s="58">
        <f t="shared" ref="D228:L228" si="781">D16/D189</f>
        <v>9.1942057111172737</v>
      </c>
      <c r="E228" s="307">
        <f t="shared" si="781"/>
        <v>8.9623365548607161</v>
      </c>
      <c r="F228" s="307">
        <f t="shared" si="781"/>
        <v>8.6301543131798635</v>
      </c>
      <c r="G228" s="307">
        <f t="shared" si="781"/>
        <v>7.6757679180887379</v>
      </c>
      <c r="H228" s="308"/>
      <c r="I228" s="307">
        <f t="shared" si="781"/>
        <v>7.8153287082920375</v>
      </c>
      <c r="J228" s="307">
        <f t="shared" si="781"/>
        <v>6.3716259298618487</v>
      </c>
      <c r="K228" s="307">
        <f t="shared" si="781"/>
        <v>4.7918510952218822</v>
      </c>
      <c r="L228" s="307">
        <f t="shared" si="781"/>
        <v>7.0218474077428121</v>
      </c>
      <c r="M228" s="59"/>
      <c r="N228" s="307">
        <f>N16/N189</f>
        <v>7.6006756756756761</v>
      </c>
      <c r="O228" s="307">
        <f t="shared" ref="O228:P228" si="782">O16/O189</f>
        <v>7.5755510111338324</v>
      </c>
      <c r="P228" s="307">
        <f t="shared" si="782"/>
        <v>8.2270632133450388</v>
      </c>
      <c r="Q228" s="60">
        <v>7.7173912977977261</v>
      </c>
      <c r="R228" s="59"/>
      <c r="S228" s="60">
        <f>N228</f>
        <v>7.6006756756756761</v>
      </c>
      <c r="T228" s="60">
        <f t="shared" ref="T228:V228" si="783">O228</f>
        <v>7.5755510111338324</v>
      </c>
      <c r="U228" s="60">
        <f t="shared" si="783"/>
        <v>8.2270632133450388</v>
      </c>
      <c r="V228" s="60">
        <f t="shared" si="783"/>
        <v>7.7173912977977261</v>
      </c>
      <c r="W228" s="59"/>
      <c r="X228" s="60">
        <f>S228</f>
        <v>7.6006756756756761</v>
      </c>
      <c r="Y228" s="60">
        <f t="shared" ref="Y228:AA228" si="784">T228</f>
        <v>7.5755510111338324</v>
      </c>
      <c r="Z228" s="60">
        <f t="shared" si="784"/>
        <v>8.2270632133450388</v>
      </c>
      <c r="AA228" s="60">
        <f t="shared" si="784"/>
        <v>7.7173912977977261</v>
      </c>
      <c r="AB228" s="26"/>
      <c r="AC228" s="60">
        <f>X228</f>
        <v>7.6006756756756761</v>
      </c>
      <c r="AD228" s="60">
        <f t="shared" ref="AD228:AF228" si="785">Y228</f>
        <v>7.5755510111338324</v>
      </c>
      <c r="AE228" s="60">
        <f t="shared" si="785"/>
        <v>8.2270632133450388</v>
      </c>
      <c r="AF228" s="60">
        <f t="shared" si="785"/>
        <v>7.7173912977977261</v>
      </c>
      <c r="AG228" s="26"/>
      <c r="AH228" s="60">
        <f>AC228</f>
        <v>7.6006756756756761</v>
      </c>
      <c r="AI228" s="60">
        <f t="shared" ref="AI228:AK228" si="786">AD228</f>
        <v>7.5755510111338324</v>
      </c>
      <c r="AJ228" s="60">
        <f t="shared" si="786"/>
        <v>8.2270632133450388</v>
      </c>
      <c r="AK228" s="60">
        <f t="shared" si="786"/>
        <v>7.7173912977977261</v>
      </c>
      <c r="AL228" s="26"/>
      <c r="AM228" s="60">
        <f>AH228</f>
        <v>7.6006756756756761</v>
      </c>
      <c r="AN228" s="60">
        <f t="shared" ref="AN228" si="787">AI228</f>
        <v>7.5755510111338324</v>
      </c>
      <c r="AO228" s="60">
        <f t="shared" ref="AO228" si="788">AJ228</f>
        <v>8.2270632133450388</v>
      </c>
      <c r="AP228" s="60">
        <f t="shared" ref="AP228" si="789">AK228</f>
        <v>7.7173912977977261</v>
      </c>
      <c r="AQ228" s="26"/>
    </row>
    <row r="229" spans="1:43" s="43" customFormat="1" outlineLevel="1" x14ac:dyDescent="0.25">
      <c r="A229" s="306"/>
      <c r="B229" s="572" t="s">
        <v>57</v>
      </c>
      <c r="C229" s="573"/>
      <c r="D229" s="47">
        <f>D227/D228</f>
        <v>10.00630210924661</v>
      </c>
      <c r="E229" s="47">
        <f>E227/E228</f>
        <v>10.042024136126486</v>
      </c>
      <c r="F229" s="275">
        <f>F227/F228</f>
        <v>10.544423274219552</v>
      </c>
      <c r="G229" s="275">
        <f>G227/G228</f>
        <v>11.985771453979545</v>
      </c>
      <c r="H229" s="308"/>
      <c r="I229" s="275">
        <f>I227/I228</f>
        <v>11.771737752039567</v>
      </c>
      <c r="J229" s="275">
        <f>J227/J228</f>
        <v>14.28206881598479</v>
      </c>
      <c r="K229" s="275">
        <f>K227/K228</f>
        <v>18.990573411335589</v>
      </c>
      <c r="L229" s="47">
        <f>L227/L228</f>
        <v>13.101965146459028</v>
      </c>
      <c r="M229" s="59"/>
      <c r="N229" s="47">
        <f>N227/N228</f>
        <v>12.104187038847897</v>
      </c>
      <c r="O229" s="47">
        <f>O227/O228</f>
        <v>11.880323935212958</v>
      </c>
      <c r="P229" s="47">
        <f>P227/P228</f>
        <v>11.061055159074236</v>
      </c>
      <c r="Q229" s="47">
        <f>Q227/Q228</f>
        <v>11.921126770681381</v>
      </c>
      <c r="R229" s="59"/>
      <c r="S229" s="47">
        <f>S227/S228</f>
        <v>12.104187038847897</v>
      </c>
      <c r="T229" s="47">
        <f>T227/T228</f>
        <v>11.880323935212958</v>
      </c>
      <c r="U229" s="47">
        <f>U227/U228</f>
        <v>11.061055159074236</v>
      </c>
      <c r="V229" s="47">
        <f>V227/V228</f>
        <v>11.921126770681381</v>
      </c>
      <c r="W229" s="59"/>
      <c r="X229" s="47">
        <f>X227/X228</f>
        <v>12.104187038847897</v>
      </c>
      <c r="Y229" s="47">
        <f>Y227/Y228</f>
        <v>11.880323935212958</v>
      </c>
      <c r="Z229" s="47">
        <f>Z227/Z228</f>
        <v>11.061055159074236</v>
      </c>
      <c r="AA229" s="47">
        <f>AA227/AA228</f>
        <v>11.921126770681381</v>
      </c>
      <c r="AB229" s="59"/>
      <c r="AC229" s="47">
        <f>AC227/AC228</f>
        <v>12.104187038847897</v>
      </c>
      <c r="AD229" s="47">
        <f>AD227/AD228</f>
        <v>12.012327534493103</v>
      </c>
      <c r="AE229" s="47">
        <f>AE227/AE228</f>
        <v>11.061055159074236</v>
      </c>
      <c r="AF229" s="47">
        <f>AF227/AF228</f>
        <v>11.921126770681381</v>
      </c>
      <c r="AG229" s="59"/>
      <c r="AH229" s="47">
        <f>AH227/AH228</f>
        <v>12.104187038847897</v>
      </c>
      <c r="AI229" s="47">
        <f>AI227/AI228</f>
        <v>11.880323935212958</v>
      </c>
      <c r="AJ229" s="47">
        <f>AJ227/AJ228</f>
        <v>11.061055159074236</v>
      </c>
      <c r="AK229" s="47">
        <f>AK227/AK228</f>
        <v>11.921126770681381</v>
      </c>
      <c r="AL229" s="59"/>
      <c r="AM229" s="47">
        <f>AM227/AM228</f>
        <v>12.104187038847897</v>
      </c>
      <c r="AN229" s="47">
        <f>AN227/AN228</f>
        <v>11.880323935212958</v>
      </c>
      <c r="AO229" s="47">
        <f>AO227/AO228</f>
        <v>11.061055159074236</v>
      </c>
      <c r="AP229" s="47">
        <f>AP227/AP228</f>
        <v>11.921126770681381</v>
      </c>
      <c r="AQ229" s="59"/>
    </row>
    <row r="230" spans="1:43" outlineLevel="1" x14ac:dyDescent="0.25">
      <c r="A230" s="253"/>
      <c r="B230" s="562" t="s">
        <v>232</v>
      </c>
      <c r="C230" s="563"/>
      <c r="D230" s="58">
        <f t="shared" ref="D230:L230" si="790">D17/D190</f>
        <v>1.6062306215857083</v>
      </c>
      <c r="E230" s="58">
        <f t="shared" si="790"/>
        <v>1.3943173943173943</v>
      </c>
      <c r="F230" s="307">
        <f t="shared" si="790"/>
        <v>1.4497759029791721</v>
      </c>
      <c r="G230" s="307">
        <f t="shared" si="790"/>
        <v>1.3989146070354381</v>
      </c>
      <c r="H230" s="308"/>
      <c r="I230" s="307">
        <f t="shared" si="790"/>
        <v>1.5875630013487614</v>
      </c>
      <c r="J230" s="307">
        <f t="shared" si="790"/>
        <v>1.3387615601125855</v>
      </c>
      <c r="K230" s="307">
        <f t="shared" si="790"/>
        <v>0.93698699330723578</v>
      </c>
      <c r="L230" s="307">
        <f t="shared" si="790"/>
        <v>1.2742039448240299</v>
      </c>
      <c r="M230" s="59"/>
      <c r="N230" s="307">
        <f>N17/N190</f>
        <v>1.3925246347264695</v>
      </c>
      <c r="O230" s="307">
        <f t="shared" ref="O230:P230" si="791">O17/O190</f>
        <v>1.3250864591646716</v>
      </c>
      <c r="P230" s="307">
        <f t="shared" si="791"/>
        <v>1.4248805063945227</v>
      </c>
      <c r="Q230" s="60">
        <v>1.0275014233753998</v>
      </c>
      <c r="R230" s="59"/>
      <c r="S230" s="60">
        <f>N230</f>
        <v>1.3925246347264695</v>
      </c>
      <c r="T230" s="60">
        <f t="shared" ref="T230:V230" si="792">O230</f>
        <v>1.3250864591646716</v>
      </c>
      <c r="U230" s="60">
        <f t="shared" si="792"/>
        <v>1.4248805063945227</v>
      </c>
      <c r="V230" s="60">
        <f t="shared" si="792"/>
        <v>1.0275014233753998</v>
      </c>
      <c r="W230" s="59"/>
      <c r="X230" s="60">
        <f>S230</f>
        <v>1.3925246347264695</v>
      </c>
      <c r="Y230" s="60">
        <f t="shared" ref="Y230:AA230" si="793">T230</f>
        <v>1.3250864591646716</v>
      </c>
      <c r="Z230" s="60">
        <f t="shared" si="793"/>
        <v>1.4248805063945227</v>
      </c>
      <c r="AA230" s="60">
        <f t="shared" si="793"/>
        <v>1.0275014233753998</v>
      </c>
      <c r="AB230" s="26"/>
      <c r="AC230" s="60">
        <f>X230</f>
        <v>1.3925246347264695</v>
      </c>
      <c r="AD230" s="60">
        <f t="shared" ref="AD230:AF230" si="794">Y230</f>
        <v>1.3250864591646716</v>
      </c>
      <c r="AE230" s="60">
        <f t="shared" si="794"/>
        <v>1.4248805063945227</v>
      </c>
      <c r="AF230" s="60">
        <f t="shared" si="794"/>
        <v>1.0275014233753998</v>
      </c>
      <c r="AG230" s="26"/>
      <c r="AH230" s="60">
        <f>AC230</f>
        <v>1.3925246347264695</v>
      </c>
      <c r="AI230" s="60">
        <f t="shared" ref="AI230:AK230" si="795">AD230</f>
        <v>1.3250864591646716</v>
      </c>
      <c r="AJ230" s="60">
        <f t="shared" si="795"/>
        <v>1.4248805063945227</v>
      </c>
      <c r="AK230" s="60">
        <f t="shared" si="795"/>
        <v>1.0275014233753998</v>
      </c>
      <c r="AL230" s="26"/>
      <c r="AM230" s="60">
        <f>AH230</f>
        <v>1.3925246347264695</v>
      </c>
      <c r="AN230" s="60">
        <f t="shared" ref="AN230" si="796">AI230</f>
        <v>1.3250864591646716</v>
      </c>
      <c r="AO230" s="60">
        <f t="shared" ref="AO230" si="797">AJ230</f>
        <v>1.4248805063945227</v>
      </c>
      <c r="AP230" s="60">
        <f t="shared" ref="AP230" si="798">AK230</f>
        <v>1.0275014233753998</v>
      </c>
      <c r="AQ230" s="26"/>
    </row>
    <row r="231" spans="1:43" s="43" customFormat="1" outlineLevel="1" x14ac:dyDescent="0.25">
      <c r="A231" s="306"/>
      <c r="B231" s="572" t="s">
        <v>57</v>
      </c>
      <c r="C231" s="573"/>
      <c r="D231" s="47">
        <f t="shared" ref="D231:AA231" si="799">D227/D230</f>
        <v>57.276955602536987</v>
      </c>
      <c r="E231" s="47">
        <f t="shared" si="799"/>
        <v>64.547713717693838</v>
      </c>
      <c r="F231" s="275">
        <f t="shared" si="799"/>
        <v>62.768321513002363</v>
      </c>
      <c r="G231" s="275">
        <f t="shared" si="799"/>
        <v>65.765272259873825</v>
      </c>
      <c r="H231" s="308"/>
      <c r="I231" s="275">
        <f t="shared" si="799"/>
        <v>57.950456090144868</v>
      </c>
      <c r="J231" s="275">
        <f t="shared" si="799"/>
        <v>67.973269259648589</v>
      </c>
      <c r="K231" s="275">
        <f>K227/K230</f>
        <v>97.119811320754721</v>
      </c>
      <c r="L231" s="47">
        <f t="shared" si="799"/>
        <v>72.201942533387296</v>
      </c>
      <c r="M231" s="59"/>
      <c r="N231" s="47">
        <f t="shared" si="799"/>
        <v>66.067053828510083</v>
      </c>
      <c r="O231" s="47">
        <f t="shared" si="799"/>
        <v>67.920096366191515</v>
      </c>
      <c r="P231" s="47">
        <f t="shared" si="799"/>
        <v>63.865004533091565</v>
      </c>
      <c r="Q231" s="47">
        <f t="shared" si="799"/>
        <v>89.537588860728619</v>
      </c>
      <c r="R231" s="59"/>
      <c r="S231" s="47">
        <f t="shared" si="799"/>
        <v>66.067053828510083</v>
      </c>
      <c r="T231" s="47">
        <f t="shared" si="799"/>
        <v>67.920096366191515</v>
      </c>
      <c r="U231" s="47">
        <f t="shared" si="799"/>
        <v>63.865004533091565</v>
      </c>
      <c r="V231" s="47">
        <f t="shared" si="799"/>
        <v>89.537588860728619</v>
      </c>
      <c r="W231" s="59"/>
      <c r="X231" s="47">
        <f t="shared" si="799"/>
        <v>66.067053828510083</v>
      </c>
      <c r="Y231" s="47">
        <f t="shared" si="799"/>
        <v>67.920096366191515</v>
      </c>
      <c r="Z231" s="47">
        <f t="shared" si="799"/>
        <v>63.865004533091565</v>
      </c>
      <c r="AA231" s="47">
        <f t="shared" si="799"/>
        <v>89.537588860728619</v>
      </c>
      <c r="AB231" s="59"/>
      <c r="AC231" s="47">
        <f t="shared" ref="AC231:AF231" si="800">AC227/AC230</f>
        <v>66.067053828510083</v>
      </c>
      <c r="AD231" s="47">
        <f t="shared" si="800"/>
        <v>68.674764103593645</v>
      </c>
      <c r="AE231" s="47">
        <f t="shared" si="800"/>
        <v>63.865004533091565</v>
      </c>
      <c r="AF231" s="47">
        <f t="shared" si="800"/>
        <v>89.537588860728619</v>
      </c>
      <c r="AG231" s="59"/>
      <c r="AH231" s="47">
        <f t="shared" ref="AH231:AK231" si="801">AH227/AH230</f>
        <v>66.067053828510083</v>
      </c>
      <c r="AI231" s="47">
        <f t="shared" si="801"/>
        <v>67.920096366191515</v>
      </c>
      <c r="AJ231" s="47">
        <f t="shared" si="801"/>
        <v>63.865004533091565</v>
      </c>
      <c r="AK231" s="47">
        <f t="shared" si="801"/>
        <v>89.537588860728619</v>
      </c>
      <c r="AL231" s="59"/>
      <c r="AM231" s="47">
        <f t="shared" ref="AM231:AP231" si="802">AM227/AM230</f>
        <v>66.067053828510083</v>
      </c>
      <c r="AN231" s="47">
        <f t="shared" si="802"/>
        <v>67.920096366191515</v>
      </c>
      <c r="AO231" s="47">
        <f t="shared" si="802"/>
        <v>63.865004533091565</v>
      </c>
      <c r="AP231" s="47">
        <f t="shared" si="802"/>
        <v>89.537588860728619</v>
      </c>
      <c r="AQ231" s="59"/>
    </row>
    <row r="232" spans="1:43" s="43" customFormat="1" outlineLevel="1" x14ac:dyDescent="0.25">
      <c r="A232" s="306"/>
      <c r="B232" s="562" t="s">
        <v>58</v>
      </c>
      <c r="C232" s="563"/>
      <c r="D232" s="58">
        <f>D17/D203</f>
        <v>1.9771013175829171</v>
      </c>
      <c r="E232" s="58">
        <f t="shared" ref="E232:P232" si="803">E17/E203</f>
        <v>1.8345946931704202</v>
      </c>
      <c r="F232" s="307">
        <f t="shared" si="803"/>
        <v>1.9203771608171816</v>
      </c>
      <c r="G232" s="307">
        <f t="shared" si="803"/>
        <v>1.7983525258468513</v>
      </c>
      <c r="H232" s="309"/>
      <c r="I232" s="307">
        <f t="shared" si="803"/>
        <v>2.0600589535740608</v>
      </c>
      <c r="J232" s="307">
        <f t="shared" si="803"/>
        <v>2.0023053021950488</v>
      </c>
      <c r="K232" s="307">
        <f t="shared" si="803"/>
        <v>1.7239776951672863</v>
      </c>
      <c r="L232" s="307">
        <f t="shared" si="803"/>
        <v>1.9809600160336707</v>
      </c>
      <c r="M232" s="233"/>
      <c r="N232" s="307">
        <f t="shared" si="803"/>
        <v>1.9504092899295642</v>
      </c>
      <c r="O232" s="307">
        <f t="shared" si="803"/>
        <v>1.9276315789473686</v>
      </c>
      <c r="P232" s="307">
        <f t="shared" si="803"/>
        <v>1.9574090505767525</v>
      </c>
      <c r="Q232" s="60">
        <f>AVERAGE(G232,L232)</f>
        <v>1.8896562709402609</v>
      </c>
      <c r="R232" s="233"/>
      <c r="S232" s="60">
        <f>AVERAGE(I232,N232)</f>
        <v>2.0052341217518124</v>
      </c>
      <c r="T232" s="60">
        <f t="shared" ref="T232:U232" si="804">AVERAGE(J232,O232)</f>
        <v>1.9649684405712087</v>
      </c>
      <c r="U232" s="60">
        <f t="shared" si="804"/>
        <v>1.8406933728720194</v>
      </c>
      <c r="V232" s="60">
        <f>AVERAGE(L232,Q232)</f>
        <v>1.9353081434869659</v>
      </c>
      <c r="W232" s="233"/>
      <c r="X232" s="60">
        <f>AVERAGE(N232,S232)</f>
        <v>1.9778217058406882</v>
      </c>
      <c r="Y232" s="60">
        <f t="shared" ref="Y232:AA232" si="805">AVERAGE(O232,T232)</f>
        <v>1.9463000097592886</v>
      </c>
      <c r="Z232" s="60">
        <f t="shared" si="805"/>
        <v>1.8990512117243861</v>
      </c>
      <c r="AA232" s="60">
        <f t="shared" si="805"/>
        <v>1.9124822072136134</v>
      </c>
      <c r="AB232" s="59"/>
      <c r="AC232" s="60">
        <f>AVERAGE(S232,X232)</f>
        <v>1.9915279137962503</v>
      </c>
      <c r="AD232" s="60">
        <f t="shared" ref="AD232:AF232" si="806">AVERAGE(T232,Y232)</f>
        <v>1.9556342251652485</v>
      </c>
      <c r="AE232" s="60">
        <f t="shared" si="806"/>
        <v>1.8698722922982027</v>
      </c>
      <c r="AF232" s="60">
        <f t="shared" si="806"/>
        <v>1.9238951753502898</v>
      </c>
      <c r="AG232" s="59"/>
      <c r="AH232" s="60">
        <f>AVERAGE(X232,AC232)</f>
        <v>1.9846748098184692</v>
      </c>
      <c r="AI232" s="60">
        <f t="shared" ref="AI232:AK232" si="807">AVERAGE(Y232,AD232)</f>
        <v>1.9509671174622687</v>
      </c>
      <c r="AJ232" s="60">
        <f t="shared" si="807"/>
        <v>1.8844617520112945</v>
      </c>
      <c r="AK232" s="60">
        <f t="shared" si="807"/>
        <v>1.9181886912819515</v>
      </c>
      <c r="AL232" s="59"/>
      <c r="AM232" s="60">
        <f>AVERAGE(AC232,AH232)</f>
        <v>1.9881013618073597</v>
      </c>
      <c r="AN232" s="60">
        <f t="shared" ref="AN232" si="808">AVERAGE(AD232,AI232)</f>
        <v>1.9533006713137586</v>
      </c>
      <c r="AO232" s="60">
        <f t="shared" ref="AO232" si="809">AVERAGE(AE232,AJ232)</f>
        <v>1.8771670221547487</v>
      </c>
      <c r="AP232" s="60">
        <f t="shared" ref="AP232" si="810">AVERAGE(AF232,AK232)</f>
        <v>1.9210419333161206</v>
      </c>
      <c r="AQ232" s="59"/>
    </row>
    <row r="233" spans="1:43" s="43" customFormat="1" outlineLevel="1" x14ac:dyDescent="0.25">
      <c r="A233" s="306"/>
      <c r="B233" s="572" t="s">
        <v>22</v>
      </c>
      <c r="C233" s="573"/>
      <c r="D233" s="34">
        <f>D227/D232</f>
        <v>46.532769556025364</v>
      </c>
      <c r="E233" s="34">
        <f>E227/E232</f>
        <v>49.057157057654081</v>
      </c>
      <c r="F233" s="255">
        <f>F227/F232</f>
        <v>47.386524822695037</v>
      </c>
      <c r="G233" s="255">
        <f>G227/G232</f>
        <v>51.157934096751603</v>
      </c>
      <c r="H233" s="310"/>
      <c r="I233" s="255">
        <f>I227/I232</f>
        <v>44.658916115185114</v>
      </c>
      <c r="J233" s="255">
        <f>J227/J232</f>
        <v>45.447614756970509</v>
      </c>
      <c r="K233" s="255">
        <f>K227/K232</f>
        <v>52.784905660377355</v>
      </c>
      <c r="L233" s="34">
        <f>L227/L232</f>
        <v>46.44212869283691</v>
      </c>
      <c r="M233" s="54"/>
      <c r="N233" s="34">
        <f>N227/N232</f>
        <v>47.169586647796592</v>
      </c>
      <c r="O233" s="34">
        <f>O227/O232</f>
        <v>46.689419795221838</v>
      </c>
      <c r="P233" s="34">
        <f>P227/P232</f>
        <v>46.490027198549406</v>
      </c>
      <c r="Q233" s="34">
        <f>Q227/Q232</f>
        <v>48.686103083828236</v>
      </c>
      <c r="R233" s="54"/>
      <c r="S233" s="34">
        <f>S227/S232</f>
        <v>45.879929431694976</v>
      </c>
      <c r="T233" s="34">
        <f>T227/T232</f>
        <v>45.80226233752505</v>
      </c>
      <c r="U233" s="34">
        <f>U227/U232</f>
        <v>49.437891905925326</v>
      </c>
      <c r="V233" s="34">
        <f>V227/V232</f>
        <v>47.53764939687477</v>
      </c>
      <c r="W233" s="54"/>
      <c r="X233" s="34">
        <f>X227/X232</f>
        <v>46.515820778139705</v>
      </c>
      <c r="Y233" s="34">
        <f>Y227/Y232</f>
        <v>46.24158636834764</v>
      </c>
      <c r="Z233" s="34">
        <f>Z227/Z232</f>
        <v>47.918665614799153</v>
      </c>
      <c r="AA233" s="34">
        <f>AA227/AA232</f>
        <v>48.105022704519271</v>
      </c>
      <c r="AB233" s="54"/>
      <c r="AC233" s="34">
        <f>AC227/AC232</f>
        <v>46.195686920917723</v>
      </c>
      <c r="AD233" s="34">
        <f>AD227/AD232</f>
        <v>46.532218974798631</v>
      </c>
      <c r="AE233" s="34">
        <f>AE227/AE232</f>
        <v>48.666425175034114</v>
      </c>
      <c r="AF233" s="34">
        <f>AF227/AF232</f>
        <v>47.819653159247238</v>
      </c>
      <c r="AG233" s="54"/>
      <c r="AH233" s="34">
        <f>AH227/AH232</f>
        <v>46.355201136661222</v>
      </c>
      <c r="AI233" s="34">
        <f>AI227/AI232</f>
        <v>46.130967146728743</v>
      </c>
      <c r="AJ233" s="34">
        <f>AJ227/AJ232</f>
        <v>48.28965082622414</v>
      </c>
      <c r="AK233" s="34">
        <f>AK227/AK232</f>
        <v>47.96191345415302</v>
      </c>
      <c r="AL233" s="54"/>
      <c r="AM233" s="34">
        <f>AM227/AM232</f>
        <v>46.275306565035436</v>
      </c>
      <c r="AN233" s="34">
        <f>AN227/AN232</f>
        <v>46.075855766469097</v>
      </c>
      <c r="AO233" s="34">
        <f>AO227/AO232</f>
        <v>48.477305922167538</v>
      </c>
      <c r="AP233" s="34">
        <f>AP227/AP232</f>
        <v>47.890677660111635</v>
      </c>
      <c r="AQ233" s="54"/>
    </row>
    <row r="234" spans="1:43" s="43" customFormat="1" outlineLevel="1" x14ac:dyDescent="0.25">
      <c r="A234" s="306"/>
      <c r="B234" s="562" t="s">
        <v>234</v>
      </c>
      <c r="C234" s="563"/>
      <c r="D234" s="56">
        <f>(D193+D188)/D201</f>
        <v>2.4783172266068774E-2</v>
      </c>
      <c r="E234" s="56">
        <f>(E193+E188)/E201</f>
        <v>1.862044337628033E-2</v>
      </c>
      <c r="F234" s="284">
        <f t="shared" ref="F234:K234" si="811">(F193+F188)/F201</f>
        <v>1.4104190097872643E-2</v>
      </c>
      <c r="G234" s="284">
        <f t="shared" si="811"/>
        <v>1.5114935950133718E-2</v>
      </c>
      <c r="H234" s="310">
        <f t="shared" si="811"/>
        <v>1.5114935950133718E-2</v>
      </c>
      <c r="I234" s="284">
        <f t="shared" si="811"/>
        <v>9.6713821566244626E-3</v>
      </c>
      <c r="J234" s="284">
        <f t="shared" si="811"/>
        <v>9.1597553031598795E-3</v>
      </c>
      <c r="K234" s="284">
        <f t="shared" si="811"/>
        <v>1.5555616562459249E-2</v>
      </c>
      <c r="L234" s="284">
        <f t="shared" ref="L234" si="812">(L193+L188)/L201</f>
        <v>1.6589218539890038E-2</v>
      </c>
      <c r="M234" s="54"/>
      <c r="N234" s="284">
        <f t="shared" ref="N234:P234" si="813">(N193+N188)/N201</f>
        <v>1.4228367975494099E-2</v>
      </c>
      <c r="O234" s="284">
        <f t="shared" si="813"/>
        <v>1.4373528458035493E-2</v>
      </c>
      <c r="P234" s="284">
        <f t="shared" si="813"/>
        <v>1.4910030939586384E-2</v>
      </c>
      <c r="Q234" s="64">
        <f>AVERAGE(L234,N234,O234,P234)</f>
        <v>1.5025286478251505E-2</v>
      </c>
      <c r="R234" s="54"/>
      <c r="S234" s="64">
        <f>AVERAGE(N234,O234,P234,Q234)</f>
        <v>1.463430346284187E-2</v>
      </c>
      <c r="T234" s="64">
        <f>AVERAGE(O234,P234,Q234,S234)</f>
        <v>1.4735787334678813E-2</v>
      </c>
      <c r="U234" s="64">
        <f>AVERAGE(P234,Q234,S234,T234)</f>
        <v>1.4826352053839642E-2</v>
      </c>
      <c r="V234" s="64">
        <f>AVERAGE(Q234,S234,T234,U234)</f>
        <v>1.4805432332402958E-2</v>
      </c>
      <c r="W234" s="54"/>
      <c r="X234" s="64">
        <f>AVERAGE(S234,T234,U234,V234)</f>
        <v>1.4750468795940821E-2</v>
      </c>
      <c r="Y234" s="64">
        <f>AVERAGE(T234,U234,V234,X234)</f>
        <v>1.4779510129215559E-2</v>
      </c>
      <c r="Z234" s="64">
        <f>AVERAGE(U234,V234,X234,Y234)</f>
        <v>1.4790440827849746E-2</v>
      </c>
      <c r="AA234" s="64">
        <f>AVERAGE(V234,X234,Y234,Z234)</f>
        <v>1.4781463021352272E-2</v>
      </c>
      <c r="AB234" s="54"/>
      <c r="AC234" s="64">
        <f>AVERAGE(X234,Y234,Z234,AA234)</f>
        <v>1.4775470693589601E-2</v>
      </c>
      <c r="AD234" s="64">
        <f>AVERAGE(Y234,Z234,AA234,AC234)</f>
        <v>1.4781721168001794E-2</v>
      </c>
      <c r="AE234" s="64">
        <f>AVERAGE(Z234,AA234,AC234,AD234)</f>
        <v>1.4782273927698354E-2</v>
      </c>
      <c r="AF234" s="64">
        <f>AVERAGE(AA234,AC234,AD234,AE234)</f>
        <v>1.4780232202660505E-2</v>
      </c>
      <c r="AG234" s="54"/>
      <c r="AH234" s="64">
        <f>AVERAGE(AC234,AD234,AE234,AF234)</f>
        <v>1.4779924497987564E-2</v>
      </c>
      <c r="AI234" s="64">
        <f>AVERAGE(AD234,AE234,AF234,AH234)</f>
        <v>1.4781037949087056E-2</v>
      </c>
      <c r="AJ234" s="64">
        <f>AVERAGE(AE234,AF234,AH234,AI234)</f>
        <v>1.4780867144358369E-2</v>
      </c>
      <c r="AK234" s="64">
        <f>AVERAGE(AF234,AH234,AI234,AJ234)</f>
        <v>1.4780515448523374E-2</v>
      </c>
      <c r="AL234" s="54"/>
      <c r="AM234" s="64">
        <f>AVERAGE(AH234,AI234,AJ234,AK234)</f>
        <v>1.4780586259989089E-2</v>
      </c>
      <c r="AN234" s="64">
        <f>AVERAGE(AI234,AJ234,AK234,AM234)</f>
        <v>1.4780751700489472E-2</v>
      </c>
      <c r="AO234" s="64">
        <f>AVERAGE(AJ234,AK234,AM234,AN234)</f>
        <v>1.4780680138340076E-2</v>
      </c>
      <c r="AP234" s="64">
        <f>AVERAGE(AK234,AM234,AN234,AO234)</f>
        <v>1.4780633386835502E-2</v>
      </c>
      <c r="AQ234" s="54"/>
    </row>
    <row r="235" spans="1:43" s="43" customFormat="1" outlineLevel="1" x14ac:dyDescent="0.25">
      <c r="A235" s="306"/>
      <c r="B235" s="407" t="s">
        <v>233</v>
      </c>
      <c r="C235" s="394"/>
      <c r="D235" s="56">
        <f>D188/(D188+D193)</f>
        <v>0.4648626817447496</v>
      </c>
      <c r="E235" s="56">
        <f>E188/(E188+E193)</f>
        <v>0.23318112633181123</v>
      </c>
      <c r="F235" s="284">
        <f t="shared" ref="F235:K235" si="814">F188/(F188+F193)</f>
        <v>0.24465558194774345</v>
      </c>
      <c r="G235" s="284">
        <f t="shared" si="814"/>
        <v>0.24268502581755594</v>
      </c>
      <c r="H235" s="310">
        <f t="shared" si="814"/>
        <v>0.24268502581755594</v>
      </c>
      <c r="I235" s="284">
        <f t="shared" si="814"/>
        <v>0.25503355704697983</v>
      </c>
      <c r="J235" s="284">
        <f t="shared" si="814"/>
        <v>0.21017083829956296</v>
      </c>
      <c r="K235" s="284">
        <f t="shared" si="814"/>
        <v>0.50716964482682547</v>
      </c>
      <c r="L235" s="284">
        <f t="shared" ref="L235" si="815">L188/(L188+L193)</f>
        <v>0.57705725425815724</v>
      </c>
      <c r="M235" s="54"/>
      <c r="N235" s="284">
        <f t="shared" ref="N235:P235" si="816">N188/(N188+N193)</f>
        <v>0.55229831144465291</v>
      </c>
      <c r="O235" s="284">
        <f t="shared" si="816"/>
        <v>0.30161844041196662</v>
      </c>
      <c r="P235" s="284">
        <f t="shared" si="816"/>
        <v>0.34948805460750854</v>
      </c>
      <c r="Q235" s="64">
        <f>AVERAGE(L235,N235,O235,P235)</f>
        <v>0.44511551518057135</v>
      </c>
      <c r="R235" s="54"/>
      <c r="S235" s="64">
        <f>AVERAGE(N235,O235,P235,Q235)</f>
        <v>0.41213008041117483</v>
      </c>
      <c r="T235" s="64">
        <f>AVERAGE(O235,P235,Q235,S235)</f>
        <v>0.37708802265280539</v>
      </c>
      <c r="U235" s="64">
        <f>AVERAGE(P235,Q235,S235,T235)</f>
        <v>0.39595541821301505</v>
      </c>
      <c r="V235" s="64">
        <f>AVERAGE(Q235,S235,T235,U235)</f>
        <v>0.40757225911439166</v>
      </c>
      <c r="W235" s="54"/>
      <c r="X235" s="64">
        <f>AVERAGE(S235,T235,U235,V235)</f>
        <v>0.39818644509784673</v>
      </c>
      <c r="Y235" s="64">
        <f>AVERAGE(T235,U235,V235,X235)</f>
        <v>0.39470053626951468</v>
      </c>
      <c r="Z235" s="64">
        <f>AVERAGE(U235,V235,X235,Y235)</f>
        <v>0.39910366467369202</v>
      </c>
      <c r="AA235" s="64">
        <f>AVERAGE(V235,X235,Y235,Z235)</f>
        <v>0.3998907262888613</v>
      </c>
      <c r="AB235" s="54"/>
      <c r="AC235" s="64">
        <f>AVERAGE(X235,Y235,Z235,AA235)</f>
        <v>0.39797034308247869</v>
      </c>
      <c r="AD235" s="64">
        <f>AVERAGE(Y235,Z235,AA235,AC235)</f>
        <v>0.39791631757863666</v>
      </c>
      <c r="AE235" s="64">
        <f>AVERAGE(Z235,AA235,AC235,AD235)</f>
        <v>0.39872026290591717</v>
      </c>
      <c r="AF235" s="64">
        <f>AVERAGE(AA235,AC235,AD235,AE235)</f>
        <v>0.39862441246397345</v>
      </c>
      <c r="AG235" s="54"/>
      <c r="AH235" s="64">
        <f>AVERAGE(AC235,AD235,AE235,AF235)</f>
        <v>0.39830783400775149</v>
      </c>
      <c r="AI235" s="64">
        <f>AVERAGE(AD235,AE235,AF235,AH235)</f>
        <v>0.39839220673906972</v>
      </c>
      <c r="AJ235" s="64">
        <f>AVERAGE(AE235,AF235,AH235,AI235)</f>
        <v>0.39851117902917799</v>
      </c>
      <c r="AK235" s="64">
        <f>AVERAGE(AF235,AH235,AI235,AJ235)</f>
        <v>0.39845890805999318</v>
      </c>
      <c r="AL235" s="54"/>
      <c r="AM235" s="64">
        <f>AVERAGE(AH235,AI235,AJ235,AK235)</f>
        <v>0.39841753195899809</v>
      </c>
      <c r="AN235" s="64">
        <f>AVERAGE(AI235,AJ235,AK235,AM235)</f>
        <v>0.39844495644680977</v>
      </c>
      <c r="AO235" s="64">
        <f>AVERAGE(AJ235,AK235,AM235,AN235)</f>
        <v>0.39845814387374479</v>
      </c>
      <c r="AP235" s="64">
        <f>AVERAGE(AK235,AM235,AN235,AO235)</f>
        <v>0.3984448850848864</v>
      </c>
      <c r="AQ235" s="54"/>
    </row>
    <row r="236" spans="1:43" s="43" customFormat="1" outlineLevel="1" x14ac:dyDescent="0.25">
      <c r="A236" s="306"/>
      <c r="B236" s="393" t="s">
        <v>235</v>
      </c>
      <c r="C236" s="394"/>
      <c r="D236" s="56">
        <f>+(D209+D212)/D222</f>
        <v>-3.1717034875642636</v>
      </c>
      <c r="E236" s="56">
        <f>+(E209+E212)/E222</f>
        <v>-1.8304138862408643</v>
      </c>
      <c r="F236" s="284">
        <f>+(F209+F212)/F222</f>
        <v>-2.5837230840472332</v>
      </c>
      <c r="G236" s="284">
        <f>+(G209+G212)/G222</f>
        <v>-1.7921681913015568</v>
      </c>
      <c r="H236" s="310"/>
      <c r="I236" s="284">
        <f>+(I209+I212)/I222</f>
        <v>-1.7235726649997785</v>
      </c>
      <c r="J236" s="284">
        <f>+(J209+J212)/J222</f>
        <v>-1.8605318005017988</v>
      </c>
      <c r="K236" s="284">
        <f>+(K209+K212)/K222</f>
        <v>-1.9516598448569742</v>
      </c>
      <c r="L236" s="56">
        <f>+(L209+L212)/L222</f>
        <v>-2.0960971356771032</v>
      </c>
      <c r="M236" s="54"/>
      <c r="N236" s="56">
        <f>+(N209+N212)/N222</f>
        <v>-2.0136766194331983</v>
      </c>
      <c r="O236" s="56">
        <f>+(O209+O212)/O222</f>
        <v>-1.9152752899337104</v>
      </c>
      <c r="P236" s="56">
        <f>+(P209+P212)/P222</f>
        <v>-2.1515240716482933</v>
      </c>
      <c r="Q236" s="56">
        <f>+(Q209+Q212)/Q222</f>
        <v>-2.3377479208439618</v>
      </c>
      <c r="R236" s="54"/>
      <c r="S236" s="56">
        <f t="shared" ref="S236:AA236" si="817">+(S209+S212)/S222</f>
        <v>-2.2288662427516299</v>
      </c>
      <c r="T236" s="56">
        <f t="shared" si="817"/>
        <v>-2.089065980115036</v>
      </c>
      <c r="U236" s="56">
        <f t="shared" si="817"/>
        <v>-2.0498215349853264</v>
      </c>
      <c r="V236" s="56">
        <f t="shared" si="817"/>
        <v>-2.0515760797520293</v>
      </c>
      <c r="W236" s="54">
        <f t="shared" si="817"/>
        <v>-2.0515760797520293</v>
      </c>
      <c r="X236" s="56">
        <f t="shared" si="817"/>
        <v>-2.0338010420941877</v>
      </c>
      <c r="Y236" s="56">
        <f t="shared" si="817"/>
        <v>-1.9866837583572434</v>
      </c>
      <c r="Z236" s="56">
        <f t="shared" si="817"/>
        <v>-1.9966404956031905</v>
      </c>
      <c r="AA236" s="56">
        <f t="shared" si="817"/>
        <v>-2.0369484795876103</v>
      </c>
      <c r="AB236" s="54"/>
      <c r="AC236" s="56">
        <f>+(AC209+AC212)/AC222</f>
        <v>-2.1252442909467066</v>
      </c>
      <c r="AD236" s="56">
        <f>+(AD209+AD212)/AD222</f>
        <v>-2.1838664534863645</v>
      </c>
      <c r="AE236" s="56">
        <f>+(AE209+AE212)/AE222</f>
        <v>-2.3445195265798224</v>
      </c>
      <c r="AF236" s="56">
        <f>+(AF209+AF212)/AF222</f>
        <v>-2.6312592429332091</v>
      </c>
      <c r="AG236" s="54"/>
      <c r="AH236" s="56">
        <f>+(AH209+AH212)/AH222</f>
        <v>-2.9786743807097422</v>
      </c>
      <c r="AI236" s="56">
        <f>+(AI209+AI212)/AI222</f>
        <v>-3.3513807387225696</v>
      </c>
      <c r="AJ236" s="56">
        <f>+(AJ209+AJ212)/AJ222</f>
        <v>-4.2158361646042044</v>
      </c>
      <c r="AK236" s="56">
        <f>+(AK209+AK212)/AK222</f>
        <v>-6.1221148114232955</v>
      </c>
      <c r="AL236" s="54"/>
      <c r="AM236" s="56">
        <f>+(AM209+AM212)/AM222</f>
        <v>-10.659693173584143</v>
      </c>
      <c r="AN236" s="56">
        <f>+(AN209+AN212)/AN222</f>
        <v>-32.077990822960885</v>
      </c>
      <c r="AO236" s="56">
        <f>+(AO209+AO212)/AO222</f>
        <v>16.08104720068032</v>
      </c>
      <c r="AP236" s="56">
        <f>+(AP209+AP212)/AP222</f>
        <v>5.6885082414286599</v>
      </c>
      <c r="AQ236" s="54"/>
    </row>
    <row r="237" spans="1:43" s="43" customFormat="1" outlineLevel="1" x14ac:dyDescent="0.25">
      <c r="A237" s="306"/>
      <c r="B237" s="407" t="s">
        <v>236</v>
      </c>
      <c r="C237" s="394"/>
      <c r="D237" s="56">
        <f>+D209/(D209+D212)</f>
        <v>0</v>
      </c>
      <c r="E237" s="56">
        <f>+E209/(E209+E212)</f>
        <v>8.1375793413985785E-3</v>
      </c>
      <c r="F237" s="284">
        <f>+F209/(F209+F212)</f>
        <v>0</v>
      </c>
      <c r="G237" s="284">
        <f>+G209/(G209+G212)</f>
        <v>0</v>
      </c>
      <c r="H237" s="310"/>
      <c r="I237" s="284">
        <f>+I209/(I209+I212)</f>
        <v>8.5546532987690757E-2</v>
      </c>
      <c r="J237" s="284">
        <f>+J209/(J209+J212)</f>
        <v>0.16813887778982817</v>
      </c>
      <c r="K237" s="284">
        <f>+K209/(K209+K212)</f>
        <v>0.12987992894360045</v>
      </c>
      <c r="L237" s="56">
        <f>+L209/(L209+L212)</f>
        <v>0.10329514383758555</v>
      </c>
      <c r="M237" s="54"/>
      <c r="N237" s="56">
        <f>+N209/(N209+N212)</f>
        <v>7.8071889470410452E-2</v>
      </c>
      <c r="O237" s="56">
        <f>+O209/(O209+O212)</f>
        <v>1.2492661414742708E-3</v>
      </c>
      <c r="P237" s="56">
        <f>+P209/(P209+P212)</f>
        <v>6.8333093904132544E-2</v>
      </c>
      <c r="Q237" s="56">
        <f>+Q209/(Q209+Q212)</f>
        <v>5.2122410061177189E-2</v>
      </c>
      <c r="R237" s="54"/>
      <c r="S237" s="56">
        <f t="shared" ref="S237:AA237" si="818">+S209/(S209+S212)</f>
        <v>9.0055595214917697E-2</v>
      </c>
      <c r="T237" s="56">
        <f t="shared" si="818"/>
        <v>5.6021424136563913E-2</v>
      </c>
      <c r="U237" s="56">
        <f t="shared" si="818"/>
        <v>1.9418607361820179E-2</v>
      </c>
      <c r="V237" s="56">
        <f t="shared" si="818"/>
        <v>-7.9244954077477032E-6</v>
      </c>
      <c r="W237" s="54">
        <f t="shared" si="818"/>
        <v>-7.9244954077477032E-6</v>
      </c>
      <c r="X237" s="56">
        <f t="shared" si="818"/>
        <v>6.0626884736965508E-2</v>
      </c>
      <c r="Y237" s="56">
        <f t="shared" si="818"/>
        <v>4.1248937627381577E-2</v>
      </c>
      <c r="Z237" s="56">
        <f t="shared" si="818"/>
        <v>2.1054671373566664E-2</v>
      </c>
      <c r="AA237" s="56">
        <f t="shared" si="818"/>
        <v>-8.6065185771625215E-6</v>
      </c>
      <c r="AB237" s="54"/>
      <c r="AC237" s="56">
        <f>+AC209/(AC209+AC212)</f>
        <v>0.10277759275294744</v>
      </c>
      <c r="AD237" s="56">
        <f>+AD209/(AD209+AD212)</f>
        <v>7.0949052786463129E-2</v>
      </c>
      <c r="AE237" s="56">
        <f>+AE209/(AE209+AE212)</f>
        <v>3.6779252973565657E-2</v>
      </c>
      <c r="AF237" s="56">
        <f>+AF209/(AF209+AF212)</f>
        <v>0</v>
      </c>
      <c r="AG237" s="54"/>
      <c r="AH237" s="56">
        <f>+AH209/(AH209+AH212)</f>
        <v>9.5760980592441272E-2</v>
      </c>
      <c r="AI237" s="56">
        <f>+AI209/(AI209+AI212)</f>
        <v>6.594566077552097E-2</v>
      </c>
      <c r="AJ237" s="56">
        <f>+AJ209/(AJ209+AJ212)</f>
        <v>3.4097108565193671E-2</v>
      </c>
      <c r="AK237" s="56">
        <f>+AK209/(AK209+AK212)</f>
        <v>0</v>
      </c>
      <c r="AL237" s="54"/>
      <c r="AM237" s="56">
        <f>+AM209/(AM209+AM212)</f>
        <v>0.10977751756440281</v>
      </c>
      <c r="AN237" s="56">
        <f>+AN209/(AN209+AN212)</f>
        <v>7.5964752354907322E-2</v>
      </c>
      <c r="AO237" s="56">
        <f>+AO209/(AO209+AO212)</f>
        <v>3.9481996209728365E-2</v>
      </c>
      <c r="AP237" s="56">
        <f>+AP209/(AP209+AP212)</f>
        <v>0</v>
      </c>
      <c r="AQ237" s="54"/>
    </row>
    <row r="238" spans="1:43" s="43" customFormat="1" outlineLevel="1" x14ac:dyDescent="0.25">
      <c r="A238" s="306"/>
      <c r="B238" s="393" t="s">
        <v>230</v>
      </c>
      <c r="C238" s="394"/>
      <c r="D238" s="56">
        <f>+D197/(D208+D214)</f>
        <v>7.7585075018799465E-2</v>
      </c>
      <c r="E238" s="56">
        <f>+E197/(E208+E214)</f>
        <v>0.12468259571674534</v>
      </c>
      <c r="F238" s="276">
        <f t="shared" ref="F238:K238" si="819">+F197/(F208+F214)</f>
        <v>0.19119242713361023</v>
      </c>
      <c r="G238" s="276">
        <f t="shared" si="819"/>
        <v>0.22035590386103276</v>
      </c>
      <c r="H238" s="305">
        <f t="shared" si="819"/>
        <v>0.22035590386103276</v>
      </c>
      <c r="I238" s="304">
        <f t="shared" si="819"/>
        <v>0.20507171706404201</v>
      </c>
      <c r="J238" s="304">
        <f t="shared" si="819"/>
        <v>0.21050752296288999</v>
      </c>
      <c r="K238" s="276">
        <f t="shared" si="819"/>
        <v>0.2146584586535733</v>
      </c>
      <c r="L238" s="276">
        <f t="shared" ref="L238" si="820">+L197/(L208+L214)</f>
        <v>0.22220980757293607</v>
      </c>
      <c r="M238" s="79"/>
      <c r="N238" s="304">
        <f t="shared" ref="N238:P238" si="821">+N197/(N208+N214)</f>
        <v>0.21164495979407008</v>
      </c>
      <c r="O238" s="304">
        <f t="shared" si="821"/>
        <v>0.21706605185058006</v>
      </c>
      <c r="P238" s="276">
        <f t="shared" si="821"/>
        <v>0.22796408734312845</v>
      </c>
      <c r="Q238" s="65">
        <f>AVERAGE(L238,N238,O238,P238)</f>
        <v>0.21972122664017865</v>
      </c>
      <c r="R238" s="79"/>
      <c r="S238" s="51">
        <f>AVERAGE(N238,O238,P238,Q238)</f>
        <v>0.2190990814069893</v>
      </c>
      <c r="T238" s="51">
        <f>AVERAGE(O238,P238,Q238,S238)</f>
        <v>0.22096261181021912</v>
      </c>
      <c r="U238" s="65">
        <f>AVERAGE(P238,Q238,S238,T238)</f>
        <v>0.2219367518001289</v>
      </c>
      <c r="V238" s="65">
        <f>AVERAGE(Q238,S238,T238,U238)</f>
        <v>0.22042991791437899</v>
      </c>
      <c r="W238" s="79"/>
      <c r="X238" s="51">
        <f>AVERAGE(S238,T238,U238,V238)</f>
        <v>0.22060709073292906</v>
      </c>
      <c r="Y238" s="51">
        <f>AVERAGE(T238,U238,V238,X238)</f>
        <v>0.22098409306441399</v>
      </c>
      <c r="Z238" s="65">
        <f>AVERAGE(U238,V238,X238,Y238)</f>
        <v>0.22098946337796274</v>
      </c>
      <c r="AA238" s="161">
        <f>AVERAGE(V238,X238,Y238,Z238)</f>
        <v>0.2207526412724212</v>
      </c>
      <c r="AB238" s="54"/>
      <c r="AC238" s="51">
        <f>AVERAGE(X238,Y238,Z238,AA238)</f>
        <v>0.22083332211193177</v>
      </c>
      <c r="AD238" s="51">
        <f>AVERAGE(Y238,Z238,AA238,AC238)</f>
        <v>0.22088987995668241</v>
      </c>
      <c r="AE238" s="65">
        <f>AVERAGE(Z238,AA238,AC238,AD238)</f>
        <v>0.22086632667974954</v>
      </c>
      <c r="AF238" s="161">
        <f>AVERAGE(AA238,AC238,AD238,AE238)</f>
        <v>0.22083554250519621</v>
      </c>
      <c r="AG238" s="54"/>
      <c r="AH238" s="51">
        <f>AVERAGE(AC238,AD238,AE238,AF238)</f>
        <v>0.22085626781338996</v>
      </c>
      <c r="AI238" s="51">
        <f>AVERAGE(AD238,AE238,AF238,AH238)</f>
        <v>0.22086200423875454</v>
      </c>
      <c r="AJ238" s="65">
        <f>AVERAGE(AE238,AF238,AH238,AI238)</f>
        <v>0.22085503530927258</v>
      </c>
      <c r="AK238" s="161">
        <f>AVERAGE(AF238,AH238,AI238,AJ238)</f>
        <v>0.22085221246665332</v>
      </c>
      <c r="AL238" s="54"/>
      <c r="AM238" s="51">
        <f>AVERAGE(AH238,AI238,AJ238,AK238)</f>
        <v>0.2208563799570176</v>
      </c>
      <c r="AN238" s="51">
        <f>AVERAGE(AI238,AJ238,AK238,AM238)</f>
        <v>0.2208564079929245</v>
      </c>
      <c r="AO238" s="65">
        <f>AVERAGE(AJ238,AK238,AM238,AN238)</f>
        <v>0.22085500893146701</v>
      </c>
      <c r="AP238" s="161">
        <f>AVERAGE(AK238,AM238,AN238,AO238)</f>
        <v>0.2208550023370156</v>
      </c>
      <c r="AQ238" s="54"/>
    </row>
    <row r="239" spans="1:43" outlineLevel="1" x14ac:dyDescent="0.25">
      <c r="A239" s="253"/>
      <c r="B239" s="398" t="s">
        <v>70</v>
      </c>
      <c r="C239" s="399"/>
      <c r="D239" s="234"/>
      <c r="E239" s="234">
        <f>+E245/((E195+D195)/2)</f>
        <v>6.122482504846076E-2</v>
      </c>
      <c r="F239" s="311">
        <f t="shared" ref="F239:H239" si="822">+F245/((F195+E195)/2)</f>
        <v>5.8442138063667992E-2</v>
      </c>
      <c r="G239" s="311">
        <f t="shared" si="822"/>
        <v>5.7957922263164152E-2</v>
      </c>
      <c r="H239" s="312">
        <f t="shared" si="822"/>
        <v>0.2253370026587061</v>
      </c>
      <c r="I239" s="313">
        <f>+I245/((I195+G195)/2)</f>
        <v>5.75858250276855E-2</v>
      </c>
      <c r="J239" s="313">
        <f>+J245/((J195+I195)/2)</f>
        <v>5.9117695395957084E-2</v>
      </c>
      <c r="K239" s="311">
        <f>+K245/((K195+J195)/2)</f>
        <v>5.9467301657388859E-2</v>
      </c>
      <c r="L239" s="311">
        <f t="shared" ref="L239" si="823">+L245/((L195+K195)/2)</f>
        <v>6.0492940894950963E-2</v>
      </c>
      <c r="M239" s="104"/>
      <c r="N239" s="313">
        <f>+N245/((N195+L195)/2)</f>
        <v>6.2547808652661588E-2</v>
      </c>
      <c r="O239" s="313">
        <f>+O245/((O195+N195)/2)</f>
        <v>6.251524266319812E-2</v>
      </c>
      <c r="P239" s="311">
        <f>+P245/((P195+O195)/2)</f>
        <v>6.0825288199111989E-2</v>
      </c>
      <c r="Q239" s="149">
        <f>AVERAGE(L239,N239,O239,P239)</f>
        <v>6.1595320102480658E-2</v>
      </c>
      <c r="R239" s="104"/>
      <c r="S239" s="150">
        <f>AVERAGE(N239,O239,P239,Q239)</f>
        <v>6.1870914904363083E-2</v>
      </c>
      <c r="T239" s="150">
        <f>AVERAGE(O239,P239,Q239,S239)</f>
        <v>6.1701691467288461E-2</v>
      </c>
      <c r="U239" s="149">
        <f>AVERAGE(P239,Q239,S239,T239)</f>
        <v>6.149830366831105E-2</v>
      </c>
      <c r="V239" s="149">
        <f>AVERAGE(Q239,S239,T239,U239)</f>
        <v>6.1666557535610816E-2</v>
      </c>
      <c r="W239" s="104"/>
      <c r="X239" s="150">
        <f>AVERAGE(S239,T239,U239,V239)</f>
        <v>6.1684366893893353E-2</v>
      </c>
      <c r="Y239" s="150">
        <f>AVERAGE(T239,U239,V239,X239)</f>
        <v>6.1637729891275916E-2</v>
      </c>
      <c r="Z239" s="149">
        <f>AVERAGE(U239,V239,X239,Y239)</f>
        <v>6.1621739497272787E-2</v>
      </c>
      <c r="AA239" s="149">
        <f>AVERAGE(V239,X239,Y239,Z239)</f>
        <v>6.1652598454513222E-2</v>
      </c>
      <c r="AB239" s="235"/>
      <c r="AC239" s="150">
        <f>AVERAGE(X239,Y239,Z239,AA239)</f>
        <v>6.1649108684238813E-2</v>
      </c>
      <c r="AD239" s="150">
        <f>AVERAGE(Y239,Z239,AA239,AC239)</f>
        <v>6.1640294131825181E-2</v>
      </c>
      <c r="AE239" s="149">
        <f>AVERAGE(Z239,AA239,AC239,AD239)</f>
        <v>6.1640935191962502E-2</v>
      </c>
      <c r="AF239" s="149">
        <f>AVERAGE(AA239,AC239,AD239,AE239)</f>
        <v>6.1645734115634933E-2</v>
      </c>
      <c r="AG239" s="235"/>
      <c r="AH239" s="150">
        <f>AVERAGE(AC239,AD239,AE239,AF239)</f>
        <v>6.1644018030915355E-2</v>
      </c>
      <c r="AI239" s="150">
        <f>AVERAGE(AD239,AE239,AF239,AH239)</f>
        <v>6.1642745367584489E-2</v>
      </c>
      <c r="AJ239" s="149">
        <f>AVERAGE(AE239,AF239,AH239,AI239)</f>
        <v>6.1643358176524318E-2</v>
      </c>
      <c r="AK239" s="149">
        <f>AVERAGE(AF239,AH239,AI239,AJ239)</f>
        <v>6.1643963922664774E-2</v>
      </c>
      <c r="AL239" s="235"/>
      <c r="AM239" s="150">
        <f>AVERAGE(AH239,AI239,AJ239,AK239)</f>
        <v>6.1643521374422229E-2</v>
      </c>
      <c r="AN239" s="150">
        <f>AVERAGE(AI239,AJ239,AK239,AM239)</f>
        <v>6.1643397210298954E-2</v>
      </c>
      <c r="AO239" s="149">
        <f>AVERAGE(AJ239,AK239,AM239,AN239)</f>
        <v>6.1643560170977572E-2</v>
      </c>
      <c r="AP239" s="149">
        <f>AVERAGE(AK239,AM239,AN239,AO239)</f>
        <v>6.1643610669590884E-2</v>
      </c>
      <c r="AQ239" s="235"/>
    </row>
    <row r="240" spans="1:43" x14ac:dyDescent="0.25">
      <c r="A240" s="253"/>
      <c r="B240" s="19"/>
      <c r="C240" s="19"/>
      <c r="D240" s="13"/>
      <c r="E240" s="13"/>
      <c r="F240" s="13"/>
      <c r="G240" s="13"/>
    </row>
    <row r="241" spans="1:43" ht="15.75" x14ac:dyDescent="0.25">
      <c r="A241" s="253"/>
      <c r="B241" s="532" t="s">
        <v>118</v>
      </c>
      <c r="C241" s="533"/>
      <c r="D241" s="31" t="s">
        <v>106</v>
      </c>
      <c r="E241" s="31" t="s">
        <v>244</v>
      </c>
      <c r="F241" s="31" t="s">
        <v>246</v>
      </c>
      <c r="G241" s="31" t="s">
        <v>337</v>
      </c>
      <c r="H241" s="85" t="s">
        <v>337</v>
      </c>
      <c r="I241" s="31" t="s">
        <v>336</v>
      </c>
      <c r="J241" s="31" t="s">
        <v>335</v>
      </c>
      <c r="K241" s="31" t="s">
        <v>334</v>
      </c>
      <c r="L241" s="31" t="s">
        <v>321</v>
      </c>
      <c r="M241" s="85" t="s">
        <v>321</v>
      </c>
      <c r="N241" s="31" t="s">
        <v>338</v>
      </c>
      <c r="O241" s="31" t="s">
        <v>346</v>
      </c>
      <c r="P241" s="31" t="s">
        <v>348</v>
      </c>
      <c r="Q241" s="33" t="s">
        <v>120</v>
      </c>
      <c r="R241" s="88" t="s">
        <v>120</v>
      </c>
      <c r="S241" s="33" t="s">
        <v>121</v>
      </c>
      <c r="T241" s="33" t="s">
        <v>122</v>
      </c>
      <c r="U241" s="33" t="s">
        <v>123</v>
      </c>
      <c r="V241" s="33" t="s">
        <v>124</v>
      </c>
      <c r="W241" s="88" t="s">
        <v>124</v>
      </c>
      <c r="X241" s="33" t="s">
        <v>125</v>
      </c>
      <c r="Y241" s="33" t="s">
        <v>126</v>
      </c>
      <c r="Z241" s="33" t="s">
        <v>127</v>
      </c>
      <c r="AA241" s="33" t="s">
        <v>128</v>
      </c>
      <c r="AB241" s="88" t="s">
        <v>128</v>
      </c>
      <c r="AC241" s="33" t="s">
        <v>248</v>
      </c>
      <c r="AD241" s="33" t="s">
        <v>249</v>
      </c>
      <c r="AE241" s="33" t="s">
        <v>250</v>
      </c>
      <c r="AF241" s="33" t="s">
        <v>251</v>
      </c>
      <c r="AG241" s="88" t="s">
        <v>251</v>
      </c>
      <c r="AH241" s="33" t="s">
        <v>281</v>
      </c>
      <c r="AI241" s="33" t="s">
        <v>282</v>
      </c>
      <c r="AJ241" s="33" t="s">
        <v>283</v>
      </c>
      <c r="AK241" s="33" t="s">
        <v>284</v>
      </c>
      <c r="AL241" s="88" t="s">
        <v>284</v>
      </c>
      <c r="AM241" s="33" t="s">
        <v>352</v>
      </c>
      <c r="AN241" s="33" t="s">
        <v>353</v>
      </c>
      <c r="AO241" s="33" t="s">
        <v>354</v>
      </c>
      <c r="AP241" s="33" t="s">
        <v>355</v>
      </c>
      <c r="AQ241" s="88" t="s">
        <v>355</v>
      </c>
    </row>
    <row r="242" spans="1:43" ht="17.25" x14ac:dyDescent="0.4">
      <c r="A242" s="253"/>
      <c r="B242" s="391" t="s">
        <v>3</v>
      </c>
      <c r="C242" s="392"/>
      <c r="D242" s="32" t="s">
        <v>119</v>
      </c>
      <c r="E242" s="32" t="s">
        <v>243</v>
      </c>
      <c r="F242" s="32" t="s">
        <v>247</v>
      </c>
      <c r="G242" s="32" t="s">
        <v>257</v>
      </c>
      <c r="H242" s="86" t="s">
        <v>258</v>
      </c>
      <c r="I242" s="32" t="s">
        <v>259</v>
      </c>
      <c r="J242" s="32" t="s">
        <v>260</v>
      </c>
      <c r="K242" s="32" t="s">
        <v>261</v>
      </c>
      <c r="L242" s="32" t="s">
        <v>322</v>
      </c>
      <c r="M242" s="86" t="s">
        <v>333</v>
      </c>
      <c r="N242" s="32" t="s">
        <v>339</v>
      </c>
      <c r="O242" s="32" t="s">
        <v>347</v>
      </c>
      <c r="P242" s="32" t="s">
        <v>349</v>
      </c>
      <c r="Q242" s="30" t="s">
        <v>129</v>
      </c>
      <c r="R242" s="89" t="s">
        <v>130</v>
      </c>
      <c r="S242" s="30" t="s">
        <v>131</v>
      </c>
      <c r="T242" s="30" t="s">
        <v>132</v>
      </c>
      <c r="U242" s="30" t="s">
        <v>133</v>
      </c>
      <c r="V242" s="30" t="s">
        <v>134</v>
      </c>
      <c r="W242" s="89" t="s">
        <v>135</v>
      </c>
      <c r="X242" s="30" t="s">
        <v>136</v>
      </c>
      <c r="Y242" s="30" t="s">
        <v>137</v>
      </c>
      <c r="Z242" s="30" t="s">
        <v>138</v>
      </c>
      <c r="AA242" s="30" t="s">
        <v>139</v>
      </c>
      <c r="AB242" s="89" t="s">
        <v>140</v>
      </c>
      <c r="AC242" s="30" t="s">
        <v>252</v>
      </c>
      <c r="AD242" s="30" t="s">
        <v>253</v>
      </c>
      <c r="AE242" s="30" t="s">
        <v>254</v>
      </c>
      <c r="AF242" s="30" t="s">
        <v>255</v>
      </c>
      <c r="AG242" s="89" t="s">
        <v>256</v>
      </c>
      <c r="AH242" s="30" t="s">
        <v>285</v>
      </c>
      <c r="AI242" s="30" t="s">
        <v>286</v>
      </c>
      <c r="AJ242" s="30" t="s">
        <v>287</v>
      </c>
      <c r="AK242" s="30" t="s">
        <v>288</v>
      </c>
      <c r="AL242" s="89" t="s">
        <v>289</v>
      </c>
      <c r="AM242" s="30" t="s">
        <v>356</v>
      </c>
      <c r="AN242" s="30" t="s">
        <v>357</v>
      </c>
      <c r="AO242" s="30" t="s">
        <v>358</v>
      </c>
      <c r="AP242" s="30" t="s">
        <v>359</v>
      </c>
      <c r="AQ242" s="89" t="s">
        <v>360</v>
      </c>
    </row>
    <row r="243" spans="1:43" outlineLevel="1" x14ac:dyDescent="0.25">
      <c r="A243" s="253"/>
      <c r="B243" s="556" t="s">
        <v>11</v>
      </c>
      <c r="C243" s="557"/>
      <c r="D243" s="13"/>
      <c r="E243" s="13"/>
      <c r="F243" s="13"/>
      <c r="G243" s="13"/>
      <c r="H243" s="15"/>
      <c r="I243" s="13"/>
      <c r="J243" s="13"/>
      <c r="K243" s="301"/>
      <c r="L243" s="13"/>
      <c r="M243" s="15"/>
      <c r="N243" s="13"/>
      <c r="O243" s="13"/>
      <c r="P243" s="13"/>
      <c r="Q243" s="13"/>
      <c r="R243" s="15"/>
      <c r="S243" s="13"/>
      <c r="T243" s="13"/>
      <c r="U243" s="13"/>
      <c r="V243" s="13"/>
      <c r="W243" s="15"/>
      <c r="X243" s="13"/>
      <c r="Y243" s="13"/>
      <c r="Z243" s="13"/>
      <c r="AA243" s="13"/>
      <c r="AB243" s="15"/>
      <c r="AC243" s="13"/>
      <c r="AD243" s="13"/>
      <c r="AE243" s="13"/>
      <c r="AF243" s="13"/>
      <c r="AG243" s="15"/>
      <c r="AH243" s="13"/>
      <c r="AI243" s="13"/>
      <c r="AJ243" s="13"/>
      <c r="AK243" s="13"/>
      <c r="AL243" s="15"/>
      <c r="AM243" s="13"/>
      <c r="AN243" s="13"/>
      <c r="AO243" s="13"/>
      <c r="AP243" s="13"/>
      <c r="AQ243" s="15"/>
    </row>
    <row r="244" spans="1:43" outlineLevel="1" x14ac:dyDescent="0.25">
      <c r="A244" s="253"/>
      <c r="B244" s="57" t="s">
        <v>213</v>
      </c>
      <c r="C244" s="144"/>
      <c r="D244" s="34">
        <f>D33</f>
        <v>760.40000000000043</v>
      </c>
      <c r="E244" s="255">
        <f>E33-0.2</f>
        <v>658.59999999999968</v>
      </c>
      <c r="F244" s="34">
        <f>F33</f>
        <v>1373.200000000001</v>
      </c>
      <c r="G244" s="34">
        <f>G33+0.2</f>
        <v>802.400000000001</v>
      </c>
      <c r="H244" s="35">
        <f>H33</f>
        <v>3594.6000000000054</v>
      </c>
      <c r="I244" s="34">
        <f>I33</f>
        <v>885.29999999999882</v>
      </c>
      <c r="J244" s="34">
        <f>J33</f>
        <v>324.79999999999905</v>
      </c>
      <c r="K244" s="34">
        <f>K33</f>
        <v>-678.09999999999923</v>
      </c>
      <c r="L244" s="34">
        <f>924.7-K244-J244-I244</f>
        <v>392.70000000000141</v>
      </c>
      <c r="M244" s="35">
        <f t="shared" ref="M244:AL244" si="824">M33</f>
        <v>924.70000000000437</v>
      </c>
      <c r="N244" s="34">
        <f t="shared" si="824"/>
        <v>622.20000000000016</v>
      </c>
      <c r="O244" s="34">
        <f t="shared" si="824"/>
        <v>659.4</v>
      </c>
      <c r="P244" s="34">
        <f t="shared" si="824"/>
        <v>1154.1999999999989</v>
      </c>
      <c r="Q244" s="34">
        <f t="shared" si="824"/>
        <v>1136.411603150354</v>
      </c>
      <c r="R244" s="35">
        <f t="shared" si="824"/>
        <v>3572.2116031503538</v>
      </c>
      <c r="S244" s="34">
        <f t="shared" si="824"/>
        <v>915.00668856712412</v>
      </c>
      <c r="T244" s="34">
        <f t="shared" si="824"/>
        <v>819.3926477623454</v>
      </c>
      <c r="U244" s="34">
        <f t="shared" si="824"/>
        <v>1105.0660562244896</v>
      </c>
      <c r="V244" s="34">
        <f t="shared" si="824"/>
        <v>1136.9066868451532</v>
      </c>
      <c r="W244" s="35">
        <f t="shared" si="824"/>
        <v>3976.3720793991106</v>
      </c>
      <c r="X244" s="34">
        <f t="shared" si="824"/>
        <v>1079.2681539194921</v>
      </c>
      <c r="Y244" s="34">
        <f t="shared" si="824"/>
        <v>992.2761239772467</v>
      </c>
      <c r="Z244" s="34">
        <f t="shared" si="824"/>
        <v>1153.122543261713</v>
      </c>
      <c r="AA244" s="34">
        <f t="shared" si="824"/>
        <v>1266.1212491787367</v>
      </c>
      <c r="AB244" s="35">
        <f t="shared" si="824"/>
        <v>4490.7880703371839</v>
      </c>
      <c r="AC244" s="34">
        <f t="shared" si="824"/>
        <v>1184.6481308747964</v>
      </c>
      <c r="AD244" s="34">
        <f t="shared" si="824"/>
        <v>1098.0865213588615</v>
      </c>
      <c r="AE244" s="34">
        <f t="shared" si="824"/>
        <v>1271.8703111250604</v>
      </c>
      <c r="AF244" s="34">
        <f t="shared" si="824"/>
        <v>1399.8828038556135</v>
      </c>
      <c r="AG244" s="35">
        <f t="shared" si="824"/>
        <v>4954.4877672143321</v>
      </c>
      <c r="AH244" s="34">
        <f t="shared" si="824"/>
        <v>1321.4386936177982</v>
      </c>
      <c r="AI244" s="34">
        <f t="shared" si="824"/>
        <v>1228.1207452515005</v>
      </c>
      <c r="AJ244" s="34">
        <f t="shared" si="824"/>
        <v>1409.4660071955752</v>
      </c>
      <c r="AK244" s="34">
        <f t="shared" si="824"/>
        <v>1544.9793518327083</v>
      </c>
      <c r="AL244" s="35">
        <f t="shared" si="824"/>
        <v>5504.0047978975781</v>
      </c>
      <c r="AM244" s="34">
        <f t="shared" ref="AM244:AQ244" si="825">AM33</f>
        <v>1464.9045414788325</v>
      </c>
      <c r="AN244" s="34">
        <f t="shared" si="825"/>
        <v>1365.4290435719558</v>
      </c>
      <c r="AO244" s="34">
        <f t="shared" si="825"/>
        <v>1554.6531737004771</v>
      </c>
      <c r="AP244" s="34">
        <f t="shared" si="825"/>
        <v>1697.3768956393087</v>
      </c>
      <c r="AQ244" s="35">
        <f t="shared" si="825"/>
        <v>6082.3636543905777</v>
      </c>
    </row>
    <row r="245" spans="1:43" outlineLevel="1" x14ac:dyDescent="0.25">
      <c r="A245" s="253"/>
      <c r="B245" s="57" t="s">
        <v>68</v>
      </c>
      <c r="C245" s="144"/>
      <c r="D245" s="34">
        <v>350.8</v>
      </c>
      <c r="E245" s="34">
        <f>723.5-D245</f>
        <v>372.7</v>
      </c>
      <c r="F245" s="34">
        <f>1083.6-E245-D245</f>
        <v>360.09999999999985</v>
      </c>
      <c r="G245" s="34">
        <f>1449.3-F245-E245-D245</f>
        <v>365.7</v>
      </c>
      <c r="H245" s="35">
        <f t="shared" ref="H245:H251" si="826">SUM(D245:G245)</f>
        <v>1449.3</v>
      </c>
      <c r="I245" s="34">
        <v>369.2</v>
      </c>
      <c r="J245" s="34">
        <f>746.9-I245</f>
        <v>377.7</v>
      </c>
      <c r="K245" s="34">
        <f>1124-J245-I245</f>
        <v>377.09999999999997</v>
      </c>
      <c r="L245" s="34">
        <f>1503.2-K245-J245-I245</f>
        <v>379.2000000000001</v>
      </c>
      <c r="M245" s="35">
        <f t="shared" ref="M245:M251" si="827">SUM(I245:L245)</f>
        <v>1503.2</v>
      </c>
      <c r="N245" s="34">
        <v>388.4</v>
      </c>
      <c r="O245" s="34">
        <f>772.9-N245</f>
        <v>384.5</v>
      </c>
      <c r="P245" s="34">
        <f>1146.2-O245-N245</f>
        <v>373.30000000000007</v>
      </c>
      <c r="Q245" s="34">
        <f>(P195*Q239)</f>
        <v>378.89745207839951</v>
      </c>
      <c r="R245" s="35">
        <f t="shared" ref="R245:R251" si="828">SUM(N245:Q245)</f>
        <v>1525.0974520783996</v>
      </c>
      <c r="S245" s="34">
        <f>(R195*S239)</f>
        <v>400.52427786249734</v>
      </c>
      <c r="T245" s="34">
        <f>(S195*T239)</f>
        <v>403.42039444815845</v>
      </c>
      <c r="U245" s="34">
        <f>(T195*U239)</f>
        <v>405.02121404725995</v>
      </c>
      <c r="V245" s="34">
        <f>(U195*V239)</f>
        <v>412.7385179188372</v>
      </c>
      <c r="W245" s="35">
        <f t="shared" ref="W245:W251" si="829">SUM(S245:V245)</f>
        <v>1621.7044042767529</v>
      </c>
      <c r="X245" s="34">
        <f>(W195*X239)</f>
        <v>417.83336324427773</v>
      </c>
      <c r="Y245" s="34">
        <f>(X195*Y239)</f>
        <v>420.11617631644282</v>
      </c>
      <c r="Z245" s="34">
        <f>(Y195*Z239)</f>
        <v>422.01625378589165</v>
      </c>
      <c r="AA245" s="34">
        <f>(Z195*AA239)</f>
        <v>427.77555617049995</v>
      </c>
      <c r="AB245" s="35">
        <f t="shared" ref="AB245:AB251" si="830">SUM(X245:AA245)</f>
        <v>1687.7413495171122</v>
      </c>
      <c r="AC245" s="34">
        <f>(AB195*AC239)</f>
        <v>431.50994200095187</v>
      </c>
      <c r="AD245" s="34">
        <f>(AC195*AD239)</f>
        <v>432.54817733252207</v>
      </c>
      <c r="AE245" s="34">
        <f>(AD195*AE239)</f>
        <v>433.25544491133121</v>
      </c>
      <c r="AF245" s="34">
        <f>(AE195*AF239)</f>
        <v>437.59878803120256</v>
      </c>
      <c r="AG245" s="35">
        <f t="shared" ref="AG245" si="831">SUM(AC245:AF245)</f>
        <v>1734.9123522760076</v>
      </c>
      <c r="AH245" s="34">
        <f>(AG195*AH239)</f>
        <v>441.91289865395794</v>
      </c>
      <c r="AI245" s="34">
        <f>(AH195*AI239)</f>
        <v>444.65866680116767</v>
      </c>
      <c r="AJ245" s="34">
        <f>(AI195*AJ239)</f>
        <v>446.90813081802116</v>
      </c>
      <c r="AK245" s="34">
        <f>(AJ195*AK239)</f>
        <v>452.96483530264987</v>
      </c>
      <c r="AL245" s="35">
        <f t="shared" ref="AL245" si="832">SUM(AH245:AK245)</f>
        <v>1786.4445315757966</v>
      </c>
      <c r="AM245" s="34">
        <f>(AL195*AM239)</f>
        <v>458.5962088017269</v>
      </c>
      <c r="AN245" s="34">
        <f>(AM195*AN239)</f>
        <v>462.74115529854947</v>
      </c>
      <c r="AO245" s="34">
        <f>(AN195*AO239)</f>
        <v>466.24206585883519</v>
      </c>
      <c r="AP245" s="34">
        <f>(AO195*AP239)</f>
        <v>473.70432379278168</v>
      </c>
      <c r="AQ245" s="35">
        <f t="shared" ref="AQ245" si="833">SUM(AM245:AP245)</f>
        <v>1861.2837537518933</v>
      </c>
    </row>
    <row r="246" spans="1:43" outlineLevel="1" x14ac:dyDescent="0.25">
      <c r="A246" s="253"/>
      <c r="B246" s="57" t="s">
        <v>214</v>
      </c>
      <c r="C246" s="144"/>
      <c r="D246" s="34">
        <v>-354.6</v>
      </c>
      <c r="E246" s="34">
        <f>-714.5-D246</f>
        <v>-359.9</v>
      </c>
      <c r="F246" s="34">
        <f>-1243.5-E246-D246</f>
        <v>-529</v>
      </c>
      <c r="G246" s="255">
        <f>-1495.4-F246-E246-D246</f>
        <v>-251.90000000000009</v>
      </c>
      <c r="H246" s="35">
        <f>SUM(D246:G246)</f>
        <v>-1495.4</v>
      </c>
      <c r="I246" s="34">
        <v>10.4</v>
      </c>
      <c r="J246" s="34">
        <f>47.7-I246</f>
        <v>37.300000000000004</v>
      </c>
      <c r="K246" s="34">
        <f>20-J246-I246</f>
        <v>-27.700000000000003</v>
      </c>
      <c r="L246" s="255">
        <f>-25.8-K246-J246-I246</f>
        <v>-45.800000000000004</v>
      </c>
      <c r="M246" s="35">
        <f>SUM(I246:L246)</f>
        <v>-25.800000000000004</v>
      </c>
      <c r="N246" s="34">
        <v>-6.1</v>
      </c>
      <c r="O246" s="34">
        <f>-25.2-N246</f>
        <v>-19.100000000000001</v>
      </c>
      <c r="P246" s="34">
        <f>-113.2-O246-N246</f>
        <v>-88</v>
      </c>
      <c r="Q246" s="34">
        <f>-(Q197-P197)</f>
        <v>76.212470265571937</v>
      </c>
      <c r="R246" s="35">
        <f>SUM(N246:Q246)</f>
        <v>-36.987529734428065</v>
      </c>
      <c r="S246" s="34">
        <f>-(S197-Q197)</f>
        <v>-95.265802337157993</v>
      </c>
      <c r="T246" s="34">
        <f>-(T197-S197)</f>
        <v>59.244144127964319</v>
      </c>
      <c r="U246" s="34">
        <f>-(U197-T197)</f>
        <v>1.6639888241684275</v>
      </c>
      <c r="V246" s="34">
        <f>-(V197-U197)</f>
        <v>21.802917148497727</v>
      </c>
      <c r="W246" s="35">
        <f>SUM(S246:V246)</f>
        <v>-12.55475223652752</v>
      </c>
      <c r="X246" s="34">
        <f>-(X197-V197)</f>
        <v>-111.36488202512805</v>
      </c>
      <c r="Y246" s="34">
        <f>-(Y197-X197)</f>
        <v>77.588069059065674</v>
      </c>
      <c r="Z246" s="34">
        <f>-(Z197-Y197)</f>
        <v>9.7983194048365476</v>
      </c>
      <c r="AA246" s="34">
        <f>-(AA197-Z197)</f>
        <v>11.708239869510635</v>
      </c>
      <c r="AB246" s="35">
        <f>SUM(X246:AA246)</f>
        <v>-12.270253691715197</v>
      </c>
      <c r="AC246" s="34">
        <f>-(AC197-AA197)</f>
        <v>-120.38923257904844</v>
      </c>
      <c r="AD246" s="34">
        <f>-(AD197-AC197)</f>
        <v>86.459897450060225</v>
      </c>
      <c r="AE246" s="34">
        <f>-(AE197-AD197)</f>
        <v>10.297607577189638</v>
      </c>
      <c r="AF246" s="34">
        <f>-(AF197-AE197)</f>
        <v>10.286727047628801</v>
      </c>
      <c r="AG246" s="35">
        <f>SUM(AC246:AF246)</f>
        <v>-13.345000504169775</v>
      </c>
      <c r="AH246" s="34">
        <f>-(AH197-AF197)</f>
        <v>-130.40124585861463</v>
      </c>
      <c r="AI246" s="34">
        <f>-(AI197-AH197)</f>
        <v>93.562197939615544</v>
      </c>
      <c r="AJ246" s="34">
        <f>-(AJ197-AI197)</f>
        <v>10.455712383027048</v>
      </c>
      <c r="AK246" s="34">
        <f>-(AK197-AJ197)</f>
        <v>10.349149279902804</v>
      </c>
      <c r="AL246" s="35">
        <f>SUM(AH246:AK246)</f>
        <v>-16.034186256069233</v>
      </c>
      <c r="AM246" s="34">
        <f>-(AM197-AK197)</f>
        <v>-141.61467853741419</v>
      </c>
      <c r="AN246" s="34">
        <f>-(AN197-AM197)</f>
        <v>100.8443991368365</v>
      </c>
      <c r="AO246" s="34">
        <f>-(AO197-AN197)</f>
        <v>10.738134978769722</v>
      </c>
      <c r="AP246" s="34">
        <f>-(AP197-AO197)</f>
        <v>10.650967705647872</v>
      </c>
      <c r="AQ246" s="35">
        <f>SUM(AM246:AP246)</f>
        <v>-19.381176716160098</v>
      </c>
    </row>
    <row r="247" spans="1:43" outlineLevel="1" x14ac:dyDescent="0.25">
      <c r="A247" s="253"/>
      <c r="B247" s="57" t="s">
        <v>215</v>
      </c>
      <c r="C247" s="144"/>
      <c r="D247" s="34">
        <v>-55</v>
      </c>
      <c r="E247" s="34">
        <f>-108.2-D247</f>
        <v>-53.2</v>
      </c>
      <c r="F247" s="34">
        <f>-174.1-E247-D247</f>
        <v>-65.899999999999991</v>
      </c>
      <c r="G247" s="255">
        <f>-250.6-F247-E247-D247</f>
        <v>-76.5</v>
      </c>
      <c r="H247" s="35">
        <f t="shared" si="826"/>
        <v>-250.6</v>
      </c>
      <c r="I247" s="34">
        <v>-62.9</v>
      </c>
      <c r="J247" s="34">
        <f>-116.3-I247</f>
        <v>-53.4</v>
      </c>
      <c r="K247" s="34">
        <f>-182.3-J247-I247</f>
        <v>-66</v>
      </c>
      <c r="L247" s="255">
        <f>-280.7-K247-J247-I247</f>
        <v>-98.399999999999977</v>
      </c>
      <c r="M247" s="35">
        <f t="shared" ref="M247:M250" si="834">SUM(I247:L247)</f>
        <v>-280.7</v>
      </c>
      <c r="N247" s="34">
        <v>-69</v>
      </c>
      <c r="O247" s="34">
        <f>-131.3-N247</f>
        <v>-62.300000000000011</v>
      </c>
      <c r="P247" s="34">
        <f>-238.3-O247-N247</f>
        <v>-107</v>
      </c>
      <c r="Q247" s="34">
        <f>-Q24</f>
        <v>-94.375</v>
      </c>
      <c r="R247" s="35">
        <f t="shared" ref="R247:R250" si="835">SUM(N247:Q247)</f>
        <v>-332.67500000000001</v>
      </c>
      <c r="S247" s="34">
        <f>-S24</f>
        <v>-89.918750000000003</v>
      </c>
      <c r="T247" s="34">
        <f>-T24</f>
        <v>-91.723437500000017</v>
      </c>
      <c r="U247" s="34">
        <f>-U24</f>
        <v>-95.379296874999994</v>
      </c>
      <c r="V247" s="34">
        <f>-V24</f>
        <v>-92.84912109375</v>
      </c>
      <c r="W247" s="35">
        <f t="shared" ref="W247:W250" si="836">SUM(S247:V247)</f>
        <v>-369.87060546875</v>
      </c>
      <c r="X247" s="34">
        <f>-X24</f>
        <v>-92.4676513671875</v>
      </c>
      <c r="Y247" s="34">
        <f>-Y24</f>
        <v>-93.104876708984364</v>
      </c>
      <c r="Z247" s="34">
        <f>-Z24</f>
        <v>-93.450236511230472</v>
      </c>
      <c r="AA247" s="34">
        <f>-AA24</f>
        <v>-92.96797142028808</v>
      </c>
      <c r="AB247" s="35">
        <f t="shared" ref="AB247:AB250" si="837">SUM(X247:AA247)</f>
        <v>-371.99073600769043</v>
      </c>
      <c r="AC247" s="34">
        <f>-AC24</f>
        <v>-92.997684001922607</v>
      </c>
      <c r="AD247" s="34">
        <f>-AD24</f>
        <v>-93.130192160606384</v>
      </c>
      <c r="AE247" s="34">
        <f>-AE24</f>
        <v>-93.136521023511875</v>
      </c>
      <c r="AF247" s="34">
        <f>-AF24</f>
        <v>-93.058092151582244</v>
      </c>
      <c r="AG247" s="35">
        <f t="shared" ref="AG247:AG251" si="838">SUM(AC247:AF247)</f>
        <v>-372.3224893376231</v>
      </c>
      <c r="AH247" s="34">
        <f>-AH24</f>
        <v>-93.080622334405774</v>
      </c>
      <c r="AI247" s="34">
        <f>-AI24</f>
        <v>-93.101356917526573</v>
      </c>
      <c r="AJ247" s="34">
        <f>-AJ24</f>
        <v>-93.09414810675662</v>
      </c>
      <c r="AK247" s="34">
        <f>-AK24</f>
        <v>-93.083554877567792</v>
      </c>
      <c r="AL247" s="35">
        <f t="shared" ref="AL247:AL251" si="839">SUM(AH247:AK247)</f>
        <v>-372.35968223625679</v>
      </c>
      <c r="AM247" s="34">
        <f>-AM24</f>
        <v>-93.089920559064197</v>
      </c>
      <c r="AN247" s="34">
        <f>-AN24</f>
        <v>-93.092245115228792</v>
      </c>
      <c r="AO247" s="34">
        <f>-AO24</f>
        <v>-93.089967164654354</v>
      </c>
      <c r="AP247" s="34">
        <f>-AP24</f>
        <v>-93.088921929128787</v>
      </c>
      <c r="AQ247" s="35">
        <f t="shared" ref="AQ247:AQ251" si="840">SUM(AM247:AP247)</f>
        <v>-372.36105476807614</v>
      </c>
    </row>
    <row r="248" spans="1:43" outlineLevel="1" x14ac:dyDescent="0.25">
      <c r="A248" s="253"/>
      <c r="B248" s="57" t="s">
        <v>216</v>
      </c>
      <c r="C248" s="144"/>
      <c r="D248" s="34">
        <v>63.7</v>
      </c>
      <c r="E248" s="34">
        <f>93.3-D248</f>
        <v>29.599999999999994</v>
      </c>
      <c r="F248" s="34">
        <f>163.7-E248-D248</f>
        <v>70.399999999999991</v>
      </c>
      <c r="G248" s="255">
        <f>216.8-F248-E248-D248</f>
        <v>53.100000000000037</v>
      </c>
      <c r="H248" s="35">
        <f t="shared" si="826"/>
        <v>216.8</v>
      </c>
      <c r="I248" s="34">
        <v>64.3</v>
      </c>
      <c r="J248" s="34">
        <f>98.1-I248</f>
        <v>33.799999999999997</v>
      </c>
      <c r="K248" s="34">
        <f>165.6-J248-I248</f>
        <v>67.500000000000014</v>
      </c>
      <c r="L248" s="255">
        <f>227.7-K248-J248-I248</f>
        <v>62.099999999999994</v>
      </c>
      <c r="M248" s="35">
        <f t="shared" si="834"/>
        <v>227.70000000000002</v>
      </c>
      <c r="N248" s="34">
        <v>77.2</v>
      </c>
      <c r="O248" s="34">
        <f>130.2-N248</f>
        <v>52.999999999999986</v>
      </c>
      <c r="P248" s="34">
        <f>226.7-O248-N248</f>
        <v>96.499999999999986</v>
      </c>
      <c r="Q248" s="34">
        <f>-Q292*Q247</f>
        <v>94.375</v>
      </c>
      <c r="R248" s="35">
        <f t="shared" si="835"/>
        <v>321.07499999999999</v>
      </c>
      <c r="S248" s="34">
        <f>-S292*S247</f>
        <v>89.918750000000003</v>
      </c>
      <c r="T248" s="34">
        <f>-T292*T247</f>
        <v>91.723437500000017</v>
      </c>
      <c r="U248" s="34">
        <f>-U292*U247</f>
        <v>95.379296874999994</v>
      </c>
      <c r="V248" s="34">
        <f>-V292*V247</f>
        <v>92.84912109375</v>
      </c>
      <c r="W248" s="35">
        <f t="shared" si="836"/>
        <v>369.87060546875</v>
      </c>
      <c r="X248" s="34">
        <f>-X292*X247</f>
        <v>92.4676513671875</v>
      </c>
      <c r="Y248" s="34">
        <f>-Y292*Y247</f>
        <v>93.104876708984364</v>
      </c>
      <c r="Z248" s="34">
        <f>-Z292*Z247</f>
        <v>93.450236511230472</v>
      </c>
      <c r="AA248" s="34">
        <f>-AA292*AA247</f>
        <v>92.96797142028808</v>
      </c>
      <c r="AB248" s="35">
        <f t="shared" si="837"/>
        <v>371.99073600769043</v>
      </c>
      <c r="AC248" s="34">
        <f>-AC292*AC247</f>
        <v>92.997684001922607</v>
      </c>
      <c r="AD248" s="34">
        <f>-AD292*AD247</f>
        <v>93.130192160606384</v>
      </c>
      <c r="AE248" s="34">
        <f>-AE292*AE247</f>
        <v>93.136521023511875</v>
      </c>
      <c r="AF248" s="34">
        <f>-AF292*AF247</f>
        <v>93.058092151582244</v>
      </c>
      <c r="AG248" s="35">
        <f t="shared" si="838"/>
        <v>372.3224893376231</v>
      </c>
      <c r="AH248" s="34">
        <f>-AH292*AH247</f>
        <v>93.080622334405774</v>
      </c>
      <c r="AI248" s="34">
        <f>-AI292*AI247</f>
        <v>93.101356917526573</v>
      </c>
      <c r="AJ248" s="34">
        <f>-AJ292*AJ247</f>
        <v>93.09414810675662</v>
      </c>
      <c r="AK248" s="34">
        <f>-AK292*AK247</f>
        <v>93.083554877567792</v>
      </c>
      <c r="AL248" s="35">
        <f t="shared" si="839"/>
        <v>372.35968223625679</v>
      </c>
      <c r="AM248" s="34">
        <f>-AM292*AM247</f>
        <v>93.089920559064197</v>
      </c>
      <c r="AN248" s="34">
        <f>-AN292*AN247</f>
        <v>93.092245115228792</v>
      </c>
      <c r="AO248" s="34">
        <f>-AO292*AO247</f>
        <v>93.089967164654354</v>
      </c>
      <c r="AP248" s="34">
        <f>-AP292*AP247</f>
        <v>93.088921929128787</v>
      </c>
      <c r="AQ248" s="35">
        <f t="shared" si="840"/>
        <v>372.36105476807614</v>
      </c>
    </row>
    <row r="249" spans="1:43" outlineLevel="1" x14ac:dyDescent="0.25">
      <c r="A249" s="253"/>
      <c r="B249" s="57" t="s">
        <v>222</v>
      </c>
      <c r="C249" s="144"/>
      <c r="D249" s="34">
        <v>0</v>
      </c>
      <c r="E249" s="34">
        <f>-21-D249</f>
        <v>-21</v>
      </c>
      <c r="F249" s="34">
        <f>-622.8-E249-D249</f>
        <v>-601.79999999999995</v>
      </c>
      <c r="G249" s="255">
        <f>-622.8-F249-E249-D249</f>
        <v>0</v>
      </c>
      <c r="H249" s="35">
        <f t="shared" si="826"/>
        <v>-622.79999999999995</v>
      </c>
      <c r="I249" s="34">
        <v>0</v>
      </c>
      <c r="J249" s="34">
        <f t="shared" ref="J249" si="841">0-I249</f>
        <v>0</v>
      </c>
      <c r="K249" s="34">
        <f t="shared" ref="K249" si="842">0-J249-I249</f>
        <v>0</v>
      </c>
      <c r="L249" s="255">
        <f t="shared" ref="L249" si="843">0-K249-J249-I249</f>
        <v>0</v>
      </c>
      <c r="M249" s="35">
        <f t="shared" si="834"/>
        <v>0</v>
      </c>
      <c r="N249" s="34">
        <f>N28</f>
        <v>0</v>
      </c>
      <c r="O249" s="34">
        <f t="shared" ref="O249" si="844">0-N249</f>
        <v>0</v>
      </c>
      <c r="P249" s="34">
        <f t="shared" ref="P249" si="845">0-O249-N249</f>
        <v>0</v>
      </c>
      <c r="Q249" s="34">
        <f>Q28</f>
        <v>0</v>
      </c>
      <c r="R249" s="35">
        <f t="shared" si="835"/>
        <v>0</v>
      </c>
      <c r="S249" s="34">
        <f>S28</f>
        <v>0</v>
      </c>
      <c r="T249" s="34">
        <f>T28</f>
        <v>0</v>
      </c>
      <c r="U249" s="34">
        <f>U28</f>
        <v>0</v>
      </c>
      <c r="V249" s="34">
        <f>V28</f>
        <v>0</v>
      </c>
      <c r="W249" s="35">
        <f t="shared" si="836"/>
        <v>0</v>
      </c>
      <c r="X249" s="34">
        <f>X28</f>
        <v>0</v>
      </c>
      <c r="Y249" s="34">
        <f>Y28</f>
        <v>0</v>
      </c>
      <c r="Z249" s="34">
        <f>Z28</f>
        <v>0</v>
      </c>
      <c r="AA249" s="34">
        <f>AA28</f>
        <v>0</v>
      </c>
      <c r="AB249" s="35">
        <f t="shared" si="837"/>
        <v>0</v>
      </c>
      <c r="AC249" s="34">
        <f>AC28</f>
        <v>0</v>
      </c>
      <c r="AD249" s="34">
        <f>AD28</f>
        <v>0</v>
      </c>
      <c r="AE249" s="34">
        <f>AE28</f>
        <v>0</v>
      </c>
      <c r="AF249" s="34">
        <f>AF28</f>
        <v>0</v>
      </c>
      <c r="AG249" s="35">
        <f t="shared" si="838"/>
        <v>0</v>
      </c>
      <c r="AH249" s="34">
        <f>AH28</f>
        <v>0</v>
      </c>
      <c r="AI249" s="34">
        <f>AI28</f>
        <v>0</v>
      </c>
      <c r="AJ249" s="34">
        <f>AJ28</f>
        <v>0</v>
      </c>
      <c r="AK249" s="34">
        <f>AK28</f>
        <v>0</v>
      </c>
      <c r="AL249" s="35">
        <f t="shared" si="839"/>
        <v>0</v>
      </c>
      <c r="AM249" s="34">
        <f>AM28</f>
        <v>0</v>
      </c>
      <c r="AN249" s="34">
        <f>AN28</f>
        <v>0</v>
      </c>
      <c r="AO249" s="34">
        <f>AO28</f>
        <v>0</v>
      </c>
      <c r="AP249" s="34">
        <f>AP28</f>
        <v>0</v>
      </c>
      <c r="AQ249" s="35">
        <f t="shared" si="840"/>
        <v>0</v>
      </c>
    </row>
    <row r="250" spans="1:43" outlineLevel="1" x14ac:dyDescent="0.25">
      <c r="A250" s="253"/>
      <c r="B250" s="57" t="s">
        <v>217</v>
      </c>
      <c r="C250" s="144"/>
      <c r="D250" s="34">
        <v>97.3</v>
      </c>
      <c r="E250" s="34">
        <f>192.1-D250</f>
        <v>94.8</v>
      </c>
      <c r="F250" s="34">
        <f>255.4-E250-D250</f>
        <v>63.300000000000026</v>
      </c>
      <c r="G250" s="255">
        <f>308-F250-E250-D250</f>
        <v>52.59999999999998</v>
      </c>
      <c r="H250" s="35">
        <f t="shared" si="826"/>
        <v>308</v>
      </c>
      <c r="I250" s="34">
        <v>90.3</v>
      </c>
      <c r="J250" s="34">
        <f>146.6-I250</f>
        <v>56.3</v>
      </c>
      <c r="K250" s="34">
        <f>188-J250-I250</f>
        <v>41.399999999999991</v>
      </c>
      <c r="L250" s="255">
        <f>248.6-K250-J250-I250</f>
        <v>60.59999999999998</v>
      </c>
      <c r="M250" s="35">
        <f t="shared" si="834"/>
        <v>248.59999999999997</v>
      </c>
      <c r="N250" s="34">
        <v>99.3</v>
      </c>
      <c r="O250" s="34">
        <f>175.3-N250</f>
        <v>76.000000000000014</v>
      </c>
      <c r="P250" s="34">
        <f>255.3-O250-N250</f>
        <v>80.000000000000014</v>
      </c>
      <c r="Q250" s="34">
        <f>Q16*Q291</f>
        <v>94.561198903296273</v>
      </c>
      <c r="R250" s="35">
        <f t="shared" si="835"/>
        <v>349.86119890329627</v>
      </c>
      <c r="S250" s="34">
        <f>S16*S291</f>
        <v>90.102227714602222</v>
      </c>
      <c r="T250" s="34">
        <f>T16*T291</f>
        <v>82.658469230362741</v>
      </c>
      <c r="U250" s="34">
        <f>U16*U291</f>
        <v>93.972530834336212</v>
      </c>
      <c r="V250" s="34">
        <f>V16*V291</f>
        <v>95.548269039120228</v>
      </c>
      <c r="W250" s="35">
        <f t="shared" si="836"/>
        <v>362.28149681842137</v>
      </c>
      <c r="X250" s="34">
        <f>X16*X291</f>
        <v>93.379597934174683</v>
      </c>
      <c r="Y250" s="34">
        <f>Y16*Y291</f>
        <v>91.051809296479277</v>
      </c>
      <c r="Z250" s="34">
        <f>Z16*Z291</f>
        <v>103.22342533177047</v>
      </c>
      <c r="AA250" s="34">
        <f>AA16*AA291</f>
        <v>102.99980101523235</v>
      </c>
      <c r="AB250" s="35">
        <f t="shared" si="837"/>
        <v>390.6546335776568</v>
      </c>
      <c r="AC250" s="34">
        <f>AC16*AC291</f>
        <v>99.399888502828588</v>
      </c>
      <c r="AD250" s="34">
        <f>AD16*AD291</f>
        <v>98.078940764668417</v>
      </c>
      <c r="AE250" s="34">
        <f>AE16*AE291</f>
        <v>111.24250903512548</v>
      </c>
      <c r="AF250" s="34">
        <f>AF16*AF291</f>
        <v>110.99704082441407</v>
      </c>
      <c r="AG250" s="35">
        <f t="shared" si="838"/>
        <v>419.71837912703654</v>
      </c>
      <c r="AH250" s="34">
        <f>AH16*AH291</f>
        <v>107.27021089070907</v>
      </c>
      <c r="AI250" s="34">
        <f>AI16*AI291</f>
        <v>105.9611002899008</v>
      </c>
      <c r="AJ250" s="34">
        <f>AJ16*AJ291</f>
        <v>119.96967182743211</v>
      </c>
      <c r="AK250" s="34">
        <f>AK16*AK291</f>
        <v>119.67702812194234</v>
      </c>
      <c r="AL250" s="35">
        <f t="shared" si="839"/>
        <v>452.87801112998426</v>
      </c>
      <c r="AM250" s="34">
        <f>AM16*AM291</f>
        <v>115.77142399632481</v>
      </c>
      <c r="AN250" s="34">
        <f>AN16*AN291</f>
        <v>114.33890434496756</v>
      </c>
      <c r="AO250" s="34">
        <f>AO16*AO291</f>
        <v>129.23091397658203</v>
      </c>
      <c r="AP250" s="34">
        <f>AP16*AP291</f>
        <v>128.87516403305938</v>
      </c>
      <c r="AQ250" s="35">
        <f t="shared" si="840"/>
        <v>488.21640635093377</v>
      </c>
    </row>
    <row r="251" spans="1:43" outlineLevel="1" x14ac:dyDescent="0.25">
      <c r="A251" s="253"/>
      <c r="B251" s="146" t="s">
        <v>223</v>
      </c>
      <c r="C251" s="147"/>
      <c r="D251" s="34">
        <v>6.1</v>
      </c>
      <c r="E251" s="255">
        <f>5.4+91.1-D251</f>
        <v>90.4</v>
      </c>
      <c r="F251" s="255">
        <f>10.5+122.3-E251-D251</f>
        <v>36.300000000000004</v>
      </c>
      <c r="G251" s="255">
        <f>10.5+187.9-F251-E251-D251</f>
        <v>65.599999999999994</v>
      </c>
      <c r="H251" s="35">
        <f t="shared" si="826"/>
        <v>198.4</v>
      </c>
      <c r="I251" s="255">
        <f>5.1+294.9</f>
        <v>300</v>
      </c>
      <c r="J251" s="255">
        <f>596.3+67.7-I251</f>
        <v>364</v>
      </c>
      <c r="K251" s="255">
        <f>902.4+124.6+63.7-J251-I251</f>
        <v>426.70000000000005</v>
      </c>
      <c r="L251" s="255">
        <f>1197.6+454.4+24.5-K251-J251-I251</f>
        <v>585.79999999999995</v>
      </c>
      <c r="M251" s="35">
        <f t="shared" si="827"/>
        <v>1676.5</v>
      </c>
      <c r="N251" s="255">
        <f>308.3+132.6-10.2</f>
        <v>430.7</v>
      </c>
      <c r="O251" s="255">
        <f>617.9+175.4-15.4-N251</f>
        <v>347.2</v>
      </c>
      <c r="P251" s="255">
        <f>931.7+204.7-6.8-O251-N251</f>
        <v>351.7000000000001</v>
      </c>
      <c r="Q251" s="63">
        <v>0</v>
      </c>
      <c r="R251" s="35">
        <f t="shared" si="828"/>
        <v>1129.6000000000001</v>
      </c>
      <c r="S251" s="63">
        <v>0</v>
      </c>
      <c r="T251" s="63">
        <v>0</v>
      </c>
      <c r="U251" s="63">
        <v>0</v>
      </c>
      <c r="V251" s="63">
        <v>0</v>
      </c>
      <c r="W251" s="35">
        <f t="shared" si="829"/>
        <v>0</v>
      </c>
      <c r="X251" s="63">
        <v>0</v>
      </c>
      <c r="Y251" s="63">
        <v>0</v>
      </c>
      <c r="Z251" s="63">
        <v>0</v>
      </c>
      <c r="AA251" s="63">
        <v>0</v>
      </c>
      <c r="AB251" s="35">
        <f t="shared" si="830"/>
        <v>0</v>
      </c>
      <c r="AC251" s="63">
        <v>0</v>
      </c>
      <c r="AD251" s="63">
        <v>0</v>
      </c>
      <c r="AE251" s="63">
        <v>0</v>
      </c>
      <c r="AF251" s="63">
        <v>0</v>
      </c>
      <c r="AG251" s="35">
        <f t="shared" si="838"/>
        <v>0</v>
      </c>
      <c r="AH251" s="63">
        <v>0</v>
      </c>
      <c r="AI251" s="63">
        <v>0</v>
      </c>
      <c r="AJ251" s="63">
        <v>0</v>
      </c>
      <c r="AK251" s="63">
        <v>0</v>
      </c>
      <c r="AL251" s="35">
        <f t="shared" si="839"/>
        <v>0</v>
      </c>
      <c r="AM251" s="63">
        <v>0</v>
      </c>
      <c r="AN251" s="63">
        <v>0</v>
      </c>
      <c r="AO251" s="63">
        <v>0</v>
      </c>
      <c r="AP251" s="63">
        <v>0</v>
      </c>
      <c r="AQ251" s="35">
        <f t="shared" si="840"/>
        <v>0</v>
      </c>
    </row>
    <row r="252" spans="1:43" outlineLevel="1" x14ac:dyDescent="0.25">
      <c r="A252" s="253"/>
      <c r="B252" s="590" t="s">
        <v>69</v>
      </c>
      <c r="C252" s="591"/>
      <c r="D252" s="250"/>
      <c r="E252" s="352"/>
      <c r="F252" s="245"/>
      <c r="G252" s="245"/>
      <c r="H252" s="246"/>
      <c r="I252" s="245"/>
      <c r="J252" s="245"/>
      <c r="K252" s="245"/>
      <c r="L252" s="245"/>
      <c r="M252" s="246"/>
      <c r="N252" s="245"/>
      <c r="O252" s="245"/>
      <c r="P252" s="245"/>
      <c r="Q252" s="245"/>
      <c r="R252" s="246"/>
      <c r="S252" s="245"/>
      <c r="T252" s="245"/>
      <c r="U252" s="245"/>
      <c r="V252" s="245"/>
      <c r="W252" s="246"/>
      <c r="X252" s="245"/>
      <c r="Y252" s="245"/>
      <c r="Z252" s="245"/>
      <c r="AA252" s="245"/>
      <c r="AB252" s="246"/>
      <c r="AC252" s="245"/>
      <c r="AD252" s="245"/>
      <c r="AE252" s="245"/>
      <c r="AF252" s="245"/>
      <c r="AG252" s="246"/>
      <c r="AH252" s="245"/>
      <c r="AI252" s="245"/>
      <c r="AJ252" s="245"/>
      <c r="AK252" s="245"/>
      <c r="AL252" s="246"/>
      <c r="AM252" s="245"/>
      <c r="AN252" s="245"/>
      <c r="AO252" s="245"/>
      <c r="AP252" s="245"/>
      <c r="AQ252" s="246"/>
    </row>
    <row r="253" spans="1:43" outlineLevel="1" x14ac:dyDescent="0.25">
      <c r="A253" s="253"/>
      <c r="B253" s="586" t="s">
        <v>108</v>
      </c>
      <c r="C253" s="587"/>
      <c r="D253" s="81">
        <v>-28.8</v>
      </c>
      <c r="E253" s="81">
        <f>9.8-D253</f>
        <v>38.6</v>
      </c>
      <c r="F253" s="81">
        <f>-70.1-E253-D253</f>
        <v>-79.899999999999991</v>
      </c>
      <c r="G253" s="81">
        <f>-197.7-F253-E253-D253</f>
        <v>-127.60000000000001</v>
      </c>
      <c r="H253" s="82">
        <f t="shared" ref="H253:H259" si="846">SUM(D253:G253)</f>
        <v>-197.7</v>
      </c>
      <c r="I253" s="81">
        <v>-22.9</v>
      </c>
      <c r="J253" s="81">
        <f>-60.7-I253</f>
        <v>-37.800000000000004</v>
      </c>
      <c r="K253" s="81">
        <f>13.4-J253-I253</f>
        <v>74.099999999999994</v>
      </c>
      <c r="L253" s="81">
        <f>-2.7-K253-J253-I253</f>
        <v>-16.099999999999994</v>
      </c>
      <c r="M253" s="82">
        <f t="shared" ref="M253:M258" si="847">SUM(I253:L253)</f>
        <v>-2.7000000000000028</v>
      </c>
      <c r="N253" s="81">
        <v>19.600000000000001</v>
      </c>
      <c r="O253" s="81">
        <f>12.8-N253</f>
        <v>-6.8000000000000007</v>
      </c>
      <c r="P253" s="81">
        <f>-13.1-O253-N253</f>
        <v>-25.9</v>
      </c>
      <c r="Q253" s="81">
        <f t="shared" ref="Q253:Q255" si="848">-(Q189-P189)</f>
        <v>-141.66463673232988</v>
      </c>
      <c r="R253" s="82">
        <f t="shared" ref="R253:R258" si="849">SUM(N253:Q253)</f>
        <v>-154.76463673232988</v>
      </c>
      <c r="S253" s="81">
        <f>-(S189-Q189)</f>
        <v>73.549468022384758</v>
      </c>
      <c r="T253" s="81">
        <f t="shared" ref="T253:V255" si="850">-(T189-S189)</f>
        <v>26.620845765819809</v>
      </c>
      <c r="U253" s="81">
        <f t="shared" si="850"/>
        <v>-43.428135878448984</v>
      </c>
      <c r="V253" s="81">
        <f t="shared" si="850"/>
        <v>-65.192490993433921</v>
      </c>
      <c r="W253" s="82">
        <f t="shared" ref="W253:W258" si="851">SUM(S253:V253)</f>
        <v>-8.4503130836783384</v>
      </c>
      <c r="X253" s="81">
        <f>-(X189-V189)</f>
        <v>8.7894247813931088</v>
      </c>
      <c r="Y253" s="81">
        <f t="shared" ref="Y253:AA255" si="852">-(Y189-X189)</f>
        <v>13.210951663539845</v>
      </c>
      <c r="Z253" s="81">
        <f t="shared" si="852"/>
        <v>-43.017404109910785</v>
      </c>
      <c r="AA253" s="81">
        <f t="shared" si="852"/>
        <v>-65.87063409880011</v>
      </c>
      <c r="AB253" s="82">
        <f t="shared" ref="AB253:AB258" si="853">SUM(X253:AA253)</f>
        <v>-86.887661763777942</v>
      </c>
      <c r="AC253" s="81">
        <f>-(AC189-AA189)</f>
        <v>22.101438045277291</v>
      </c>
      <c r="AD253" s="81">
        <f t="shared" ref="AD253:AF255" si="854">-(AD189-AC189)</f>
        <v>9.8556316263766348</v>
      </c>
      <c r="AE253" s="81">
        <f t="shared" si="854"/>
        <v>-48.701292966784422</v>
      </c>
      <c r="AF253" s="81">
        <f t="shared" si="854"/>
        <v>-73.80533498768159</v>
      </c>
      <c r="AG253" s="82">
        <f t="shared" ref="AG253:AG258" si="855">SUM(AC253:AF253)</f>
        <v>-90.549558282812086</v>
      </c>
      <c r="AH253" s="81">
        <f>-(AH189-AF189)</f>
        <v>22.864962735717654</v>
      </c>
      <c r="AI253" s="81">
        <f t="shared" ref="AI253:AK255" si="856">-(AI189-AH189)</f>
        <v>10.700684286270643</v>
      </c>
      <c r="AJ253" s="81">
        <f t="shared" si="856"/>
        <v>-51.073840045043198</v>
      </c>
      <c r="AK253" s="81">
        <f t="shared" si="856"/>
        <v>-79.678273157262311</v>
      </c>
      <c r="AL253" s="82">
        <f t="shared" ref="AL253:AL258" si="857">SUM(AH253:AK253)</f>
        <v>-97.186466180317211</v>
      </c>
      <c r="AM253" s="81">
        <f>-(AM189-AK189)</f>
        <v>23.675030523225132</v>
      </c>
      <c r="AN253" s="81">
        <f t="shared" ref="AN253:AN255" si="858">-(AN189-AM189)</f>
        <v>11.93505446936274</v>
      </c>
      <c r="AO253" s="81">
        <f t="shared" ref="AO253:AO255" si="859">-(AO189-AN189)</f>
        <v>-52.935975574672284</v>
      </c>
      <c r="AP253" s="81">
        <f t="shared" ref="AP253:AP255" si="860">-(AP189-AO189)</f>
        <v>-85.407668157894932</v>
      </c>
      <c r="AQ253" s="82">
        <f t="shared" ref="AQ253:AQ258" si="861">SUM(AM253:AP253)</f>
        <v>-102.73355873997934</v>
      </c>
    </row>
    <row r="254" spans="1:43" outlineLevel="1" x14ac:dyDescent="0.25">
      <c r="A254" s="253"/>
      <c r="B254" s="395" t="s">
        <v>203</v>
      </c>
      <c r="C254" s="396"/>
      <c r="D254" s="81">
        <v>44.8</v>
      </c>
      <c r="E254" s="81">
        <f>-51-D254</f>
        <v>-95.8</v>
      </c>
      <c r="F254" s="81">
        <f>-140.5-E254-D254</f>
        <v>-89.5</v>
      </c>
      <c r="G254" s="81">
        <f>-173-F254-E254-D254</f>
        <v>-32.5</v>
      </c>
      <c r="H254" s="82">
        <f t="shared" si="846"/>
        <v>-173</v>
      </c>
      <c r="I254" s="81">
        <v>122.8</v>
      </c>
      <c r="J254" s="81">
        <f>36.9-I254</f>
        <v>-85.9</v>
      </c>
      <c r="K254" s="81">
        <f>-51.7-J254-I254</f>
        <v>-88.6</v>
      </c>
      <c r="L254" s="81">
        <f>-10.9-K254-J254-I254</f>
        <v>40.799999999999997</v>
      </c>
      <c r="M254" s="82">
        <f t="shared" si="847"/>
        <v>-10.900000000000006</v>
      </c>
      <c r="N254" s="81">
        <v>90.1</v>
      </c>
      <c r="O254" s="81">
        <f>51.3-N254</f>
        <v>-38.799999999999997</v>
      </c>
      <c r="P254" s="81">
        <f>8.4-O254-N254</f>
        <v>-42.9</v>
      </c>
      <c r="Q254" s="81">
        <f t="shared" si="848"/>
        <v>-841.99192155360493</v>
      </c>
      <c r="R254" s="82">
        <f t="shared" si="849"/>
        <v>-833.59192155360495</v>
      </c>
      <c r="S254" s="81">
        <f>-(S190-Q190)</f>
        <v>739.05874844947016</v>
      </c>
      <c r="T254" s="81">
        <f t="shared" si="850"/>
        <v>-70.777628076452629</v>
      </c>
      <c r="U254" s="81">
        <f t="shared" si="850"/>
        <v>-49.985297652078998</v>
      </c>
      <c r="V254" s="81">
        <f t="shared" si="850"/>
        <v>-672.97876187899351</v>
      </c>
      <c r="W254" s="82">
        <f t="shared" si="851"/>
        <v>-54.682939158054978</v>
      </c>
      <c r="X254" s="81">
        <f>-(X190-V190)</f>
        <v>682.24491864256538</v>
      </c>
      <c r="Y254" s="81">
        <f t="shared" si="852"/>
        <v>-99.934795607321348</v>
      </c>
      <c r="Z254" s="81">
        <f t="shared" si="852"/>
        <v>-90.010957254096184</v>
      </c>
      <c r="AA254" s="81">
        <f t="shared" si="852"/>
        <v>-682.54936876102079</v>
      </c>
      <c r="AB254" s="82">
        <f t="shared" si="853"/>
        <v>-190.25020297987294</v>
      </c>
      <c r="AC254" s="81">
        <f>-(AC190-AA190)</f>
        <v>746.16392297700304</v>
      </c>
      <c r="AD254" s="81">
        <f t="shared" si="854"/>
        <v>-114.10577915044837</v>
      </c>
      <c r="AE254" s="81">
        <f t="shared" si="854"/>
        <v>-100.99441166493511</v>
      </c>
      <c r="AF254" s="81">
        <f t="shared" si="854"/>
        <v>-743.59723103349324</v>
      </c>
      <c r="AG254" s="82">
        <f t="shared" si="855"/>
        <v>-212.53349887187369</v>
      </c>
      <c r="AH254" s="81">
        <f>-(AH190-AF190)</f>
        <v>809.57552295273263</v>
      </c>
      <c r="AI254" s="81">
        <f t="shared" si="856"/>
        <v>-122.45043482185656</v>
      </c>
      <c r="AJ254" s="81">
        <f t="shared" si="856"/>
        <v>-106.41839581361091</v>
      </c>
      <c r="AK254" s="81">
        <f t="shared" si="856"/>
        <v>-802.37778786842546</v>
      </c>
      <c r="AL254" s="82">
        <f t="shared" si="857"/>
        <v>-221.67109555116031</v>
      </c>
      <c r="AM254" s="81">
        <f>-(AM190-AK190)</f>
        <v>870.95799402776174</v>
      </c>
      <c r="AN254" s="81">
        <f t="shared" si="858"/>
        <v>-130.78321955928641</v>
      </c>
      <c r="AO254" s="81">
        <f t="shared" si="859"/>
        <v>-111.01771298451558</v>
      </c>
      <c r="AP254" s="81">
        <f t="shared" si="860"/>
        <v>-863.72685662226513</v>
      </c>
      <c r="AQ254" s="82">
        <f t="shared" si="861"/>
        <v>-234.56979513830538</v>
      </c>
    </row>
    <row r="255" spans="1:43" outlineLevel="1" x14ac:dyDescent="0.25">
      <c r="A255" s="253"/>
      <c r="B255" s="586" t="s">
        <v>226</v>
      </c>
      <c r="C255" s="587"/>
      <c r="D255" s="81">
        <v>847.3</v>
      </c>
      <c r="E255" s="81">
        <f>774.6-D255</f>
        <v>-72.699999999999932</v>
      </c>
      <c r="F255" s="81">
        <f>831.6-E255-D255</f>
        <v>57</v>
      </c>
      <c r="G255" s="81">
        <f>922-F255-E255-D255</f>
        <v>90.399999999999977</v>
      </c>
      <c r="H255" s="82">
        <f t="shared" si="846"/>
        <v>922</v>
      </c>
      <c r="I255" s="81">
        <v>-28.5</v>
      </c>
      <c r="J255" s="81">
        <f>-247.7-I255</f>
        <v>-219.2</v>
      </c>
      <c r="K255" s="81">
        <f>-492.1-J255-I255</f>
        <v>-244.40000000000003</v>
      </c>
      <c r="L255" s="81">
        <f>-317.5-K255-J255-I255</f>
        <v>174.60000000000002</v>
      </c>
      <c r="M255" s="82">
        <f t="shared" si="847"/>
        <v>-317.5</v>
      </c>
      <c r="N255" s="81">
        <v>5.2</v>
      </c>
      <c r="O255" s="81">
        <f>139.7-N255</f>
        <v>134.5</v>
      </c>
      <c r="P255" s="81">
        <f>216.8-O255-N255</f>
        <v>77.100000000000009</v>
      </c>
      <c r="Q255" s="81">
        <f t="shared" si="848"/>
        <v>-5.6559999999999491</v>
      </c>
      <c r="R255" s="82">
        <f t="shared" si="849"/>
        <v>211.14400000000006</v>
      </c>
      <c r="S255" s="81">
        <f>-(S191-Q191)</f>
        <v>-5.7125600000000532</v>
      </c>
      <c r="T255" s="81">
        <f t="shared" si="850"/>
        <v>-5.7696856000000025</v>
      </c>
      <c r="U255" s="81">
        <f t="shared" si="850"/>
        <v>-5.8273824560000094</v>
      </c>
      <c r="V255" s="81">
        <f t="shared" si="850"/>
        <v>-5.8856562805600561</v>
      </c>
      <c r="W255" s="82">
        <f t="shared" si="851"/>
        <v>-23.195284336560121</v>
      </c>
      <c r="X255" s="81">
        <f>-(X191-V191)</f>
        <v>-5.9445128433656009</v>
      </c>
      <c r="Y255" s="81">
        <f t="shared" si="852"/>
        <v>-6.0039579717993092</v>
      </c>
      <c r="Z255" s="81">
        <f t="shared" si="852"/>
        <v>-6.0639975515172182</v>
      </c>
      <c r="AA255" s="81">
        <f t="shared" si="852"/>
        <v>-6.1246375270324052</v>
      </c>
      <c r="AB255" s="82">
        <f t="shared" si="853"/>
        <v>-24.137105893714534</v>
      </c>
      <c r="AC255" s="81">
        <f>-(AC191-AA191)</f>
        <v>-6.1858839023027485</v>
      </c>
      <c r="AD255" s="81">
        <f t="shared" si="854"/>
        <v>-6.2477427413257374</v>
      </c>
      <c r="AE255" s="81">
        <f t="shared" si="854"/>
        <v>-6.3102201687390789</v>
      </c>
      <c r="AF255" s="81">
        <f t="shared" si="854"/>
        <v>-6.3733223704264219</v>
      </c>
      <c r="AG255" s="82">
        <f t="shared" si="855"/>
        <v>-25.117169182793987</v>
      </c>
      <c r="AH255" s="81">
        <f>-(AH191-AF191)</f>
        <v>-6.4370555941306975</v>
      </c>
      <c r="AI255" s="81">
        <f t="shared" si="856"/>
        <v>-6.5014261500720067</v>
      </c>
      <c r="AJ255" s="81">
        <f t="shared" si="856"/>
        <v>-6.5664404115726711</v>
      </c>
      <c r="AK255" s="81">
        <f t="shared" si="856"/>
        <v>-6.6321048156884217</v>
      </c>
      <c r="AL255" s="82">
        <f t="shared" si="857"/>
        <v>-26.137026971463797</v>
      </c>
      <c r="AM255" s="81">
        <f>-(AM191-AK191)</f>
        <v>-6.6984258638453866</v>
      </c>
      <c r="AN255" s="81">
        <f t="shared" si="858"/>
        <v>-6.7654101224837859</v>
      </c>
      <c r="AO255" s="81">
        <f t="shared" si="859"/>
        <v>-6.8330642237086749</v>
      </c>
      <c r="AP255" s="81">
        <f t="shared" si="860"/>
        <v>-6.9013948659456901</v>
      </c>
      <c r="AQ255" s="82">
        <f t="shared" si="861"/>
        <v>-27.198295075983538</v>
      </c>
    </row>
    <row r="256" spans="1:43" outlineLevel="1" x14ac:dyDescent="0.25">
      <c r="A256" s="253"/>
      <c r="B256" s="586" t="s">
        <v>37</v>
      </c>
      <c r="C256" s="587"/>
      <c r="D256" s="81">
        <v>-21.3</v>
      </c>
      <c r="E256" s="81">
        <f>-83.4-D256</f>
        <v>-62.100000000000009</v>
      </c>
      <c r="F256" s="81">
        <f>-15.1-E256-D256</f>
        <v>68.300000000000011</v>
      </c>
      <c r="G256" s="81">
        <f>31.9-F256-E256-D256</f>
        <v>47</v>
      </c>
      <c r="H256" s="82">
        <f t="shared" si="846"/>
        <v>31.900000000000006</v>
      </c>
      <c r="I256" s="81">
        <v>-110.3</v>
      </c>
      <c r="J256" s="81">
        <f>-186.4-I256</f>
        <v>-76.100000000000009</v>
      </c>
      <c r="K256" s="81">
        <f>-320.3-J256-I256</f>
        <v>-133.89999999999998</v>
      </c>
      <c r="L256" s="81">
        <f>-210.8-K256-J256-I256</f>
        <v>109.49999999999997</v>
      </c>
      <c r="M256" s="82">
        <f t="shared" si="847"/>
        <v>-210.79999999999998</v>
      </c>
      <c r="N256" s="81">
        <v>24.8</v>
      </c>
      <c r="O256" s="81">
        <f>21.3-N256</f>
        <v>-3.5</v>
      </c>
      <c r="P256" s="81">
        <f>108.2-O256-N256</f>
        <v>86.9</v>
      </c>
      <c r="Q256" s="81">
        <f>Q203-P203</f>
        <v>172.66790220249095</v>
      </c>
      <c r="R256" s="82">
        <f t="shared" si="849"/>
        <v>280.86790220249094</v>
      </c>
      <c r="S256" s="81">
        <f>S203-Q203</f>
        <v>-153.04686986491697</v>
      </c>
      <c r="T256" s="81">
        <f>T203-S203</f>
        <v>14.558271830034982</v>
      </c>
      <c r="U256" s="81">
        <f>U203-T203</f>
        <v>210.44524112199383</v>
      </c>
      <c r="V256" s="81">
        <f>V203-U203</f>
        <v>-73.581953049106687</v>
      </c>
      <c r="W256" s="82">
        <f t="shared" si="851"/>
        <v>-1.6253099619948443</v>
      </c>
      <c r="X256" s="81">
        <f>X203-V203</f>
        <v>-57.027990676904892</v>
      </c>
      <c r="Y256" s="81">
        <f>Y203-X203</f>
        <v>27.062930593364399</v>
      </c>
      <c r="Z256" s="81">
        <f>Z203-Y203</f>
        <v>196.96302482724991</v>
      </c>
      <c r="AA256" s="81">
        <f>AA203-Z203</f>
        <v>-49.291566743891053</v>
      </c>
      <c r="AB256" s="82">
        <f t="shared" si="853"/>
        <v>117.70639799981836</v>
      </c>
      <c r="AC256" s="81">
        <f>AC203-AA203</f>
        <v>-94.941531673549889</v>
      </c>
      <c r="AD256" s="81">
        <f>AD203-AC203</f>
        <v>36.418150475483344</v>
      </c>
      <c r="AE256" s="81">
        <f>AE203-AD203</f>
        <v>246.11168190754347</v>
      </c>
      <c r="AF256" s="81">
        <f>AF203-AE203</f>
        <v>-82.478325342008702</v>
      </c>
      <c r="AG256" s="82">
        <f t="shared" si="855"/>
        <v>105.10997536746822</v>
      </c>
      <c r="AH256" s="81">
        <f>AH203-AF203</f>
        <v>-90.861050465374547</v>
      </c>
      <c r="AI256" s="81">
        <f>AI203-AH203</f>
        <v>37.424895789675702</v>
      </c>
      <c r="AJ256" s="81">
        <f>AJ203-AI203</f>
        <v>246.66638477634274</v>
      </c>
      <c r="AK256" s="81">
        <f>AK203-AJ203</f>
        <v>-69.964920106864383</v>
      </c>
      <c r="AL256" s="82">
        <f t="shared" si="857"/>
        <v>123.26530999377951</v>
      </c>
      <c r="AM256" s="81">
        <f>AM203-AK203</f>
        <v>-104.32014019142434</v>
      </c>
      <c r="AN256" s="81">
        <f>AN203-AM203</f>
        <v>40.255526137454353</v>
      </c>
      <c r="AO256" s="81">
        <f>AO203-AN203</f>
        <v>272.1752883216825</v>
      </c>
      <c r="AP256" s="81">
        <f>AP203-AO203</f>
        <v>-85.08904220735144</v>
      </c>
      <c r="AQ256" s="82">
        <f t="shared" si="861"/>
        <v>123.02163206036107</v>
      </c>
    </row>
    <row r="257" spans="1:43" outlineLevel="1" x14ac:dyDescent="0.25">
      <c r="A257" s="253"/>
      <c r="B257" s="395" t="s">
        <v>208</v>
      </c>
      <c r="C257" s="396"/>
      <c r="D257" s="81">
        <v>362.7</v>
      </c>
      <c r="E257" s="81">
        <f>9.4-D257</f>
        <v>-353.3</v>
      </c>
      <c r="F257" s="81">
        <f>-32.4-E257-D257</f>
        <v>-41.799999999999955</v>
      </c>
      <c r="G257" s="81">
        <f>-30.5-F257-E257-D257</f>
        <v>1.8999999999999773</v>
      </c>
      <c r="H257" s="82">
        <f t="shared" si="846"/>
        <v>-30.5</v>
      </c>
      <c r="I257" s="81">
        <v>426.7</v>
      </c>
      <c r="J257" s="81">
        <f>112.1-I257</f>
        <v>-314.60000000000002</v>
      </c>
      <c r="K257" s="81">
        <f>92-J257-I257</f>
        <v>-20.099999999999966</v>
      </c>
      <c r="L257" s="81">
        <f>31-K257-J257-I257</f>
        <v>-61</v>
      </c>
      <c r="M257" s="82">
        <f t="shared" si="847"/>
        <v>31</v>
      </c>
      <c r="N257" s="81">
        <v>398.9</v>
      </c>
      <c r="O257" s="81">
        <f>89.8-N257</f>
        <v>-309.09999999999997</v>
      </c>
      <c r="P257" s="81">
        <f>52.4-O257-N257</f>
        <v>-37.400000000000034</v>
      </c>
      <c r="Q257" s="81">
        <f>+(Q208-P208)</f>
        <v>-16.282999999999902</v>
      </c>
      <c r="R257" s="82">
        <f t="shared" si="849"/>
        <v>36.117000000000075</v>
      </c>
      <c r="S257" s="81">
        <f>+(S208-Q208)</f>
        <v>483.60509999999999</v>
      </c>
      <c r="T257" s="81">
        <f>+(T208-S208)</f>
        <v>-314.34331500000008</v>
      </c>
      <c r="U257" s="81">
        <f>+(U208-T208)</f>
        <v>-17.81278784999995</v>
      </c>
      <c r="V257" s="81">
        <f>+(V208-U208)</f>
        <v>-17.634659971500014</v>
      </c>
      <c r="W257" s="82">
        <f t="shared" si="851"/>
        <v>133.81433717849995</v>
      </c>
      <c r="X257" s="81">
        <f>+(X208-V208)</f>
        <v>523.74940115355025</v>
      </c>
      <c r="Y257" s="81">
        <f>+(Y208-X208)</f>
        <v>-340.43711074980752</v>
      </c>
      <c r="Z257" s="81">
        <f>+(Z208-Y208)</f>
        <v>-19.291436275822434</v>
      </c>
      <c r="AA257" s="81">
        <f>+(AA208-Z208)</f>
        <v>-19.098521913064133</v>
      </c>
      <c r="AB257" s="82">
        <f t="shared" si="853"/>
        <v>144.92233221485617</v>
      </c>
      <c r="AC257" s="81">
        <f>+(AC208-AA208)</f>
        <v>567.22610081800713</v>
      </c>
      <c r="AD257" s="81">
        <f>+(AD208-AC208)</f>
        <v>-368.69696553170434</v>
      </c>
      <c r="AE257" s="81">
        <f>+(AE208-AD208)</f>
        <v>-20.892828046796694</v>
      </c>
      <c r="AF257" s="81">
        <f>+(AF208-AE208)</f>
        <v>-20.68389976632875</v>
      </c>
      <c r="AG257" s="82">
        <f t="shared" si="855"/>
        <v>156.95240747317735</v>
      </c>
      <c r="AH257" s="81">
        <f>+(AH208-AF208)</f>
        <v>614.31182305996003</v>
      </c>
      <c r="AI257" s="81">
        <f>+(AI208-AH208)</f>
        <v>-399.30268498897431</v>
      </c>
      <c r="AJ257" s="81">
        <f>+(AJ208-AI208)</f>
        <v>-22.627152149375434</v>
      </c>
      <c r="AK257" s="81">
        <f>+(AK208-AJ208)</f>
        <v>-22.400880627881634</v>
      </c>
      <c r="AL257" s="82">
        <f t="shared" si="857"/>
        <v>169.98110529372866</v>
      </c>
      <c r="AM257" s="81">
        <f>+(AM208-AK208)</f>
        <v>665.30615464807897</v>
      </c>
      <c r="AN257" s="81">
        <f>+(AN208-AM208)</f>
        <v>-432.44900052125104</v>
      </c>
      <c r="AO257" s="81">
        <f>+(AO208-AN208)</f>
        <v>-24.505443362871119</v>
      </c>
      <c r="AP257" s="81">
        <f>+(AP208-AO208)</f>
        <v>-24.260388929242254</v>
      </c>
      <c r="AQ257" s="82">
        <f t="shared" si="861"/>
        <v>184.09132183471456</v>
      </c>
    </row>
    <row r="258" spans="1:43" outlineLevel="1" x14ac:dyDescent="0.25">
      <c r="A258" s="253"/>
      <c r="B258" s="395" t="s">
        <v>268</v>
      </c>
      <c r="C258" s="396"/>
      <c r="D258" s="81">
        <v>0</v>
      </c>
      <c r="E258" s="81">
        <v>0</v>
      </c>
      <c r="F258" s="81">
        <f>1045.4-E258-D258</f>
        <v>1045.4000000000001</v>
      </c>
      <c r="G258" s="81">
        <f>1237-F258-E258-D258</f>
        <v>191.59999999999991</v>
      </c>
      <c r="H258" s="82">
        <f t="shared" si="846"/>
        <v>1237</v>
      </c>
      <c r="I258" s="81">
        <v>125.1</v>
      </c>
      <c r="J258" s="81">
        <f>-1227.4-I258</f>
        <v>-1352.5</v>
      </c>
      <c r="K258" s="81">
        <f>-1224.5-J258-I258</f>
        <v>2.9000000000000057</v>
      </c>
      <c r="L258" s="81">
        <f>-1214.6-K258-J258-I258</f>
        <v>9.9000000000000057</v>
      </c>
      <c r="M258" s="82">
        <f t="shared" si="847"/>
        <v>-1214.5999999999999</v>
      </c>
      <c r="N258" s="81">
        <v>56.9</v>
      </c>
      <c r="O258" s="81">
        <f>40-N258</f>
        <v>-16.899999999999999</v>
      </c>
      <c r="P258" s="81">
        <f>128.9-O258-N258</f>
        <v>88.9</v>
      </c>
      <c r="Q258" s="81">
        <f t="shared" ref="Q258" si="862">+(Q206-P206)</f>
        <v>0</v>
      </c>
      <c r="R258" s="82">
        <f t="shared" si="849"/>
        <v>128.9</v>
      </c>
      <c r="S258" s="81">
        <f>+(S206-Q206)</f>
        <v>0</v>
      </c>
      <c r="T258" s="81">
        <f t="shared" ref="T258:V258" si="863">+(T206-S206)</f>
        <v>0</v>
      </c>
      <c r="U258" s="81">
        <f t="shared" si="863"/>
        <v>0</v>
      </c>
      <c r="V258" s="81">
        <f t="shared" si="863"/>
        <v>0</v>
      </c>
      <c r="W258" s="82">
        <f t="shared" si="851"/>
        <v>0</v>
      </c>
      <c r="X258" s="81">
        <f>+(X206-V206)</f>
        <v>0</v>
      </c>
      <c r="Y258" s="81">
        <f t="shared" ref="Y258:AA258" si="864">+(Y206-X206)</f>
        <v>0</v>
      </c>
      <c r="Z258" s="81">
        <f t="shared" si="864"/>
        <v>0</v>
      </c>
      <c r="AA258" s="81">
        <f t="shared" si="864"/>
        <v>0</v>
      </c>
      <c r="AB258" s="82">
        <f t="shared" si="853"/>
        <v>0</v>
      </c>
      <c r="AC258" s="81">
        <f>+(AC206-AA206)</f>
        <v>0</v>
      </c>
      <c r="AD258" s="81">
        <f t="shared" ref="AD258:AF258" si="865">+(AD206-AC206)</f>
        <v>0</v>
      </c>
      <c r="AE258" s="81">
        <f t="shared" si="865"/>
        <v>0</v>
      </c>
      <c r="AF258" s="81">
        <f t="shared" si="865"/>
        <v>0</v>
      </c>
      <c r="AG258" s="82">
        <f t="shared" si="855"/>
        <v>0</v>
      </c>
      <c r="AH258" s="81">
        <f>+(AH206-AF206)</f>
        <v>0</v>
      </c>
      <c r="AI258" s="81">
        <f t="shared" ref="AI258:AK258" si="866">+(AI206-AH206)</f>
        <v>0</v>
      </c>
      <c r="AJ258" s="81">
        <f t="shared" si="866"/>
        <v>0</v>
      </c>
      <c r="AK258" s="81">
        <f t="shared" si="866"/>
        <v>0</v>
      </c>
      <c r="AL258" s="82">
        <f t="shared" si="857"/>
        <v>0</v>
      </c>
      <c r="AM258" s="81">
        <f>+(AM206-AK206)</f>
        <v>0</v>
      </c>
      <c r="AN258" s="81">
        <f t="shared" ref="AN258" si="867">+(AN206-AM206)</f>
        <v>0</v>
      </c>
      <c r="AO258" s="81">
        <f t="shared" ref="AO258" si="868">+(AO206-AN206)</f>
        <v>0</v>
      </c>
      <c r="AP258" s="81">
        <f t="shared" ref="AP258" si="869">+(AP206-AO206)</f>
        <v>0</v>
      </c>
      <c r="AQ258" s="82">
        <f t="shared" si="861"/>
        <v>0</v>
      </c>
    </row>
    <row r="259" spans="1:43" ht="17.25" outlineLevel="1" x14ac:dyDescent="0.4">
      <c r="A259" s="253"/>
      <c r="B259" s="586" t="s">
        <v>224</v>
      </c>
      <c r="C259" s="587"/>
      <c r="D259" s="247">
        <v>305.60000000000002</v>
      </c>
      <c r="E259" s="247">
        <f>429.3-D259</f>
        <v>123.69999999999999</v>
      </c>
      <c r="F259" s="247">
        <f>-67.4-E259-D259</f>
        <v>-496.70000000000005</v>
      </c>
      <c r="G259" s="247">
        <f>-141.1-F259-E259-D259</f>
        <v>-73.699999999999989</v>
      </c>
      <c r="H259" s="240">
        <f t="shared" si="846"/>
        <v>-141.10000000000002</v>
      </c>
      <c r="I259" s="247">
        <f>-31.8-301.6</f>
        <v>-333.40000000000003</v>
      </c>
      <c r="J259" s="247">
        <f>-608.6-140.5-I259</f>
        <v>-415.7</v>
      </c>
      <c r="K259" s="247">
        <f>-918.2+70.5-J259-I259</f>
        <v>-98.600000000000023</v>
      </c>
      <c r="L259" s="247">
        <f>-1231.4+280.5-K259-J259-I259</f>
        <v>-103.20000000000005</v>
      </c>
      <c r="M259" s="240">
        <f t="shared" ref="M259" si="870">SUM(I259:L259)</f>
        <v>-950.90000000000009</v>
      </c>
      <c r="N259" s="247">
        <f>-314.8+12.3</f>
        <v>-302.5</v>
      </c>
      <c r="O259" s="247">
        <f>-676.3+59.5-N259</f>
        <v>-314.29999999999995</v>
      </c>
      <c r="P259" s="247">
        <f>-1029.8+154.6-O259-N259</f>
        <v>-258.39999999999998</v>
      </c>
      <c r="Q259" s="247">
        <f t="shared" ref="Q259" si="871">(Q204-P204)+(Q214-P214)+(Q215-P215)+(Q207-P207)+(Q205-P205)</f>
        <v>221.75774610234214</v>
      </c>
      <c r="R259" s="240">
        <f t="shared" ref="R259" si="872">SUM(N259:Q259)</f>
        <v>-653.44225389765779</v>
      </c>
      <c r="S259" s="247">
        <f>(S204-Q204)+(S214-Q214)+(S215-Q215)+(S207-Q207)+(S205-Q205)</f>
        <v>79.474037824011134</v>
      </c>
      <c r="T259" s="247">
        <f t="shared" ref="T259:V259" si="873">(T204-S204)+(T214-S214)+(T215-S215)+(T207-S207)+(T205-S205)</f>
        <v>-75.040899443346007</v>
      </c>
      <c r="U259" s="247">
        <f t="shared" si="873"/>
        <v>115.56487202641767</v>
      </c>
      <c r="V259" s="247">
        <f t="shared" si="873"/>
        <v>192.3186498648663</v>
      </c>
      <c r="W259" s="240">
        <f t="shared" ref="W259" si="874">SUM(S259:V259)</f>
        <v>312.3166602719491</v>
      </c>
      <c r="X259" s="247">
        <f>(X204-V204)+(X214-V214)+(X215-V215)+(X207-V207)+(X205-V205)</f>
        <v>-201.74578810700166</v>
      </c>
      <c r="Y259" s="247">
        <f t="shared" ref="Y259:AA259" si="875">(Y204-X204)+(Y214-X214)+(Y215-X215)+(Y207-X207)+(Y205-X205)</f>
        <v>-66.805078911399391</v>
      </c>
      <c r="Z259" s="247">
        <f t="shared" si="875"/>
        <v>221.04921310603754</v>
      </c>
      <c r="AA259" s="247">
        <f t="shared" si="875"/>
        <v>-53.659232690408999</v>
      </c>
      <c r="AB259" s="240">
        <f t="shared" ref="AB259" si="876">SUM(X259:AA259)</f>
        <v>-101.16088660277251</v>
      </c>
      <c r="AC259" s="247">
        <f>(AC204-AA204)+(AC214-AA214)+(AC215-AA215)+(AC207-AA207)+(AC205-AA205)</f>
        <v>-78.707100576573225</v>
      </c>
      <c r="AD259" s="247">
        <f t="shared" ref="AD259:AF259" si="877">(AD204-AC204)+(AD214-AC214)+(AD215-AC215)+(AD207-AC207)+(AD205-AC205)</f>
        <v>-32.755669128770705</v>
      </c>
      <c r="AE259" s="247">
        <f t="shared" si="877"/>
        <v>297.52522532587739</v>
      </c>
      <c r="AF259" s="247">
        <f t="shared" si="877"/>
        <v>-103.50984542771823</v>
      </c>
      <c r="AG259" s="240">
        <f t="shared" ref="AG259" si="878">SUM(AC259:AF259)</f>
        <v>82.552610192815223</v>
      </c>
      <c r="AH259" s="247">
        <f>(AH204-AF204)+(AH214-AF214)+(AH215-AF215)+(AH207-AF207)+(AH205-AF205)</f>
        <v>-107.58703372912476</v>
      </c>
      <c r="AI259" s="247">
        <f t="shared" ref="AI259:AK259" si="879">(AI204-AH204)+(AI214-AH214)+(AI215-AH215)+(AI207-AH207)+(AI205-AH205)</f>
        <v>-22.185359527772448</v>
      </c>
      <c r="AJ259" s="247">
        <f t="shared" si="879"/>
        <v>330.60607525395812</v>
      </c>
      <c r="AK259" s="247">
        <f t="shared" si="879"/>
        <v>-99.978527265719549</v>
      </c>
      <c r="AL259" s="240">
        <f t="shared" ref="AL259" si="880">SUM(AH259:AK259)</f>
        <v>100.85515473134137</v>
      </c>
      <c r="AM259" s="247">
        <f>(AM204-AK204)+(AM214-AK214)+(AM215-AK215)+(AM207-AK207)+(AM205-AK205)</f>
        <v>-113.95859405367401</v>
      </c>
      <c r="AN259" s="247">
        <f t="shared" ref="AN259" si="881">(AN204-AM204)+(AN214-AM214)+(AN215-AM215)+(AN207-AM207)+(AN205-AM205)</f>
        <v>-21.820573356640125</v>
      </c>
      <c r="AO259" s="247">
        <f t="shared" ref="AO259" si="882">(AO204-AN204)+(AO214-AN214)+(AO215-AN215)+(AO207-AN207)+(AO205-AN205)</f>
        <v>357.80093740901714</v>
      </c>
      <c r="AP259" s="247">
        <f t="shared" ref="AP259" si="883">(AP204-AO204)+(AP214-AO214)+(AP215-AO215)+(AP207-AO207)+(AP205-AO205)</f>
        <v>-103.4483027801067</v>
      </c>
      <c r="AQ259" s="240">
        <f t="shared" ref="AQ259" si="884">SUM(AM259:AP259)</f>
        <v>118.57346721859631</v>
      </c>
    </row>
    <row r="260" spans="1:43" outlineLevel="1" x14ac:dyDescent="0.25">
      <c r="A260" s="253"/>
      <c r="B260" s="592" t="s">
        <v>12</v>
      </c>
      <c r="C260" s="593"/>
      <c r="D260" s="80">
        <f t="shared" ref="D260:AL260" si="885">D244+SUM(D245:D259)</f>
        <v>2379.0000000000005</v>
      </c>
      <c r="E260" s="80">
        <f t="shared" si="885"/>
        <v>390.39999999999969</v>
      </c>
      <c r="F260" s="80">
        <f t="shared" si="885"/>
        <v>1169.400000000001</v>
      </c>
      <c r="G260" s="80">
        <f t="shared" si="885"/>
        <v>1108.1000000000008</v>
      </c>
      <c r="H260" s="241">
        <f t="shared" si="885"/>
        <v>5046.9000000000051</v>
      </c>
      <c r="I260" s="80">
        <f t="shared" si="885"/>
        <v>1836.0999999999985</v>
      </c>
      <c r="J260" s="80">
        <f t="shared" si="885"/>
        <v>-1361.3000000000009</v>
      </c>
      <c r="K260" s="80">
        <f t="shared" si="885"/>
        <v>-367.69999999999925</v>
      </c>
      <c r="L260" s="80">
        <f t="shared" si="885"/>
        <v>1490.7000000000014</v>
      </c>
      <c r="M260" s="241">
        <f t="shared" si="885"/>
        <v>1597.8000000000043</v>
      </c>
      <c r="N260" s="80">
        <f t="shared" si="885"/>
        <v>1835.7000000000003</v>
      </c>
      <c r="O260" s="80">
        <f t="shared" si="885"/>
        <v>883.80000000000018</v>
      </c>
      <c r="P260" s="80">
        <f t="shared" si="885"/>
        <v>1748.9999999999991</v>
      </c>
      <c r="Q260" s="80">
        <f t="shared" si="885"/>
        <v>1074.9128144165202</v>
      </c>
      <c r="R260" s="241">
        <f t="shared" si="885"/>
        <v>5543.4128144165206</v>
      </c>
      <c r="S260" s="80">
        <f t="shared" si="885"/>
        <v>2527.2953162380145</v>
      </c>
      <c r="T260" s="80">
        <f t="shared" si="885"/>
        <v>939.963245044887</v>
      </c>
      <c r="U260" s="80">
        <f t="shared" si="885"/>
        <v>1814.6802992421376</v>
      </c>
      <c r="V260" s="80">
        <f t="shared" si="885"/>
        <v>1024.0415186428804</v>
      </c>
      <c r="W260" s="241">
        <f t="shared" si="885"/>
        <v>6305.9803791679178</v>
      </c>
      <c r="X260" s="80">
        <f t="shared" si="885"/>
        <v>2429.1816860230529</v>
      </c>
      <c r="Y260" s="80">
        <f t="shared" si="885"/>
        <v>1108.1251176658111</v>
      </c>
      <c r="Z260" s="80">
        <f t="shared" si="885"/>
        <v>1947.7889845261525</v>
      </c>
      <c r="AA260" s="80">
        <f t="shared" si="885"/>
        <v>932.01088449976214</v>
      </c>
      <c r="AB260" s="241">
        <f t="shared" si="885"/>
        <v>6417.1066727147745</v>
      </c>
      <c r="AC260" s="80">
        <f t="shared" si="885"/>
        <v>2750.8256744873897</v>
      </c>
      <c r="AD260" s="80">
        <f t="shared" si="885"/>
        <v>1239.6411624557231</v>
      </c>
      <c r="AE260" s="80">
        <f t="shared" si="885"/>
        <v>2193.4040270348723</v>
      </c>
      <c r="AF260" s="80">
        <f t="shared" si="885"/>
        <v>928.31740083120201</v>
      </c>
      <c r="AG260" s="241">
        <f t="shared" si="885"/>
        <v>7112.1882648091869</v>
      </c>
      <c r="AH260" s="80">
        <f t="shared" si="885"/>
        <v>2982.0877262636313</v>
      </c>
      <c r="AI260" s="80">
        <f t="shared" si="885"/>
        <v>1369.9883848694556</v>
      </c>
      <c r="AJ260" s="80">
        <f t="shared" si="885"/>
        <v>2377.3861538347542</v>
      </c>
      <c r="AK260" s="80">
        <f t="shared" si="885"/>
        <v>1046.9378706953617</v>
      </c>
      <c r="AL260" s="241">
        <f t="shared" si="885"/>
        <v>7776.4001356631979</v>
      </c>
      <c r="AM260" s="80">
        <f t="shared" ref="AM260:AQ260" si="886">AM244+SUM(AM245:AM259)</f>
        <v>3232.6195148295919</v>
      </c>
      <c r="AN260" s="80">
        <f t="shared" si="886"/>
        <v>1503.7258793994652</v>
      </c>
      <c r="AO260" s="80">
        <f t="shared" si="886"/>
        <v>2595.5483180995961</v>
      </c>
      <c r="AP260" s="80">
        <f t="shared" si="886"/>
        <v>1141.7736976079914</v>
      </c>
      <c r="AQ260" s="241">
        <f t="shared" si="886"/>
        <v>8473.6674099366483</v>
      </c>
    </row>
    <row r="261" spans="1:43" outlineLevel="1" x14ac:dyDescent="0.25">
      <c r="A261" s="253"/>
      <c r="B261" s="570" t="s">
        <v>13</v>
      </c>
      <c r="C261" s="571"/>
      <c r="D261" s="353"/>
      <c r="E261" s="24"/>
      <c r="F261" s="24"/>
      <c r="G261" s="24"/>
      <c r="H261" s="25"/>
      <c r="I261" s="300"/>
      <c r="J261" s="300"/>
      <c r="K261" s="24"/>
      <c r="L261" s="24"/>
      <c r="M261" s="248"/>
      <c r="N261" s="24"/>
      <c r="O261" s="24"/>
      <c r="P261" s="24"/>
      <c r="Q261" s="24"/>
      <c r="R261" s="248"/>
      <c r="S261" s="24"/>
      <c r="T261" s="24"/>
      <c r="U261" s="24"/>
      <c r="V261" s="24"/>
      <c r="W261" s="248"/>
      <c r="X261" s="24"/>
      <c r="Y261" s="24"/>
      <c r="Z261" s="24"/>
      <c r="AA261" s="24"/>
      <c r="AB261" s="248"/>
      <c r="AC261" s="24"/>
      <c r="AD261" s="24"/>
      <c r="AE261" s="24"/>
      <c r="AF261" s="24"/>
      <c r="AG261" s="248"/>
      <c r="AH261" s="24"/>
      <c r="AI261" s="24"/>
      <c r="AJ261" s="24"/>
      <c r="AK261" s="24"/>
      <c r="AL261" s="248"/>
      <c r="AM261" s="24"/>
      <c r="AN261" s="24"/>
      <c r="AO261" s="24"/>
      <c r="AP261" s="24"/>
      <c r="AQ261" s="248"/>
    </row>
    <row r="262" spans="1:43" outlineLevel="1" x14ac:dyDescent="0.25">
      <c r="A262" s="253"/>
      <c r="B262" s="393" t="s">
        <v>220</v>
      </c>
      <c r="C262" s="394"/>
      <c r="D262" s="34">
        <f>-108.7+32.1+14.2</f>
        <v>-62.399999999999991</v>
      </c>
      <c r="E262" s="34">
        <f>-150.2+218.3+55.1-D262</f>
        <v>185.60000000000002</v>
      </c>
      <c r="F262" s="34">
        <f>-176.3+281.7+57.5-E262-D262</f>
        <v>39.699999999999946</v>
      </c>
      <c r="G262" s="34">
        <f>-190.4+298.3+59.8-F262-E262-D262</f>
        <v>4.8000000000000256</v>
      </c>
      <c r="H262" s="35">
        <f>SUM(D262:G262)</f>
        <v>167.7</v>
      </c>
      <c r="I262" s="34">
        <f>-38+64.6+1.3</f>
        <v>27.899999999999995</v>
      </c>
      <c r="J262" s="34">
        <f>-65.1+93.7+4.3-I262</f>
        <v>5.0000000000000107</v>
      </c>
      <c r="K262" s="34">
        <f>-297.4+133.5+10-J262-I262</f>
        <v>-186.79999999999998</v>
      </c>
      <c r="L262" s="34">
        <f>-443.9+186.7+73.7-K262-J262-I262</f>
        <v>-29.600000000000023</v>
      </c>
      <c r="M262" s="35">
        <f>SUM(I262:L262)</f>
        <v>-183.5</v>
      </c>
      <c r="N262" s="34">
        <f>-135.5+91.2+113.7</f>
        <v>69.400000000000006</v>
      </c>
      <c r="O262" s="34">
        <f>-321.7+121.7+289-N262</f>
        <v>19.599999999999994</v>
      </c>
      <c r="P262" s="34">
        <f>-367.3+130.4+298.7-O262-N262</f>
        <v>-27.200000000000017</v>
      </c>
      <c r="Q262" s="34">
        <f>-(Q188-P188)-(Q193-P193)</f>
        <v>-13.920110079093291</v>
      </c>
      <c r="R262" s="35">
        <f>SUM(N262:Q262)</f>
        <v>47.879889920906692</v>
      </c>
      <c r="S262" s="34">
        <f>-(S188-Q188)-(S193-Q193)</f>
        <v>15.327068696251359</v>
      </c>
      <c r="T262" s="34">
        <f>-(T188-S188)-(T193-S193)</f>
        <v>13.559327701504571</v>
      </c>
      <c r="U262" s="34">
        <f>-(U188-T188)-(U193-T193)</f>
        <v>-0.48007116251147863</v>
      </c>
      <c r="V262" s="34">
        <f>-(V188-U188)-(V193-U193)</f>
        <v>2.0011011017545286</v>
      </c>
      <c r="W262" s="35">
        <f>SUM(S262:V262)</f>
        <v>30.407426336998981</v>
      </c>
      <c r="X262" s="34">
        <f>-(X188-V188)-(X193-V193)</f>
        <v>1.3950656778197867</v>
      </c>
      <c r="Y262" s="34">
        <f>-(Y188-X188)-(Y193-X193)</f>
        <v>9.8127995859111081</v>
      </c>
      <c r="Z262" s="34">
        <f>-(Z188-Y188)-(Z193-Y193)</f>
        <v>-3.758644705559675</v>
      </c>
      <c r="AA262" s="34">
        <f>-(AA188-Z188)-(AA193-Z193)</f>
        <v>3.2350293040911993</v>
      </c>
      <c r="AB262" s="35">
        <f>SUM(X262:AA262)</f>
        <v>10.684249862262419</v>
      </c>
      <c r="AC262" s="34">
        <f>-(AC188-AA188)-(AC193-AA193)</f>
        <v>-5.3129664626002011</v>
      </c>
      <c r="AD262" s="34">
        <f>-(AD188-AC188)-(AD193-AC193)</f>
        <v>7.2236903777090333</v>
      </c>
      <c r="AE262" s="34">
        <f>-(AE188-AD188)-(AE193-AD193)</f>
        <v>-8.5106079265222263</v>
      </c>
      <c r="AF262" s="34">
        <f>-(AF188-AE188)-(AF193-AE193)</f>
        <v>0.43721753203146818</v>
      </c>
      <c r="AG262" s="35">
        <f>SUM(AC262:AF262)</f>
        <v>-6.1626664793819259</v>
      </c>
      <c r="AH262" s="34">
        <f>-(AH188-AF188)-(AH193-AF193)</f>
        <v>-8.7027367531437392</v>
      </c>
      <c r="AI262" s="34">
        <f>-(AI188-AH188)-(AI193-AH193)</f>
        <v>4.4584543961189524</v>
      </c>
      <c r="AJ262" s="34">
        <f>-(AJ188-AI188)-(AJ193-AI193)</f>
        <v>-12.274952211006195</v>
      </c>
      <c r="AK262" s="34">
        <f>-(AK188-AJ188)-(AK193-AJ193)</f>
        <v>-2.3312128780321473</v>
      </c>
      <c r="AL262" s="35">
        <f>SUM(AH262:AK262)</f>
        <v>-18.850447446063129</v>
      </c>
      <c r="AM262" s="34">
        <f>-(AM188-AK188)-(AM193-AK193)</f>
        <v>-10.574955676847821</v>
      </c>
      <c r="AN262" s="34">
        <f>-(AN188-AM188)-(AN193-AM193)</f>
        <v>3.6200284451097389</v>
      </c>
      <c r="AO262" s="34">
        <f>-(AO188-AN188)-(AO193-AN193)</f>
        <v>-14.466342234385792</v>
      </c>
      <c r="AP262" s="34">
        <f>-(AP188-AO188)-(AP193-AO193)</f>
        <v>-3.7946796256500477</v>
      </c>
      <c r="AQ262" s="35">
        <f>SUM(AM262:AP262)</f>
        <v>-25.215949091773922</v>
      </c>
    </row>
    <row r="263" spans="1:43" outlineLevel="1" x14ac:dyDescent="0.25">
      <c r="A263" s="253"/>
      <c r="B263" s="562" t="s">
        <v>221</v>
      </c>
      <c r="C263" s="563"/>
      <c r="D263" s="34">
        <v>-431.4</v>
      </c>
      <c r="E263" s="34">
        <f>-845.6-D263</f>
        <v>-414.20000000000005</v>
      </c>
      <c r="F263" s="34">
        <f>-1280.7-E263-D263</f>
        <v>-435.1</v>
      </c>
      <c r="G263" s="34">
        <f>-1806.6-F263-E263-D263</f>
        <v>-525.9</v>
      </c>
      <c r="H263" s="256">
        <f>SUM(D263:G263)</f>
        <v>-1806.6</v>
      </c>
      <c r="I263" s="34">
        <v>-394.3</v>
      </c>
      <c r="J263" s="34">
        <f>-758.3-I263</f>
        <v>-363.99999999999994</v>
      </c>
      <c r="K263" s="34">
        <f>-1138.4-J263-I263</f>
        <v>-380.10000000000008</v>
      </c>
      <c r="L263" s="34">
        <f>-1483.6-K263-J263-I263</f>
        <v>-345.19999999999976</v>
      </c>
      <c r="M263" s="448">
        <f>SUM(I263:L263)</f>
        <v>-1483.6</v>
      </c>
      <c r="N263" s="34">
        <v>-324.2</v>
      </c>
      <c r="O263" s="34">
        <f>-647.9-N263</f>
        <v>-323.7</v>
      </c>
      <c r="P263" s="34">
        <f>-985.7-O263-N263</f>
        <v>-337.8</v>
      </c>
      <c r="Q263" s="34">
        <f>-Q16*Q294</f>
        <v>-701.0444891895761</v>
      </c>
      <c r="R263" s="349">
        <f>SUM(N263:Q263)</f>
        <v>-1686.7444891895761</v>
      </c>
      <c r="S263" s="34">
        <f>-S16*S294</f>
        <v>-465.21606135211886</v>
      </c>
      <c r="T263" s="34">
        <f>-T16*T294</f>
        <v>-451.07402759255194</v>
      </c>
      <c r="U263" s="34">
        <f>-U16*U294</f>
        <v>-512.19765231037559</v>
      </c>
      <c r="V263" s="34">
        <f>-V16*V294</f>
        <v>-493.40151754225769</v>
      </c>
      <c r="W263" s="349">
        <f>SUM(S263:V263)</f>
        <v>-1921.8892587973041</v>
      </c>
      <c r="X263" s="34">
        <f>-X16*X294</f>
        <v>-459.9945464791063</v>
      </c>
      <c r="Y263" s="34">
        <f>-Y16*Y294</f>
        <v>-452.71938261327426</v>
      </c>
      <c r="Z263" s="34">
        <f>-Z16*Z294</f>
        <v>-512.00378180224664</v>
      </c>
      <c r="AA263" s="34">
        <f>-AA16*AA294</f>
        <v>-488.74317800993055</v>
      </c>
      <c r="AB263" s="349">
        <f>SUM(X263:AA263)</f>
        <v>-1913.4608889045576</v>
      </c>
      <c r="AC263" s="34">
        <f>-AC16*AC294</f>
        <v>-449.35431439676267</v>
      </c>
      <c r="AD263" s="34">
        <f>-AD16*AD294</f>
        <v>-443.9491897929787</v>
      </c>
      <c r="AE263" s="34">
        <f>-AE16*AE294</f>
        <v>-503.16479066186361</v>
      </c>
      <c r="AF263" s="34">
        <f>-AF16*AF294</f>
        <v>-507.78065758665548</v>
      </c>
      <c r="AG263" s="349">
        <f>SUM(AC263:AF263)</f>
        <v>-1904.2489524382604</v>
      </c>
      <c r="AH263" s="34">
        <f>-AH16*AH294</f>
        <v>-486.60415282240803</v>
      </c>
      <c r="AI263" s="34">
        <f>-AI16*AI294</f>
        <v>-481.07854395697092</v>
      </c>
      <c r="AJ263" s="34">
        <f>-AJ16*AJ294</f>
        <v>-545.08989105954572</v>
      </c>
      <c r="AK263" s="34">
        <f>-AK16*AK294</f>
        <v>-544.3714463096818</v>
      </c>
      <c r="AL263" s="35">
        <f>SUM(AH263:AK263)</f>
        <v>-2057.1440341486064</v>
      </c>
      <c r="AM263" s="34">
        <f>-AM16*AM294</f>
        <v>-525.85191503942804</v>
      </c>
      <c r="AN263" s="34">
        <f>-AN16*AN294</f>
        <v>-519.51411335947626</v>
      </c>
      <c r="AO263" s="34">
        <f>-AO16*AO294</f>
        <v>-587.29071803565671</v>
      </c>
      <c r="AP263" s="34">
        <f>-AP16*AP294</f>
        <v>-585.70437199503738</v>
      </c>
      <c r="AQ263" s="35">
        <f>SUM(AM263:AP263)</f>
        <v>-2218.3611184295983</v>
      </c>
    </row>
    <row r="264" spans="1:43" ht="17.25" outlineLevel="1" x14ac:dyDescent="0.4">
      <c r="A264" s="253"/>
      <c r="B264" s="562" t="s">
        <v>109</v>
      </c>
      <c r="C264" s="563"/>
      <c r="D264" s="37">
        <v>-16.600000000000001</v>
      </c>
      <c r="E264" s="37">
        <f>48.5-37.1-D264</f>
        <v>28</v>
      </c>
      <c r="F264" s="37">
        <f>684.2-72.9-E264-D264</f>
        <v>599.90000000000009</v>
      </c>
      <c r="G264" s="37">
        <f>684.3-56.2-F264-E264-D264</f>
        <v>16.79999999999982</v>
      </c>
      <c r="H264" s="38">
        <f>SUM(D264:G264)</f>
        <v>628.09999999999991</v>
      </c>
      <c r="I264" s="37">
        <v>-19.899999999999999</v>
      </c>
      <c r="J264" s="37">
        <f>-22.5-I264</f>
        <v>-2.6000000000000014</v>
      </c>
      <c r="K264" s="37">
        <f>-39.4-J264-I264</f>
        <v>-16.899999999999999</v>
      </c>
      <c r="L264" s="37">
        <f>-44.4-K264-J264-I264</f>
        <v>-5</v>
      </c>
      <c r="M264" s="38">
        <f>SUM(I264:L264)</f>
        <v>-44.4</v>
      </c>
      <c r="N264" s="37">
        <v>-17.7</v>
      </c>
      <c r="O264" s="37">
        <f>-20.1-N264</f>
        <v>-2.4000000000000021</v>
      </c>
      <c r="P264" s="37">
        <f>-62.3-O264-N264</f>
        <v>-42.199999999999989</v>
      </c>
      <c r="Q264" s="37">
        <f t="shared" ref="Q264" si="887">-(Q194-P194)-(Q198-P198)-(Q196-P196)+(Q213-P213)-(Q199-P199)-(Q200-P200)</f>
        <v>14.624168282167034</v>
      </c>
      <c r="R264" s="38">
        <f>SUM(N264:Q264)</f>
        <v>-47.675831717832956</v>
      </c>
      <c r="S264" s="37">
        <f>-(S194-Q194)-(S198-Q198)-(S196-Q196)+(S213-Q213)-(S199-Q199)-(S200-Q200)</f>
        <v>31.86997895128178</v>
      </c>
      <c r="T264" s="37">
        <f t="shared" ref="T264:V264" si="888">-(T194-S194)-(T198-S198)-(T196-S196)+(T213-S213)-(T199-S199)-(T200-S200)</f>
        <v>48.084296352471597</v>
      </c>
      <c r="U264" s="37">
        <f t="shared" si="888"/>
        <v>27.225769181148507</v>
      </c>
      <c r="V264" s="37">
        <f t="shared" si="888"/>
        <v>25.016827557502381</v>
      </c>
      <c r="W264" s="38">
        <f>SUM(S264:V264)</f>
        <v>132.19687204240427</v>
      </c>
      <c r="X264" s="37">
        <f>-(X194-V194)-(X198-V198)-(X196-V196)+(X213-V213)-(X199-V199)-(X200-V200)</f>
        <v>21.734142786259383</v>
      </c>
      <c r="Y264" s="37">
        <f t="shared" ref="Y264:AA264" si="889">-(Y194-X194)-(Y198-X198)-(Y196-X196)+(Y213-X213)-(Y199-X199)-(Y200-X200)</f>
        <v>35.197747331839992</v>
      </c>
      <c r="Z264" s="37">
        <f t="shared" si="889"/>
        <v>15.197063425927297</v>
      </c>
      <c r="AA264" s="37">
        <f t="shared" si="889"/>
        <v>22.883103382554964</v>
      </c>
      <c r="AB264" s="38">
        <f>SUM(X264:AA264)</f>
        <v>95.012056926581636</v>
      </c>
      <c r="AC264" s="37">
        <f>-(AC194-AA194)-(AC198-AA198)-(AC196-AA196)+(AC213-AA213)-(AC199-AA199)-(AC200-AA200)</f>
        <v>10.575747743323603</v>
      </c>
      <c r="AD264" s="37">
        <f t="shared" ref="AD264:AF264" si="890">-(AD194-AC194)-(AD198-AC198)-(AD196-AC196)+(AD213-AC213)-(AD199-AC199)-(AD200-AC200)</f>
        <v>27.047109780562948</v>
      </c>
      <c r="AE264" s="37">
        <f t="shared" si="890"/>
        <v>4.8444547049734865</v>
      </c>
      <c r="AF264" s="37">
        <f t="shared" si="890"/>
        <v>16.018450151361748</v>
      </c>
      <c r="AG264" s="38">
        <f>SUM(AC264:AF264)</f>
        <v>58.485762380221786</v>
      </c>
      <c r="AH264" s="37">
        <f>-(AH194-AF194)-(AH198-AF198)-(AH196-AF196)+(AH213-AF213)-(AH199-AF199)-(AH200-AF200)</f>
        <v>3.061099240671922</v>
      </c>
      <c r="AI264" s="37">
        <f t="shared" ref="AI264:AK264" si="891">-(AI194-AH194)-(AI198-AH198)-(AI196-AH196)+(AI213-AH213)-(AI199-AH199)-(AI200-AH200)</f>
        <v>20.14547260959381</v>
      </c>
      <c r="AJ264" s="37">
        <f t="shared" si="891"/>
        <v>-3.0651685437812546</v>
      </c>
      <c r="AK264" s="37">
        <f t="shared" si="891"/>
        <v>9.7018531385042195</v>
      </c>
      <c r="AL264" s="38">
        <f>SUM(AH264:AK264)</f>
        <v>29.843256444988697</v>
      </c>
      <c r="AM264" s="37">
        <f>-(AM194-AK194)-(AM198-AK198)-(AM196-AK196)+(AM213-AK213)-(AM199-AK199)-(AM200-AK200)</f>
        <v>-1.9471678013605072</v>
      </c>
      <c r="AN264" s="37">
        <f t="shared" ref="AN264" si="892">-(AN194-AM194)-(AN198-AM198)-(AN196-AM196)+(AN213-AM213)-(AN199-AM199)-(AN200-AM200)</f>
        <v>16.619032068710311</v>
      </c>
      <c r="AO264" s="37">
        <f t="shared" ref="AO264" si="893">-(AO194-AN194)-(AO198-AN198)-(AO196-AN196)+(AO213-AN213)-(AO199-AN199)-(AO200-AN200)</f>
        <v>-8.238666803256308</v>
      </c>
      <c r="AP264" s="37">
        <f t="shared" ref="AP264" si="894">-(AP194-AO194)-(AP198-AO198)-(AP196-AO196)+(AP213-AO213)-(AP199-AO199)-(AP200-AO200)</f>
        <v>5.6422014266931626</v>
      </c>
      <c r="AQ264" s="38">
        <f>SUM(AM264:AP264)</f>
        <v>12.075398890786659</v>
      </c>
    </row>
    <row r="265" spans="1:43" outlineLevel="1" x14ac:dyDescent="0.25">
      <c r="A265" s="253"/>
      <c r="B265" s="552" t="s">
        <v>14</v>
      </c>
      <c r="C265" s="553"/>
      <c r="D265" s="41">
        <f t="shared" ref="D265:AL265" si="895">SUM(D262:D264)</f>
        <v>-510.4</v>
      </c>
      <c r="E265" s="41">
        <f t="shared" si="895"/>
        <v>-200.60000000000002</v>
      </c>
      <c r="F265" s="41">
        <f t="shared" si="895"/>
        <v>204.5</v>
      </c>
      <c r="G265" s="41">
        <f t="shared" si="895"/>
        <v>-504.30000000000007</v>
      </c>
      <c r="H265" s="42">
        <f t="shared" si="895"/>
        <v>-1010.8</v>
      </c>
      <c r="I265" s="41">
        <f t="shared" si="895"/>
        <v>-386.3</v>
      </c>
      <c r="J265" s="41">
        <f t="shared" si="895"/>
        <v>-361.59999999999997</v>
      </c>
      <c r="K265" s="41">
        <f t="shared" si="895"/>
        <v>-583.80000000000007</v>
      </c>
      <c r="L265" s="41">
        <f t="shared" si="895"/>
        <v>-379.79999999999978</v>
      </c>
      <c r="M265" s="42">
        <f t="shared" si="895"/>
        <v>-1711.5</v>
      </c>
      <c r="N265" s="41">
        <f t="shared" si="895"/>
        <v>-272.5</v>
      </c>
      <c r="O265" s="41">
        <f t="shared" si="895"/>
        <v>-306.5</v>
      </c>
      <c r="P265" s="41">
        <f t="shared" si="895"/>
        <v>-407.2</v>
      </c>
      <c r="Q265" s="41">
        <f t="shared" si="895"/>
        <v>-700.34043098650238</v>
      </c>
      <c r="R265" s="42">
        <f t="shared" si="895"/>
        <v>-1686.5404309865025</v>
      </c>
      <c r="S265" s="41">
        <f t="shared" si="895"/>
        <v>-418.01901370458569</v>
      </c>
      <c r="T265" s="41">
        <f t="shared" si="895"/>
        <v>-389.43040353857577</v>
      </c>
      <c r="U265" s="41">
        <f t="shared" si="895"/>
        <v>-485.4519542917385</v>
      </c>
      <c r="V265" s="41">
        <f t="shared" si="895"/>
        <v>-466.38358888300075</v>
      </c>
      <c r="W265" s="42">
        <f t="shared" si="895"/>
        <v>-1759.2849604179009</v>
      </c>
      <c r="X265" s="41">
        <f t="shared" si="895"/>
        <v>-436.86533801502713</v>
      </c>
      <c r="Y265" s="41">
        <f t="shared" si="895"/>
        <v>-407.70883569552313</v>
      </c>
      <c r="Z265" s="41">
        <f t="shared" si="895"/>
        <v>-500.56536308187907</v>
      </c>
      <c r="AA265" s="41">
        <f t="shared" si="895"/>
        <v>-462.62504532328438</v>
      </c>
      <c r="AB265" s="42">
        <f t="shared" si="895"/>
        <v>-1807.7645821157134</v>
      </c>
      <c r="AC265" s="41">
        <f t="shared" si="895"/>
        <v>-444.09153311603927</v>
      </c>
      <c r="AD265" s="41">
        <f t="shared" si="895"/>
        <v>-409.67838963470672</v>
      </c>
      <c r="AE265" s="41">
        <f t="shared" si="895"/>
        <v>-506.83094388341237</v>
      </c>
      <c r="AF265" s="41">
        <f t="shared" si="895"/>
        <v>-491.32498990326224</v>
      </c>
      <c r="AG265" s="42">
        <f t="shared" si="895"/>
        <v>-1851.9258565374205</v>
      </c>
      <c r="AH265" s="41">
        <f t="shared" si="895"/>
        <v>-492.24579033487981</v>
      </c>
      <c r="AI265" s="41">
        <f t="shared" si="895"/>
        <v>-456.47461695125816</v>
      </c>
      <c r="AJ265" s="41">
        <f t="shared" si="895"/>
        <v>-560.43001181433317</v>
      </c>
      <c r="AK265" s="41">
        <f t="shared" si="895"/>
        <v>-537.0008060492097</v>
      </c>
      <c r="AL265" s="42">
        <f t="shared" si="895"/>
        <v>-2046.1512251496811</v>
      </c>
      <c r="AM265" s="41">
        <f t="shared" ref="AM265:AQ265" si="896">SUM(AM262:AM264)</f>
        <v>-538.37403851763634</v>
      </c>
      <c r="AN265" s="41">
        <f t="shared" si="896"/>
        <v>-499.27505284565621</v>
      </c>
      <c r="AO265" s="41">
        <f t="shared" si="896"/>
        <v>-609.99572707329889</v>
      </c>
      <c r="AP265" s="41">
        <f t="shared" si="896"/>
        <v>-583.85685019399421</v>
      </c>
      <c r="AQ265" s="42">
        <f t="shared" si="896"/>
        <v>-2231.5016686305853</v>
      </c>
    </row>
    <row r="266" spans="1:43" outlineLevel="1" x14ac:dyDescent="0.25">
      <c r="A266" s="253"/>
      <c r="B266" s="590" t="s">
        <v>15</v>
      </c>
      <c r="C266" s="591"/>
      <c r="D266" s="250"/>
      <c r="E266" s="245"/>
      <c r="F266" s="245"/>
      <c r="G266" s="245"/>
      <c r="H266" s="246"/>
      <c r="I266" s="245"/>
      <c r="J266" s="245"/>
      <c r="K266" s="245"/>
      <c r="L266" s="245"/>
      <c r="M266" s="246"/>
      <c r="N266" s="245"/>
      <c r="O266" s="245"/>
      <c r="P266" s="245"/>
      <c r="Q266" s="245"/>
      <c r="R266" s="246"/>
      <c r="S266" s="245"/>
      <c r="T266" s="245"/>
      <c r="U266" s="245"/>
      <c r="V266" s="245"/>
      <c r="W266" s="246"/>
      <c r="X266" s="245"/>
      <c r="Y266" s="245"/>
      <c r="Z266" s="245"/>
      <c r="AA266" s="245"/>
      <c r="AB266" s="246"/>
      <c r="AC266" s="245"/>
      <c r="AD266" s="245"/>
      <c r="AE266" s="245"/>
      <c r="AF266" s="245"/>
      <c r="AG266" s="246"/>
      <c r="AH266" s="245"/>
      <c r="AI266" s="245"/>
      <c r="AJ266" s="245"/>
      <c r="AK266" s="245"/>
      <c r="AL266" s="246"/>
      <c r="AM266" s="245"/>
      <c r="AN266" s="245"/>
      <c r="AO266" s="245"/>
      <c r="AP266" s="245"/>
      <c r="AQ266" s="246"/>
    </row>
    <row r="267" spans="1:43" outlineLevel="1" x14ac:dyDescent="0.25">
      <c r="A267" s="253"/>
      <c r="B267" s="586" t="s">
        <v>270</v>
      </c>
      <c r="C267" s="587"/>
      <c r="D267" s="81">
        <v>0</v>
      </c>
      <c r="E267" s="81">
        <f>-D267</f>
        <v>0</v>
      </c>
      <c r="F267" s="81">
        <f>1996-350-E267-D267</f>
        <v>1646</v>
      </c>
      <c r="G267" s="81">
        <f>1996-F267-E267-D267</f>
        <v>350</v>
      </c>
      <c r="H267" s="82">
        <f t="shared" ref="H267:H271" si="897">SUM(D267:G267)</f>
        <v>1996</v>
      </c>
      <c r="I267" s="81">
        <v>0</v>
      </c>
      <c r="J267" s="81">
        <f>1739.7-I267</f>
        <v>1739.7</v>
      </c>
      <c r="K267" s="81">
        <f>1157.2+4727.6-J267-I267</f>
        <v>4145.1000000000004</v>
      </c>
      <c r="L267" s="81">
        <f>1406.6-K267-J267-I267</f>
        <v>-4478.2000000000007</v>
      </c>
      <c r="M267" s="82">
        <f t="shared" ref="M267:M271" si="898">SUM(I267:L267)</f>
        <v>1406.5999999999995</v>
      </c>
      <c r="N267" s="81">
        <v>192.9</v>
      </c>
      <c r="O267" s="81">
        <f>203.3-N267</f>
        <v>10.400000000000006</v>
      </c>
      <c r="P267" s="81">
        <f>215.6-O267-N267</f>
        <v>12.299999999999983</v>
      </c>
      <c r="Q267" s="81">
        <f>+(Q209-P209)+(Q212-P212)</f>
        <v>-250</v>
      </c>
      <c r="R267" s="82">
        <f t="shared" ref="R267:R271" si="899">SUM(N267:Q267)</f>
        <v>-34.400000000000006</v>
      </c>
      <c r="S267" s="81">
        <f>+(S209-Q209)+(S212-Q212)</f>
        <v>-499.99999999999989</v>
      </c>
      <c r="T267" s="81">
        <f>+(T209-S209)+(T212-S212)</f>
        <v>-500</v>
      </c>
      <c r="U267" s="81">
        <f>+(U209-T209)+(U212-T212)</f>
        <v>-499</v>
      </c>
      <c r="V267" s="81">
        <f>+(V209-U209)+(V212-U212)</f>
        <v>-250</v>
      </c>
      <c r="W267" s="82">
        <f t="shared" ref="W267:W271" si="900">SUM(S267:V267)</f>
        <v>-1749</v>
      </c>
      <c r="X267" s="81">
        <f>+(X209-V209)+(X212-V212)</f>
        <v>-250</v>
      </c>
      <c r="Y267" s="81">
        <f>+(Y209-X209)+(Y212-X212)</f>
        <v>-250</v>
      </c>
      <c r="Z267" s="81">
        <f>+(Z209-Y209)+(Z212-Y212)</f>
        <v>-250</v>
      </c>
      <c r="AA267" s="81">
        <f>+(AA209-Z209)+(AA212-Z212)</f>
        <v>-250</v>
      </c>
      <c r="AB267" s="82">
        <f t="shared" ref="AB267:AB271" si="901">SUM(X267:AA267)</f>
        <v>-1000</v>
      </c>
      <c r="AC267" s="81">
        <f>+(AC209-AA209)+(AC212-AA212)</f>
        <v>-359.35000000000082</v>
      </c>
      <c r="AD267" s="81">
        <f>+(AD209-AC209)+(AD212-AC212)</f>
        <v>-385.75</v>
      </c>
      <c r="AE267" s="81">
        <f>+(AE209-AD209)+(AE212-AD212)</f>
        <v>-385.75</v>
      </c>
      <c r="AF267" s="81">
        <f>+(AF209-AE209)+(AF212-AE212)</f>
        <v>-385.75</v>
      </c>
      <c r="AG267" s="82">
        <f t="shared" ref="AG267:AG271" si="902">SUM(AC267:AF267)</f>
        <v>-1516.6000000000008</v>
      </c>
      <c r="AH267" s="81">
        <f>+(AH209-AF209)+(AH212-AF212)</f>
        <v>-312.5</v>
      </c>
      <c r="AI267" s="81">
        <f>+(AI209-AH209)+(AI212-AH212)</f>
        <v>-312.5</v>
      </c>
      <c r="AJ267" s="81">
        <f>+(AJ209-AI209)+(AJ212-AI212)</f>
        <v>-312.5</v>
      </c>
      <c r="AK267" s="81">
        <f>+(AK209-AJ209)+(AK212-AJ212)</f>
        <v>-312.5</v>
      </c>
      <c r="AL267" s="82">
        <f t="shared" ref="AL267:AL271" si="903">SUM(AH267:AK267)</f>
        <v>-1250</v>
      </c>
      <c r="AM267" s="81">
        <f>+(AM209-AK209)+(AM212-AK212)</f>
        <v>-312.5</v>
      </c>
      <c r="AN267" s="81">
        <f>+(AN209-AM209)+(AN212-AM212)</f>
        <v>-312.5</v>
      </c>
      <c r="AO267" s="81">
        <f>+(AO209-AN209)+(AO212-AN212)</f>
        <v>-312.5</v>
      </c>
      <c r="AP267" s="81">
        <f>+(AP209-AO209)+(AP212-AO212)</f>
        <v>-312.5</v>
      </c>
      <c r="AQ267" s="82">
        <f t="shared" ref="AQ267:AQ271" si="904">SUM(AM267:AP267)</f>
        <v>-1250</v>
      </c>
    </row>
    <row r="268" spans="1:43" outlineLevel="1" x14ac:dyDescent="0.25">
      <c r="A268" s="253"/>
      <c r="B268" s="395" t="s">
        <v>269</v>
      </c>
      <c r="C268" s="396"/>
      <c r="D268" s="81">
        <v>-350</v>
      </c>
      <c r="E268" s="81">
        <v>0</v>
      </c>
      <c r="F268" s="81">
        <f>-75-E268-D268</f>
        <v>275</v>
      </c>
      <c r="G268" s="81">
        <f>-350-F268-E268-D268</f>
        <v>-275</v>
      </c>
      <c r="H268" s="82">
        <f t="shared" si="897"/>
        <v>-350</v>
      </c>
      <c r="I268" s="81"/>
      <c r="J268" s="81">
        <f t="shared" ref="J268" si="905">0-I268</f>
        <v>0</v>
      </c>
      <c r="K268" s="81">
        <v>-220.7</v>
      </c>
      <c r="L268" s="81">
        <f>-967.7-K268-J268-I268</f>
        <v>-747</v>
      </c>
      <c r="M268" s="82">
        <f t="shared" si="898"/>
        <v>-967.7</v>
      </c>
      <c r="N268" s="81">
        <f>-144.7-500</f>
        <v>-644.70000000000005</v>
      </c>
      <c r="O268" s="81">
        <f>-296.5-320.5-1250-N268</f>
        <v>-1222.3</v>
      </c>
      <c r="P268" s="81">
        <f>-296.5-346.2-1250-O268-N268</f>
        <v>-25.700000000000045</v>
      </c>
      <c r="Q268" s="81"/>
      <c r="R268" s="82">
        <f t="shared" si="899"/>
        <v>-1892.7</v>
      </c>
      <c r="S268" s="81"/>
      <c r="T268" s="81"/>
      <c r="U268" s="81"/>
      <c r="V268" s="81"/>
      <c r="W268" s="82">
        <f t="shared" si="900"/>
        <v>0</v>
      </c>
      <c r="X268" s="81"/>
      <c r="Y268" s="81"/>
      <c r="Z268" s="81"/>
      <c r="AA268" s="81"/>
      <c r="AB268" s="82">
        <f t="shared" si="901"/>
        <v>0</v>
      </c>
      <c r="AC268" s="81"/>
      <c r="AD268" s="81"/>
      <c r="AE268" s="81"/>
      <c r="AF268" s="81"/>
      <c r="AG268" s="82">
        <f t="shared" si="902"/>
        <v>0</v>
      </c>
      <c r="AH268" s="81"/>
      <c r="AI268" s="81"/>
      <c r="AJ268" s="81"/>
      <c r="AK268" s="81"/>
      <c r="AL268" s="82">
        <f t="shared" si="903"/>
        <v>0</v>
      </c>
      <c r="AM268" s="81"/>
      <c r="AN268" s="81"/>
      <c r="AO268" s="81"/>
      <c r="AP268" s="81"/>
      <c r="AQ268" s="82">
        <f t="shared" si="904"/>
        <v>0</v>
      </c>
    </row>
    <row r="269" spans="1:43" outlineLevel="1" x14ac:dyDescent="0.25">
      <c r="A269" s="253"/>
      <c r="B269" s="395" t="s">
        <v>267</v>
      </c>
      <c r="C269" s="396"/>
      <c r="D269" s="81"/>
      <c r="E269" s="81">
        <v>75</v>
      </c>
      <c r="F269" s="81">
        <v>0</v>
      </c>
      <c r="G269" s="81">
        <f>0-F269-E269-D269</f>
        <v>-75</v>
      </c>
      <c r="H269" s="82">
        <f t="shared" si="897"/>
        <v>0</v>
      </c>
      <c r="I269" s="81">
        <f>398.9+99</f>
        <v>497.9</v>
      </c>
      <c r="J269" s="81">
        <f>613+494.1-I269</f>
        <v>609.19999999999993</v>
      </c>
      <c r="K269" s="81">
        <f t="shared" ref="K269" si="906">0-J269-I269</f>
        <v>-1107.0999999999999</v>
      </c>
      <c r="L269" s="81">
        <f>4727.6-K269-J269-I269</f>
        <v>4727.6000000000013</v>
      </c>
      <c r="M269" s="82">
        <f t="shared" si="898"/>
        <v>4727.6000000000013</v>
      </c>
      <c r="N269" s="81">
        <v>0</v>
      </c>
      <c r="O269" s="81">
        <f t="shared" ref="O269:O274" si="907">0-N269</f>
        <v>0</v>
      </c>
      <c r="P269" s="81">
        <f t="shared" ref="P269:P274" si="908">0-O269-N269</f>
        <v>0</v>
      </c>
      <c r="Q269" s="81"/>
      <c r="R269" s="82">
        <f t="shared" si="899"/>
        <v>0</v>
      </c>
      <c r="S269" s="81"/>
      <c r="T269" s="81"/>
      <c r="U269" s="81"/>
      <c r="V269" s="81"/>
      <c r="W269" s="82">
        <f t="shared" si="900"/>
        <v>0</v>
      </c>
      <c r="X269" s="81"/>
      <c r="Y269" s="81"/>
      <c r="Z269" s="81"/>
      <c r="AA269" s="81"/>
      <c r="AB269" s="82">
        <f t="shared" si="901"/>
        <v>0</v>
      </c>
      <c r="AC269" s="81"/>
      <c r="AD269" s="81"/>
      <c r="AE269" s="81"/>
      <c r="AF269" s="81"/>
      <c r="AG269" s="82">
        <f t="shared" si="902"/>
        <v>0</v>
      </c>
      <c r="AH269" s="81"/>
      <c r="AI269" s="81"/>
      <c r="AJ269" s="81"/>
      <c r="AK269" s="81"/>
      <c r="AL269" s="82">
        <f t="shared" si="903"/>
        <v>0</v>
      </c>
      <c r="AM269" s="81"/>
      <c r="AN269" s="81"/>
      <c r="AO269" s="81"/>
      <c r="AP269" s="81"/>
      <c r="AQ269" s="82">
        <f t="shared" si="904"/>
        <v>0</v>
      </c>
    </row>
    <row r="270" spans="1:43" outlineLevel="1" x14ac:dyDescent="0.25">
      <c r="A270" s="253"/>
      <c r="B270" s="395" t="s">
        <v>219</v>
      </c>
      <c r="C270" s="396"/>
      <c r="D270" s="81">
        <v>108.4</v>
      </c>
      <c r="E270" s="81">
        <f>275.7-D270</f>
        <v>167.29999999999998</v>
      </c>
      <c r="F270" s="81">
        <f>358.5-E270-D270</f>
        <v>82.800000000000011</v>
      </c>
      <c r="G270" s="81">
        <f>409.8-F270-E270-D270</f>
        <v>51.300000000000011</v>
      </c>
      <c r="H270" s="82">
        <f t="shared" si="897"/>
        <v>409.8</v>
      </c>
      <c r="I270" s="81">
        <v>33.1</v>
      </c>
      <c r="J270" s="81">
        <f>65.4-I270</f>
        <v>32.300000000000004</v>
      </c>
      <c r="K270" s="81">
        <f>98.9-J270-I270</f>
        <v>33.499999999999993</v>
      </c>
      <c r="L270" s="81">
        <f>298.8-K270-J270-I270</f>
        <v>199.9</v>
      </c>
      <c r="M270" s="82">
        <f t="shared" si="898"/>
        <v>298.8</v>
      </c>
      <c r="N270" s="81">
        <v>102.8</v>
      </c>
      <c r="O270" s="81">
        <f>134.4-N270</f>
        <v>31.600000000000009</v>
      </c>
      <c r="P270" s="81">
        <f>191.6-O270-N270</f>
        <v>57.2</v>
      </c>
      <c r="Q270" s="81">
        <v>0</v>
      </c>
      <c r="R270" s="82">
        <f t="shared" si="899"/>
        <v>191.60000000000002</v>
      </c>
      <c r="S270" s="81">
        <v>0</v>
      </c>
      <c r="T270" s="81">
        <v>0</v>
      </c>
      <c r="U270" s="81">
        <v>0</v>
      </c>
      <c r="V270" s="81">
        <v>0</v>
      </c>
      <c r="W270" s="82">
        <f t="shared" si="900"/>
        <v>0</v>
      </c>
      <c r="X270" s="81">
        <v>0</v>
      </c>
      <c r="Y270" s="81">
        <v>0</v>
      </c>
      <c r="Z270" s="81">
        <v>0</v>
      </c>
      <c r="AA270" s="81">
        <v>0</v>
      </c>
      <c r="AB270" s="82">
        <f t="shared" si="901"/>
        <v>0</v>
      </c>
      <c r="AC270" s="81">
        <v>0</v>
      </c>
      <c r="AD270" s="81">
        <v>0</v>
      </c>
      <c r="AE270" s="81">
        <v>0</v>
      </c>
      <c r="AF270" s="81">
        <v>0</v>
      </c>
      <c r="AG270" s="82">
        <f t="shared" si="902"/>
        <v>0</v>
      </c>
      <c r="AH270" s="81">
        <v>0</v>
      </c>
      <c r="AI270" s="81">
        <v>0</v>
      </c>
      <c r="AJ270" s="81">
        <v>0</v>
      </c>
      <c r="AK270" s="81">
        <v>0</v>
      </c>
      <c r="AL270" s="82">
        <f t="shared" si="903"/>
        <v>0</v>
      </c>
      <c r="AM270" s="81">
        <v>0</v>
      </c>
      <c r="AN270" s="81">
        <v>0</v>
      </c>
      <c r="AO270" s="81">
        <v>0</v>
      </c>
      <c r="AP270" s="81">
        <v>0</v>
      </c>
      <c r="AQ270" s="82">
        <f t="shared" si="904"/>
        <v>0</v>
      </c>
    </row>
    <row r="271" spans="1:43" outlineLevel="1" x14ac:dyDescent="0.25">
      <c r="A271" s="253"/>
      <c r="B271" s="395" t="s">
        <v>225</v>
      </c>
      <c r="C271" s="396"/>
      <c r="D271" s="81">
        <v>-446.7</v>
      </c>
      <c r="E271" s="81">
        <f>-894.5-D271</f>
        <v>-447.8</v>
      </c>
      <c r="F271" s="81">
        <f>-1330.7-E271-D271</f>
        <v>-436.2000000000001</v>
      </c>
      <c r="G271" s="81">
        <f>-1761.3-F271-E271-D271</f>
        <v>-430.59999999999997</v>
      </c>
      <c r="H271" s="82">
        <f t="shared" si="897"/>
        <v>-1761.3</v>
      </c>
      <c r="I271" s="81">
        <v>-484.2</v>
      </c>
      <c r="J271" s="81">
        <f>-965.2-I271</f>
        <v>-481.00000000000006</v>
      </c>
      <c r="K271" s="81">
        <f>-1444.2-J271-I271</f>
        <v>-479.00000000000006</v>
      </c>
      <c r="L271" s="81">
        <f>-1923.5-K271-J271-I271</f>
        <v>-479.3</v>
      </c>
      <c r="M271" s="82">
        <f t="shared" si="898"/>
        <v>-1923.5</v>
      </c>
      <c r="N271" s="81">
        <v>-528.20000000000005</v>
      </c>
      <c r="O271" s="81">
        <f>-1058-N271</f>
        <v>-529.79999999999995</v>
      </c>
      <c r="P271" s="81">
        <f>-1588.2-O271-N271</f>
        <v>-530.20000000000005</v>
      </c>
      <c r="Q271" s="81">
        <f>-Q43*Q38</f>
        <v>-577.95541613588114</v>
      </c>
      <c r="R271" s="82">
        <f t="shared" si="899"/>
        <v>-2166.1554161358813</v>
      </c>
      <c r="S271" s="81">
        <f>-S43*S38</f>
        <v>-576.40458209438282</v>
      </c>
      <c r="T271" s="81">
        <f>-T43*T38</f>
        <v>-574.85243099637376</v>
      </c>
      <c r="U271" s="81">
        <f>-U43*U38</f>
        <v>-573.29896172333451</v>
      </c>
      <c r="V271" s="81">
        <f>-V43*V38</f>
        <v>-600.33138181358572</v>
      </c>
      <c r="W271" s="82">
        <f t="shared" si="900"/>
        <v>-2324.887356627677</v>
      </c>
      <c r="X271" s="81">
        <f>-X43*X38</f>
        <v>-598.69746738200479</v>
      </c>
      <c r="Y271" s="81">
        <f>-Y43*Y38</f>
        <v>-597.06216533731856</v>
      </c>
      <c r="Z271" s="81">
        <f>-Z43*Z38</f>
        <v>-595.42547450108691</v>
      </c>
      <c r="AA271" s="81">
        <f>-AA43*AA38</f>
        <v>-623.47676337856262</v>
      </c>
      <c r="AB271" s="82">
        <f t="shared" si="901"/>
        <v>-2414.6618705989727</v>
      </c>
      <c r="AC271" s="81">
        <f>-AC43*AC38</f>
        <v>-622.88078657198389</v>
      </c>
      <c r="AD271" s="81">
        <f>-AD43*AD38</f>
        <v>-622.28430362798986</v>
      </c>
      <c r="AE271" s="81">
        <f>-AE43*AE38</f>
        <v>-621.6873141167398</v>
      </c>
      <c r="AF271" s="81">
        <f>-AF43*AF38</f>
        <v>-621.08981760802794</v>
      </c>
      <c r="AG271" s="82">
        <f t="shared" si="902"/>
        <v>-2487.9422219247417</v>
      </c>
      <c r="AH271" s="81">
        <f>-AH43*AH38</f>
        <v>-620.49181367128324</v>
      </c>
      <c r="AI271" s="81">
        <f>-AI43*AI38</f>
        <v>-619.89330187556891</v>
      </c>
      <c r="AJ271" s="81">
        <f>-AJ43*AJ38</f>
        <v>-619.29428178958221</v>
      </c>
      <c r="AK271" s="81">
        <f>-AK43*AK38</f>
        <v>-680.56422827981953</v>
      </c>
      <c r="AL271" s="82">
        <f t="shared" si="903"/>
        <v>-2540.2436256162537</v>
      </c>
      <c r="AM271" s="81">
        <f>-AM43*AM38</f>
        <v>-679.90418652172389</v>
      </c>
      <c r="AN271" s="81">
        <f>-AN43*AN38</f>
        <v>-679.24358421861075</v>
      </c>
      <c r="AO271" s="81">
        <f>-AO43*AO38</f>
        <v>-678.58242089443331</v>
      </c>
      <c r="AP271" s="81">
        <f>-AP43*AP38</f>
        <v>-725.3751447978326</v>
      </c>
      <c r="AQ271" s="82">
        <f t="shared" si="904"/>
        <v>-2763.1053364326003</v>
      </c>
    </row>
    <row r="272" spans="1:43" outlineLevel="1" x14ac:dyDescent="0.25">
      <c r="A272" s="253"/>
      <c r="B272" s="395" t="s">
        <v>110</v>
      </c>
      <c r="C272" s="148"/>
      <c r="D272" s="81">
        <v>-5114.7</v>
      </c>
      <c r="E272" s="81">
        <f>-7827.9-D272</f>
        <v>-2713.2</v>
      </c>
      <c r="F272" s="81">
        <f>-7972.9-E272-D272</f>
        <v>-145</v>
      </c>
      <c r="G272" s="81">
        <f>-10222.3-F272-E272-D272</f>
        <v>-2249.3999999999996</v>
      </c>
      <c r="H272" s="82">
        <f>SUM(D272:G272)</f>
        <v>-10222.299999999999</v>
      </c>
      <c r="I272" s="81">
        <v>-1091.4000000000001</v>
      </c>
      <c r="J272" s="81">
        <f>-1698.9-I272</f>
        <v>-607.5</v>
      </c>
      <c r="K272" s="81">
        <f>-1698.9-J272-I272</f>
        <v>0</v>
      </c>
      <c r="L272" s="81">
        <f>-1698.9-K272-J272-I272</f>
        <v>0</v>
      </c>
      <c r="M272" s="82">
        <f>SUM(I272:L272)</f>
        <v>-1698.9</v>
      </c>
      <c r="N272" s="81">
        <f>-N163</f>
        <v>0</v>
      </c>
      <c r="O272" s="81">
        <f t="shared" si="907"/>
        <v>0</v>
      </c>
      <c r="P272" s="81">
        <f t="shared" si="908"/>
        <v>0</v>
      </c>
      <c r="Q272" s="81">
        <f>-Q163</f>
        <v>0</v>
      </c>
      <c r="R272" s="82">
        <f>SUM(N272:Q272)</f>
        <v>0</v>
      </c>
      <c r="S272" s="81">
        <f>-S163</f>
        <v>-500</v>
      </c>
      <c r="T272" s="81">
        <f>-T163</f>
        <v>-500</v>
      </c>
      <c r="U272" s="81">
        <f>-U163</f>
        <v>-500</v>
      </c>
      <c r="V272" s="81">
        <f>-V163</f>
        <v>-500</v>
      </c>
      <c r="W272" s="82">
        <f>SUM(S272:V272)</f>
        <v>-2000</v>
      </c>
      <c r="X272" s="81">
        <f>-X163</f>
        <v>-500</v>
      </c>
      <c r="Y272" s="81">
        <f>-Y163</f>
        <v>-500</v>
      </c>
      <c r="Z272" s="81">
        <f>-Z163</f>
        <v>-500</v>
      </c>
      <c r="AA272" s="81">
        <f>-AA163</f>
        <v>-500</v>
      </c>
      <c r="AB272" s="82">
        <f>SUM(X272:AA272)</f>
        <v>-2000</v>
      </c>
      <c r="AC272" s="81">
        <f>-AC163</f>
        <v>-250</v>
      </c>
      <c r="AD272" s="81">
        <f>-AD163</f>
        <v>-250</v>
      </c>
      <c r="AE272" s="81">
        <f>-AE163</f>
        <v>-250</v>
      </c>
      <c r="AF272" s="81">
        <f>-AF163</f>
        <v>-250</v>
      </c>
      <c r="AG272" s="82">
        <f>SUM(AC272:AF272)</f>
        <v>-1000</v>
      </c>
      <c r="AH272" s="81">
        <f>-AH163</f>
        <v>-250</v>
      </c>
      <c r="AI272" s="81">
        <f>-AI163</f>
        <v>-250</v>
      </c>
      <c r="AJ272" s="81">
        <f>-AJ163</f>
        <v>-250</v>
      </c>
      <c r="AK272" s="81">
        <f>-AK163</f>
        <v>-250</v>
      </c>
      <c r="AL272" s="82">
        <f>SUM(AH272:AK272)</f>
        <v>-1000</v>
      </c>
      <c r="AM272" s="81">
        <f>-AM163</f>
        <v>-250</v>
      </c>
      <c r="AN272" s="81">
        <f>-AN163</f>
        <v>-250</v>
      </c>
      <c r="AO272" s="81">
        <f>-AO163</f>
        <v>-250</v>
      </c>
      <c r="AP272" s="81">
        <f>-AP163</f>
        <v>-250</v>
      </c>
      <c r="AQ272" s="82">
        <f>SUM(AM272:AP272)</f>
        <v>-1000</v>
      </c>
    </row>
    <row r="273" spans="1:43" outlineLevel="1" x14ac:dyDescent="0.25">
      <c r="A273" s="253"/>
      <c r="B273" s="395" t="s">
        <v>241</v>
      </c>
      <c r="C273" s="75"/>
      <c r="D273" s="81">
        <v>-55.3</v>
      </c>
      <c r="E273" s="81">
        <f>-56.3-D273</f>
        <v>-1</v>
      </c>
      <c r="F273" s="81">
        <f>-106.1-E273-D273</f>
        <v>-49.8</v>
      </c>
      <c r="G273" s="81">
        <f>-111.6-F273-E273-D273</f>
        <v>-5.5</v>
      </c>
      <c r="H273" s="82">
        <f t="shared" ref="H273:H274" si="909">SUM(D273:G273)</f>
        <v>-111.6</v>
      </c>
      <c r="I273" s="81">
        <v>-78.400000000000006</v>
      </c>
      <c r="J273" s="81">
        <f>-87.6-I273</f>
        <v>-9.1999999999999886</v>
      </c>
      <c r="K273" s="81">
        <f>-89.1-J273-I273</f>
        <v>-1.5</v>
      </c>
      <c r="L273" s="81">
        <f>-91.9-K273-J273-I273</f>
        <v>-2.8000000000000114</v>
      </c>
      <c r="M273" s="82">
        <f t="shared" ref="M273" si="910">SUM(I273:L273)</f>
        <v>-91.9</v>
      </c>
      <c r="N273" s="81">
        <v>-88.6</v>
      </c>
      <c r="O273" s="81">
        <f>-90.1-N273</f>
        <v>-1.5</v>
      </c>
      <c r="P273" s="81">
        <f>-94.2-O273-N273</f>
        <v>-4.1000000000000085</v>
      </c>
      <c r="Q273" s="81">
        <f>(P273/P250)*Q250</f>
        <v>-4.8462614437939431</v>
      </c>
      <c r="R273" s="82">
        <f t="shared" ref="R273" si="911">SUM(N273:Q273)</f>
        <v>-99.046261443793952</v>
      </c>
      <c r="S273" s="81">
        <f>(Q273/Q250)*S250</f>
        <v>-4.6177391703733726</v>
      </c>
      <c r="T273" s="81">
        <f>(S273/S250)*T250</f>
        <v>-4.2362465480560978</v>
      </c>
      <c r="U273" s="81">
        <f>(T273/T250)*U250</f>
        <v>-4.8160922052597392</v>
      </c>
      <c r="V273" s="81">
        <f>(U273/U250)*V250</f>
        <v>-4.8968487882549203</v>
      </c>
      <c r="W273" s="82">
        <f t="shared" ref="W273" si="912">SUM(S273:V273)</f>
        <v>-18.566926711944131</v>
      </c>
      <c r="X273" s="81">
        <f>(V273/V250)*X250</f>
        <v>-4.7857043941264603</v>
      </c>
      <c r="Y273" s="81">
        <f>(X273/X250)*Y250</f>
        <v>-4.6664052264445708</v>
      </c>
      <c r="Z273" s="81">
        <f>(Y273/Y250)*Z250</f>
        <v>-5.2902005482532459</v>
      </c>
      <c r="AA273" s="81">
        <f>(Z273/Z250)*AA250</f>
        <v>-5.2787398020306666</v>
      </c>
      <c r="AB273" s="82">
        <f t="shared" ref="AB273" si="913">SUM(X273:AA273)</f>
        <v>-20.021049970854943</v>
      </c>
      <c r="AC273" s="81">
        <f>(AA273/AA250)*AC250</f>
        <v>-5.0942442857699737</v>
      </c>
      <c r="AD273" s="81">
        <f>(AC273/AC250)*AD250</f>
        <v>-5.0265457141892647</v>
      </c>
      <c r="AE273" s="81">
        <f>(AD273/AD250)*AE250</f>
        <v>-5.7011785880501904</v>
      </c>
      <c r="AF273" s="81">
        <f>(AE273/AE250)*AF250</f>
        <v>-5.6885983422512307</v>
      </c>
      <c r="AG273" s="82">
        <f t="shared" ref="AG273" si="914">SUM(AC273:AF273)</f>
        <v>-21.510566930260659</v>
      </c>
      <c r="AH273" s="81">
        <f>(AF273/AF250)*AH250</f>
        <v>-5.4975983081488486</v>
      </c>
      <c r="AI273" s="81">
        <f>(AH273/AH250)*AI250</f>
        <v>-5.4305063898574248</v>
      </c>
      <c r="AJ273" s="81">
        <f>(AI273/AI250)*AJ250</f>
        <v>-6.1484456811559056</v>
      </c>
      <c r="AK273" s="81">
        <f>(AJ273/AJ250)*AK250</f>
        <v>-6.1334476912495557</v>
      </c>
      <c r="AL273" s="82">
        <f t="shared" ref="AL273" si="915">SUM(AH273:AK273)</f>
        <v>-23.209998070411736</v>
      </c>
      <c r="AM273" s="81">
        <f>(AK273/AK250)*AM250</f>
        <v>-5.9332854798116568</v>
      </c>
      <c r="AN273" s="81">
        <f>(AM273/AM250)*AN250</f>
        <v>-5.8598688476795973</v>
      </c>
      <c r="AO273" s="81">
        <f>(AN273/AN250)*AO250</f>
        <v>-6.6230843412998404</v>
      </c>
      <c r="AP273" s="81">
        <f>(AO273/AO250)*AP250</f>
        <v>-6.6048521566943039</v>
      </c>
      <c r="AQ273" s="82">
        <f t="shared" ref="AQ273" si="916">SUM(AM273:AP273)</f>
        <v>-25.021090825485398</v>
      </c>
    </row>
    <row r="274" spans="1:43" ht="17.25" outlineLevel="1" x14ac:dyDescent="0.4">
      <c r="A274" s="253"/>
      <c r="B274" s="586" t="s">
        <v>111</v>
      </c>
      <c r="C274" s="587"/>
      <c r="D274" s="247">
        <v>-0.3</v>
      </c>
      <c r="E274" s="247">
        <f>0.1-D274</f>
        <v>0.4</v>
      </c>
      <c r="F274" s="247">
        <f>-17.6-E274-D274</f>
        <v>-17.7</v>
      </c>
      <c r="G274" s="247">
        <f>-17.5-F274-E274-D274</f>
        <v>9.9999999999999256E-2</v>
      </c>
      <c r="H274" s="240">
        <f t="shared" si="909"/>
        <v>-17.5</v>
      </c>
      <c r="I274" s="247">
        <v>0</v>
      </c>
      <c r="J274" s="247">
        <f>-10.4-I274</f>
        <v>-10.4</v>
      </c>
      <c r="K274" s="247">
        <f>-37.8-J274-I274</f>
        <v>-27.4</v>
      </c>
      <c r="L274" s="247">
        <f>-37.7-K274-J274-I274</f>
        <v>9.9999999999996092E-2</v>
      </c>
      <c r="M274" s="240">
        <f t="shared" ref="M274" si="917">SUM(I274:L274)</f>
        <v>-37.700000000000003</v>
      </c>
      <c r="N274" s="247">
        <v>0</v>
      </c>
      <c r="O274" s="247">
        <f t="shared" si="907"/>
        <v>0</v>
      </c>
      <c r="P274" s="247">
        <f t="shared" si="908"/>
        <v>0</v>
      </c>
      <c r="Q274" s="247">
        <v>0</v>
      </c>
      <c r="R274" s="240">
        <f t="shared" ref="R274" si="918">SUM(N274:Q274)</f>
        <v>0</v>
      </c>
      <c r="S274" s="247">
        <v>0</v>
      </c>
      <c r="T274" s="247">
        <v>0</v>
      </c>
      <c r="U274" s="247">
        <v>0</v>
      </c>
      <c r="V274" s="247">
        <v>0</v>
      </c>
      <c r="W274" s="240">
        <f t="shared" ref="W274" si="919">SUM(S274:V274)</f>
        <v>0</v>
      </c>
      <c r="X274" s="247">
        <v>0</v>
      </c>
      <c r="Y274" s="247">
        <v>0</v>
      </c>
      <c r="Z274" s="247">
        <v>0</v>
      </c>
      <c r="AA274" s="247">
        <v>0</v>
      </c>
      <c r="AB274" s="240">
        <f t="shared" ref="AB274" si="920">SUM(X274:AA274)</f>
        <v>0</v>
      </c>
      <c r="AC274" s="247">
        <v>0</v>
      </c>
      <c r="AD274" s="247">
        <v>0</v>
      </c>
      <c r="AE274" s="247">
        <v>0</v>
      </c>
      <c r="AF274" s="247">
        <v>0</v>
      </c>
      <c r="AG274" s="240">
        <f t="shared" ref="AG274" si="921">SUM(AC274:AF274)</f>
        <v>0</v>
      </c>
      <c r="AH274" s="247">
        <v>0</v>
      </c>
      <c r="AI274" s="247">
        <v>0</v>
      </c>
      <c r="AJ274" s="247">
        <v>0</v>
      </c>
      <c r="AK274" s="247">
        <v>0</v>
      </c>
      <c r="AL274" s="240">
        <f t="shared" ref="AL274" si="922">SUM(AH274:AK274)</f>
        <v>0</v>
      </c>
      <c r="AM274" s="247">
        <v>0</v>
      </c>
      <c r="AN274" s="247">
        <v>0</v>
      </c>
      <c r="AO274" s="247">
        <v>0</v>
      </c>
      <c r="AP274" s="247">
        <v>0</v>
      </c>
      <c r="AQ274" s="240">
        <f t="shared" ref="AQ274" si="923">SUM(AM274:AP274)</f>
        <v>0</v>
      </c>
    </row>
    <row r="275" spans="1:43" outlineLevel="1" x14ac:dyDescent="0.25">
      <c r="A275" s="253"/>
      <c r="B275" s="592" t="s">
        <v>16</v>
      </c>
      <c r="C275" s="593"/>
      <c r="D275" s="80">
        <f t="shared" ref="D275:AL275" si="924">SUM(D267:D274)</f>
        <v>-5858.6</v>
      </c>
      <c r="E275" s="80">
        <f t="shared" si="924"/>
        <v>-2919.2999999999997</v>
      </c>
      <c r="F275" s="80">
        <f t="shared" si="924"/>
        <v>1355.1</v>
      </c>
      <c r="G275" s="80">
        <f t="shared" si="924"/>
        <v>-2634.1</v>
      </c>
      <c r="H275" s="241">
        <f t="shared" si="924"/>
        <v>-10056.9</v>
      </c>
      <c r="I275" s="80">
        <f t="shared" si="924"/>
        <v>-1123.0000000000002</v>
      </c>
      <c r="J275" s="80">
        <f t="shared" si="924"/>
        <v>1273.1000000000001</v>
      </c>
      <c r="K275" s="80">
        <f t="shared" si="924"/>
        <v>2342.9000000000005</v>
      </c>
      <c r="L275" s="80">
        <f t="shared" si="924"/>
        <v>-779.69999999999948</v>
      </c>
      <c r="M275" s="241">
        <f t="shared" si="924"/>
        <v>1713.3000000000009</v>
      </c>
      <c r="N275" s="80">
        <f>SUM(N267:N274)</f>
        <v>-965.80000000000007</v>
      </c>
      <c r="O275" s="80">
        <f t="shared" si="924"/>
        <v>-1711.6</v>
      </c>
      <c r="P275" s="80">
        <f t="shared" si="924"/>
        <v>-490.50000000000011</v>
      </c>
      <c r="Q275" s="80">
        <f t="shared" si="924"/>
        <v>-832.80167757967513</v>
      </c>
      <c r="R275" s="241">
        <f t="shared" si="924"/>
        <v>-4000.7016775796751</v>
      </c>
      <c r="S275" s="80">
        <f t="shared" si="924"/>
        <v>-1581.0223212647561</v>
      </c>
      <c r="T275" s="80">
        <f t="shared" si="924"/>
        <v>-1579.0886775444296</v>
      </c>
      <c r="U275" s="80">
        <f t="shared" si="924"/>
        <v>-1577.1150539285943</v>
      </c>
      <c r="V275" s="80">
        <f t="shared" si="924"/>
        <v>-1355.2282306018406</v>
      </c>
      <c r="W275" s="241">
        <f t="shared" si="924"/>
        <v>-6092.4542833396208</v>
      </c>
      <c r="X275" s="80">
        <f t="shared" si="924"/>
        <v>-1353.4831717761313</v>
      </c>
      <c r="Y275" s="80">
        <f t="shared" si="924"/>
        <v>-1351.7285705637632</v>
      </c>
      <c r="Z275" s="80">
        <f t="shared" si="924"/>
        <v>-1350.7156750493402</v>
      </c>
      <c r="AA275" s="80">
        <f t="shared" si="924"/>
        <v>-1378.7555031805935</v>
      </c>
      <c r="AB275" s="241">
        <f t="shared" si="924"/>
        <v>-5434.6829205698277</v>
      </c>
      <c r="AC275" s="80">
        <f t="shared" si="924"/>
        <v>-1237.3250308577547</v>
      </c>
      <c r="AD275" s="80">
        <f t="shared" si="924"/>
        <v>-1263.0608493421792</v>
      </c>
      <c r="AE275" s="80">
        <f t="shared" si="924"/>
        <v>-1263.13849270479</v>
      </c>
      <c r="AF275" s="80">
        <f t="shared" si="924"/>
        <v>-1262.5284159502792</v>
      </c>
      <c r="AG275" s="241">
        <f t="shared" si="924"/>
        <v>-5026.0527888550032</v>
      </c>
      <c r="AH275" s="80">
        <f t="shared" si="924"/>
        <v>-1188.4894119794319</v>
      </c>
      <c r="AI275" s="80">
        <f t="shared" si="924"/>
        <v>-1187.8238082654261</v>
      </c>
      <c r="AJ275" s="80">
        <f t="shared" si="924"/>
        <v>-1187.9427274707382</v>
      </c>
      <c r="AK275" s="80">
        <f t="shared" si="924"/>
        <v>-1249.197675971069</v>
      </c>
      <c r="AL275" s="241">
        <f t="shared" si="924"/>
        <v>-4813.4536236866652</v>
      </c>
      <c r="AM275" s="80">
        <f t="shared" ref="AM275:AQ275" si="925">SUM(AM267:AM274)</f>
        <v>-1248.3374720015356</v>
      </c>
      <c r="AN275" s="80">
        <f t="shared" si="925"/>
        <v>-1247.6034530662903</v>
      </c>
      <c r="AO275" s="80">
        <f t="shared" si="925"/>
        <v>-1247.705505235733</v>
      </c>
      <c r="AP275" s="80">
        <f t="shared" si="925"/>
        <v>-1294.4799969545268</v>
      </c>
      <c r="AQ275" s="241">
        <f t="shared" si="925"/>
        <v>-5038.1264272580856</v>
      </c>
    </row>
    <row r="276" spans="1:43" outlineLevel="1" x14ac:dyDescent="0.25">
      <c r="A276" s="253"/>
      <c r="B276" s="76" t="s">
        <v>113</v>
      </c>
      <c r="C276" s="77"/>
      <c r="D276" s="353">
        <f>-4.7-0.1</f>
        <v>-4.8</v>
      </c>
      <c r="E276" s="298">
        <f>18.3-0.1-D276</f>
        <v>23</v>
      </c>
      <c r="F276" s="298">
        <f>-2.5-E276-D276</f>
        <v>-20.7</v>
      </c>
      <c r="G276" s="298">
        <f>-49-F276-E276-D276</f>
        <v>-46.5</v>
      </c>
      <c r="H276" s="248">
        <f>SUM(D276:G276)</f>
        <v>-49</v>
      </c>
      <c r="I276" s="298">
        <v>27.1</v>
      </c>
      <c r="J276" s="298">
        <f>8.7-I276</f>
        <v>-18.400000000000002</v>
      </c>
      <c r="K276" s="298">
        <f>10.9-J276-I276</f>
        <v>2.2000000000000028</v>
      </c>
      <c r="L276" s="298">
        <f>64.7-K276-J276-I276</f>
        <v>53.800000000000004</v>
      </c>
      <c r="M276" s="248">
        <f>SUM(I276:L276)</f>
        <v>64.7</v>
      </c>
      <c r="N276" s="298">
        <v>79.8</v>
      </c>
      <c r="O276" s="298">
        <f>66.7-N276</f>
        <v>-13.099999999999994</v>
      </c>
      <c r="P276" s="298">
        <f>87.9-O276-N276</f>
        <v>21.200000000000003</v>
      </c>
      <c r="Q276" s="249">
        <v>0</v>
      </c>
      <c r="R276" s="248">
        <f>SUM(N276:Q276)</f>
        <v>87.9</v>
      </c>
      <c r="S276" s="249">
        <v>0</v>
      </c>
      <c r="T276" s="249">
        <v>0</v>
      </c>
      <c r="U276" s="249">
        <v>0</v>
      </c>
      <c r="V276" s="249">
        <v>0</v>
      </c>
      <c r="W276" s="248">
        <f>SUM(S276:V276)</f>
        <v>0</v>
      </c>
      <c r="X276" s="249">
        <v>0</v>
      </c>
      <c r="Y276" s="249">
        <v>0</v>
      </c>
      <c r="Z276" s="249">
        <v>0</v>
      </c>
      <c r="AA276" s="249">
        <v>0</v>
      </c>
      <c r="AB276" s="248">
        <f>SUM(X276:AA276)</f>
        <v>0</v>
      </c>
      <c r="AC276" s="249">
        <v>0</v>
      </c>
      <c r="AD276" s="249">
        <v>0</v>
      </c>
      <c r="AE276" s="249">
        <v>0</v>
      </c>
      <c r="AF276" s="249">
        <v>0</v>
      </c>
      <c r="AG276" s="248">
        <f>SUM(AC276:AF276)</f>
        <v>0</v>
      </c>
      <c r="AH276" s="249">
        <v>0</v>
      </c>
      <c r="AI276" s="249">
        <v>0</v>
      </c>
      <c r="AJ276" s="249">
        <v>0</v>
      </c>
      <c r="AK276" s="249">
        <v>0</v>
      </c>
      <c r="AL276" s="248">
        <f>SUM(AH276:AK276)</f>
        <v>0</v>
      </c>
      <c r="AM276" s="249">
        <v>0</v>
      </c>
      <c r="AN276" s="249">
        <v>0</v>
      </c>
      <c r="AO276" s="249">
        <v>0</v>
      </c>
      <c r="AP276" s="249">
        <v>0</v>
      </c>
      <c r="AQ276" s="248">
        <f>SUM(AM276:AP276)</f>
        <v>0</v>
      </c>
    </row>
    <row r="277" spans="1:43" ht="17.25" outlineLevel="1" x14ac:dyDescent="0.4">
      <c r="A277" s="253"/>
      <c r="B277" s="562" t="s">
        <v>17</v>
      </c>
      <c r="C277" s="563"/>
      <c r="D277" s="37">
        <f t="shared" ref="D277:AL277" si="926">D275+D265+D260+D276</f>
        <v>-3994.7999999999997</v>
      </c>
      <c r="E277" s="37">
        <f t="shared" si="926"/>
        <v>-2706.5</v>
      </c>
      <c r="F277" s="37">
        <f t="shared" si="926"/>
        <v>2708.3000000000011</v>
      </c>
      <c r="G277" s="37">
        <f t="shared" si="926"/>
        <v>-2076.7999999999993</v>
      </c>
      <c r="H277" s="38">
        <f t="shared" si="926"/>
        <v>-6069.7999999999938</v>
      </c>
      <c r="I277" s="37">
        <f t="shared" si="926"/>
        <v>353.89999999999839</v>
      </c>
      <c r="J277" s="37">
        <f t="shared" si="926"/>
        <v>-468.20000000000061</v>
      </c>
      <c r="K277" s="37">
        <f t="shared" si="926"/>
        <v>1393.600000000001</v>
      </c>
      <c r="L277" s="37">
        <f t="shared" si="926"/>
        <v>385.0000000000021</v>
      </c>
      <c r="M277" s="38">
        <f t="shared" si="926"/>
        <v>1664.3000000000052</v>
      </c>
      <c r="N277" s="37">
        <f t="shared" si="926"/>
        <v>677.2</v>
      </c>
      <c r="O277" s="37">
        <f t="shared" si="926"/>
        <v>-1147.3999999999996</v>
      </c>
      <c r="P277" s="37">
        <f t="shared" si="926"/>
        <v>872.49999999999909</v>
      </c>
      <c r="Q277" s="37">
        <f t="shared" si="926"/>
        <v>-458.22929414965733</v>
      </c>
      <c r="R277" s="38">
        <f t="shared" si="926"/>
        <v>-55.929294149656556</v>
      </c>
      <c r="S277" s="37">
        <f t="shared" si="926"/>
        <v>528.25398126867276</v>
      </c>
      <c r="T277" s="37">
        <f t="shared" si="926"/>
        <v>-1028.5558360381183</v>
      </c>
      <c r="U277" s="37">
        <f t="shared" si="926"/>
        <v>-247.8867089781952</v>
      </c>
      <c r="V277" s="37">
        <f t="shared" si="926"/>
        <v>-797.57030084196094</v>
      </c>
      <c r="W277" s="38">
        <f t="shared" si="926"/>
        <v>-1545.7588645896039</v>
      </c>
      <c r="X277" s="37">
        <f t="shared" si="926"/>
        <v>638.83317623189441</v>
      </c>
      <c r="Y277" s="37">
        <f t="shared" si="926"/>
        <v>-651.31228859347539</v>
      </c>
      <c r="Z277" s="37">
        <f t="shared" si="926"/>
        <v>96.507946394933242</v>
      </c>
      <c r="AA277" s="37">
        <f t="shared" si="926"/>
        <v>-909.36966400411575</v>
      </c>
      <c r="AB277" s="38">
        <f t="shared" si="926"/>
        <v>-825.34082997076712</v>
      </c>
      <c r="AC277" s="37">
        <f t="shared" si="926"/>
        <v>1069.4091105135958</v>
      </c>
      <c r="AD277" s="37">
        <f t="shared" si="926"/>
        <v>-433.09807652116274</v>
      </c>
      <c r="AE277" s="37">
        <f t="shared" si="926"/>
        <v>423.43459044666997</v>
      </c>
      <c r="AF277" s="37">
        <f t="shared" si="926"/>
        <v>-825.53600502233951</v>
      </c>
      <c r="AG277" s="38">
        <f t="shared" si="926"/>
        <v>234.20961941676342</v>
      </c>
      <c r="AH277" s="37">
        <f t="shared" si="926"/>
        <v>1301.3525239493197</v>
      </c>
      <c r="AI277" s="37">
        <f t="shared" si="926"/>
        <v>-274.31004034722878</v>
      </c>
      <c r="AJ277" s="37">
        <f t="shared" si="926"/>
        <v>629.01341454968269</v>
      </c>
      <c r="AK277" s="37">
        <f t="shared" si="926"/>
        <v>-739.26061132491714</v>
      </c>
      <c r="AL277" s="38">
        <f t="shared" si="926"/>
        <v>916.79528682685122</v>
      </c>
      <c r="AM277" s="37">
        <f t="shared" ref="AM277:AQ277" si="927">AM275+AM265+AM260+AM276</f>
        <v>1445.90800431042</v>
      </c>
      <c r="AN277" s="37">
        <f t="shared" si="927"/>
        <v>-243.15262651248122</v>
      </c>
      <c r="AO277" s="37">
        <f t="shared" si="927"/>
        <v>737.84708579056428</v>
      </c>
      <c r="AP277" s="37">
        <f t="shared" si="927"/>
        <v>-736.56314954052959</v>
      </c>
      <c r="AQ277" s="38">
        <f t="shared" si="927"/>
        <v>1204.0393140479773</v>
      </c>
    </row>
    <row r="278" spans="1:43" ht="17.25" outlineLevel="1" x14ac:dyDescent="0.4">
      <c r="A278" s="253"/>
      <c r="B278" s="562" t="s">
        <v>18</v>
      </c>
      <c r="C278" s="563"/>
      <c r="D278" s="37">
        <v>8756.2999999999993</v>
      </c>
      <c r="E278" s="37">
        <f>D279</f>
        <v>4761.6000000000004</v>
      </c>
      <c r="F278" s="37">
        <f>E279</f>
        <v>2055.1000000000004</v>
      </c>
      <c r="G278" s="37">
        <f>F279</f>
        <v>4763.4000000000015</v>
      </c>
      <c r="H278" s="38">
        <f>D278</f>
        <v>8756.2999999999993</v>
      </c>
      <c r="I278" s="269">
        <f>H279</f>
        <v>2686.5000000000055</v>
      </c>
      <c r="J278" s="37">
        <f>I279</f>
        <v>3040.5000000000036</v>
      </c>
      <c r="K278" s="37">
        <f>J279</f>
        <v>2572.3000000000029</v>
      </c>
      <c r="L278" s="37">
        <f>K279</f>
        <v>3965.9000000000042</v>
      </c>
      <c r="M278" s="38">
        <f>H279</f>
        <v>2686.5000000000055</v>
      </c>
      <c r="N278" s="37">
        <f>+M279</f>
        <v>4350.8000000000102</v>
      </c>
      <c r="O278" s="37">
        <f>N279</f>
        <v>5028.00000000001</v>
      </c>
      <c r="P278" s="37">
        <f>O279</f>
        <v>3880.6000000000104</v>
      </c>
      <c r="Q278" s="37">
        <f>P279</f>
        <v>4753.1000000000095</v>
      </c>
      <c r="R278" s="38">
        <f>M279</f>
        <v>4350.8000000000102</v>
      </c>
      <c r="S278" s="37">
        <f>+R279</f>
        <v>4294.8707058503533</v>
      </c>
      <c r="T278" s="37">
        <f>S279</f>
        <v>4823.124687119026</v>
      </c>
      <c r="U278" s="37">
        <f>T279</f>
        <v>3794.5688510809077</v>
      </c>
      <c r="V278" s="37">
        <f>U279</f>
        <v>3546.6821421027125</v>
      </c>
      <c r="W278" s="38">
        <f>R279</f>
        <v>4294.8707058503533</v>
      </c>
      <c r="X278" s="37">
        <f>+W279</f>
        <v>2749.1118412607493</v>
      </c>
      <c r="Y278" s="37">
        <f>X279</f>
        <v>3387.9450174926437</v>
      </c>
      <c r="Z278" s="37">
        <f>Y279</f>
        <v>2736.6327288991683</v>
      </c>
      <c r="AA278" s="37">
        <f>Z279</f>
        <v>2833.1406752941016</v>
      </c>
      <c r="AB278" s="38">
        <f>W279</f>
        <v>2749.1118412607493</v>
      </c>
      <c r="AC278" s="37">
        <f>+AB279</f>
        <v>1923.7710112899822</v>
      </c>
      <c r="AD278" s="37">
        <f>AC279</f>
        <v>2993.180121803578</v>
      </c>
      <c r="AE278" s="37">
        <f>AD279</f>
        <v>2560.0820452824155</v>
      </c>
      <c r="AF278" s="37">
        <f>AE279</f>
        <v>2983.5166357290855</v>
      </c>
      <c r="AG278" s="38">
        <f>AB279</f>
        <v>1923.7710112899822</v>
      </c>
      <c r="AH278" s="37">
        <f>+AG279</f>
        <v>2157.9806307067456</v>
      </c>
      <c r="AI278" s="37">
        <f>AH279</f>
        <v>3459.3331546560653</v>
      </c>
      <c r="AJ278" s="37">
        <f>AI279</f>
        <v>3185.0231143088367</v>
      </c>
      <c r="AK278" s="37">
        <f>AJ279</f>
        <v>3814.0365288585194</v>
      </c>
      <c r="AL278" s="38">
        <f>AG279</f>
        <v>2157.9806307067456</v>
      </c>
      <c r="AM278" s="37">
        <f>+AL279</f>
        <v>3074.7759175335968</v>
      </c>
      <c r="AN278" s="37">
        <f>AM279</f>
        <v>4520.6839218440164</v>
      </c>
      <c r="AO278" s="37">
        <f>AN279</f>
        <v>4277.5312953315351</v>
      </c>
      <c r="AP278" s="37">
        <f>AO279</f>
        <v>5015.3783811220992</v>
      </c>
      <c r="AQ278" s="38">
        <f>AL279</f>
        <v>3074.7759175335968</v>
      </c>
    </row>
    <row r="279" spans="1:43" outlineLevel="1" x14ac:dyDescent="0.25">
      <c r="A279" s="253"/>
      <c r="B279" s="595" t="s">
        <v>112</v>
      </c>
      <c r="C279" s="596"/>
      <c r="D279" s="282">
        <f>+D278+D277+0.1</f>
        <v>4761.6000000000004</v>
      </c>
      <c r="E279" s="282">
        <f t="shared" ref="E279:G279" si="928">+E278+E277</f>
        <v>2055.1000000000004</v>
      </c>
      <c r="F279" s="282">
        <f t="shared" si="928"/>
        <v>4763.4000000000015</v>
      </c>
      <c r="G279" s="282">
        <f t="shared" si="928"/>
        <v>2686.6000000000022</v>
      </c>
      <c r="H279" s="356">
        <f>+D278+H277</f>
        <v>2686.5000000000055</v>
      </c>
      <c r="I279" s="282">
        <f>+I278+I277+0.1</f>
        <v>3040.5000000000036</v>
      </c>
      <c r="J279" s="282">
        <f t="shared" ref="J279:L279" si="929">+J278+J277</f>
        <v>2572.3000000000029</v>
      </c>
      <c r="K279" s="282">
        <f t="shared" si="929"/>
        <v>3965.9000000000042</v>
      </c>
      <c r="L279" s="41">
        <f t="shared" si="929"/>
        <v>4350.900000000006</v>
      </c>
      <c r="M279" s="42">
        <f>+I278+M277</f>
        <v>4350.8000000000102</v>
      </c>
      <c r="N279" s="41">
        <f>+N278+N277</f>
        <v>5028.00000000001</v>
      </c>
      <c r="O279" s="41">
        <f t="shared" ref="O279:Q279" si="930">+O278+O277</f>
        <v>3880.6000000000104</v>
      </c>
      <c r="P279" s="41">
        <f t="shared" si="930"/>
        <v>4753.1000000000095</v>
      </c>
      <c r="Q279" s="41">
        <f t="shared" si="930"/>
        <v>4294.8707058503524</v>
      </c>
      <c r="R279" s="42">
        <f>+N278+R277</f>
        <v>4294.8707058503533</v>
      </c>
      <c r="S279" s="41">
        <f>+S278+S277</f>
        <v>4823.124687119026</v>
      </c>
      <c r="T279" s="41">
        <f t="shared" ref="T279:V279" si="931">+T278+T277</f>
        <v>3794.5688510809077</v>
      </c>
      <c r="U279" s="41">
        <f t="shared" si="931"/>
        <v>3546.6821421027125</v>
      </c>
      <c r="V279" s="41">
        <f t="shared" si="931"/>
        <v>2749.1118412607516</v>
      </c>
      <c r="W279" s="42">
        <f>+S278+W277</f>
        <v>2749.1118412607493</v>
      </c>
      <c r="X279" s="41">
        <f>+X278+X277</f>
        <v>3387.9450174926437</v>
      </c>
      <c r="Y279" s="41">
        <f t="shared" ref="Y279:AA279" si="932">+Y278+Y277</f>
        <v>2736.6327288991683</v>
      </c>
      <c r="Z279" s="41">
        <f t="shared" si="932"/>
        <v>2833.1406752941016</v>
      </c>
      <c r="AA279" s="41">
        <f t="shared" si="932"/>
        <v>1923.7710112899858</v>
      </c>
      <c r="AB279" s="42">
        <f>+X278+AB277</f>
        <v>1923.7710112899822</v>
      </c>
      <c r="AC279" s="41">
        <f>+AC278+AC277</f>
        <v>2993.180121803578</v>
      </c>
      <c r="AD279" s="41">
        <f t="shared" ref="AD279:AF279" si="933">+AD278+AD277</f>
        <v>2560.0820452824155</v>
      </c>
      <c r="AE279" s="41">
        <f t="shared" si="933"/>
        <v>2983.5166357290855</v>
      </c>
      <c r="AF279" s="41">
        <f t="shared" si="933"/>
        <v>2157.9806307067461</v>
      </c>
      <c r="AG279" s="42">
        <f>+AC278+AG277</f>
        <v>2157.9806307067456</v>
      </c>
      <c r="AH279" s="41">
        <f>+AH278+AH277</f>
        <v>3459.3331546560653</v>
      </c>
      <c r="AI279" s="41">
        <f t="shared" ref="AI279:AK279" si="934">+AI278+AI277</f>
        <v>3185.0231143088367</v>
      </c>
      <c r="AJ279" s="41">
        <f t="shared" si="934"/>
        <v>3814.0365288585194</v>
      </c>
      <c r="AK279" s="41">
        <f t="shared" si="934"/>
        <v>3074.7759175336023</v>
      </c>
      <c r="AL279" s="42">
        <f>+AH278+AL277</f>
        <v>3074.7759175335968</v>
      </c>
      <c r="AM279" s="41">
        <f>+AM278+AM277</f>
        <v>4520.6839218440164</v>
      </c>
      <c r="AN279" s="41">
        <f t="shared" ref="AN279:AP279" si="935">+AN278+AN277</f>
        <v>4277.5312953315351</v>
      </c>
      <c r="AO279" s="41">
        <f t="shared" si="935"/>
        <v>5015.3783811220992</v>
      </c>
      <c r="AP279" s="41">
        <f t="shared" si="935"/>
        <v>4278.8152315815696</v>
      </c>
      <c r="AQ279" s="42">
        <f>+AM278+AQ277</f>
        <v>4278.8152315815742</v>
      </c>
    </row>
    <row r="280" spans="1:43" s="43" customFormat="1" outlineLevel="1" x14ac:dyDescent="0.25">
      <c r="A280" s="306"/>
      <c r="B280" s="597" t="s">
        <v>72</v>
      </c>
      <c r="C280" s="598"/>
      <c r="D280" s="250">
        <f>D260-(-D263)+((-D30*(1-$C$317)))</f>
        <v>2006.5673941210975</v>
      </c>
      <c r="E280" s="250">
        <f>E260-(-E263)+((-E30*(1-$C$317)))</f>
        <v>34.30253900732064</v>
      </c>
      <c r="F280" s="250">
        <f>F260-(-F263)+((-F30*(1-$C$317)))</f>
        <v>802.23043802750476</v>
      </c>
      <c r="G280" s="250">
        <f>G260-(-G263)+((-G30*(1-$C$317)))</f>
        <v>657.44239489852066</v>
      </c>
      <c r="H280" s="251">
        <f>SUM(D280:G280)</f>
        <v>3500.5427660544437</v>
      </c>
      <c r="I280" s="250">
        <f>I260-(-I263)+((-I30*(1-$C$317)))</f>
        <v>1514.054713596383</v>
      </c>
      <c r="J280" s="250">
        <f>J260-(-J263)+((-J30*(1-$C$317)))</f>
        <v>-1647.3057933758298</v>
      </c>
      <c r="K280" s="250">
        <f>K260-(-K263)+((-K30*(1-$C$317)))</f>
        <v>-652.82318386895224</v>
      </c>
      <c r="L280" s="250">
        <f>L260-(-L263)+((-L30*(1-$C$317)))</f>
        <v>1243.7789902018301</v>
      </c>
      <c r="M280" s="251">
        <f>SUM(I280:L280)</f>
        <v>457.70472655343099</v>
      </c>
      <c r="N280" s="250">
        <f>N260-(-N263)+((-N30*(1-$C$317)))</f>
        <v>1606.3981929388858</v>
      </c>
      <c r="O280" s="250">
        <f>O260-(-O263)+((-O30*(1-$C$317)))</f>
        <v>650.51667098568237</v>
      </c>
      <c r="P280" s="250">
        <f>P260-(-P263)+((-P30*(1-$C$317)))</f>
        <v>1500.358699911098</v>
      </c>
      <c r="Q280" s="250">
        <f>Q260-(-Q263)+((-Q30*(1-$C$317)))</f>
        <v>460.90367617278469</v>
      </c>
      <c r="R280" s="251">
        <f>SUM(N280:Q280)</f>
        <v>4218.177240008451</v>
      </c>
      <c r="S280" s="250">
        <f>S260-(-S263)+((-S30*(1-$C$317)))</f>
        <v>2147.7337166863053</v>
      </c>
      <c r="T280" s="250">
        <f>T260-(-T263)+((-T30*(1-$C$317)))</f>
        <v>571.83651153698361</v>
      </c>
      <c r="U280" s="250">
        <f>U260-(-U263)+((-U30*(1-$C$317)))</f>
        <v>1382.6557458532805</v>
      </c>
      <c r="V280" s="250">
        <f>V260-(-V263)+((-V30*(1-$C$317)))</f>
        <v>607.51318067934642</v>
      </c>
      <c r="W280" s="251">
        <f>SUM(S280:V280)</f>
        <v>4709.7391547559155</v>
      </c>
      <c r="X280" s="250">
        <f>X260-(-X263)+((-X30*(1-$C$317)))</f>
        <v>2044.6285505713797</v>
      </c>
      <c r="Y280" s="250">
        <f>Y260-(-Y263)+((-Y30*(1-$C$317)))</f>
        <v>729.40487466510922</v>
      </c>
      <c r="Z280" s="250">
        <f>Z260-(-Z263)+((-Z30*(1-$C$317)))</f>
        <v>1508.2930084680154</v>
      </c>
      <c r="AA280" s="250">
        <f>AA260-(-AA263)+((-AA30*(1-$C$317)))</f>
        <v>514.237026075975</v>
      </c>
      <c r="AB280" s="251">
        <f>SUM(X280:AA280)</f>
        <v>4796.5634597804801</v>
      </c>
      <c r="AC280" s="250">
        <f>AC260-(-AC263)+((-AC30*(1-$C$317)))</f>
        <v>2370.9628819322793</v>
      </c>
      <c r="AD280" s="250">
        <f>AD260-(-AD263)+((-AD30*(1-$C$317)))</f>
        <v>863.04118918672179</v>
      </c>
      <c r="AE280" s="250">
        <f>AE260-(-AE263)+((-AE30*(1-$C$317)))</f>
        <v>1755.277948601359</v>
      </c>
      <c r="AF280" s="250">
        <f>AF260-(-AF263)+((-AF30*(1-$C$317)))</f>
        <v>483.26347820003929</v>
      </c>
      <c r="AG280" s="251">
        <f>SUM(AC280:AF280)</f>
        <v>5472.5454979203996</v>
      </c>
      <c r="AH280" s="250">
        <f>AH260-(-AH263)+((-AH30*(1-$C$317)))</f>
        <v>2555.9066322721314</v>
      </c>
      <c r="AI280" s="250">
        <f>AI260-(-AI263)+((-AI30*(1-$C$317)))</f>
        <v>947.46432627786248</v>
      </c>
      <c r="AJ280" s="250">
        <f>AJ260-(-AJ263)+((-AJ30*(1-$C$317)))</f>
        <v>1888.9808108497152</v>
      </c>
      <c r="AK280" s="250">
        <f>AK260-(-AK263)+((-AK30*(1-$C$317)))</f>
        <v>557.38155297961077</v>
      </c>
      <c r="AL280" s="251">
        <f>SUM(AH280:AK280)</f>
        <v>5949.7333223793203</v>
      </c>
      <c r="AM280" s="250">
        <f>AM260-(-AM263)+((-AM30*(1-$C$317)))</f>
        <v>2759.7142492340381</v>
      </c>
      <c r="AN280" s="250">
        <f>AN260-(-AN263)+((-AN30*(1-$C$317)))</f>
        <v>1035.2893201356442</v>
      </c>
      <c r="AO280" s="250">
        <f>AO260-(-AO263)+((-AO30*(1-$C$317)))</f>
        <v>2057.4659496108275</v>
      </c>
      <c r="AP280" s="250">
        <f>AP260-(-AP263)+((-AP30*(1-$C$317)))</f>
        <v>603.40862546006974</v>
      </c>
      <c r="AQ280" s="251">
        <f>SUM(AM280:AP280)</f>
        <v>6455.8781444405795</v>
      </c>
    </row>
    <row r="281" spans="1:43" s="43" customFormat="1" outlineLevel="1" x14ac:dyDescent="0.25">
      <c r="A281" s="306"/>
      <c r="B281" s="395" t="s">
        <v>46</v>
      </c>
      <c r="C281" s="396"/>
      <c r="D281" s="81"/>
      <c r="E281" s="81"/>
      <c r="F281" s="299"/>
      <c r="G281" s="81"/>
      <c r="H281" s="82">
        <v>0</v>
      </c>
      <c r="I281" s="81"/>
      <c r="J281" s="81"/>
      <c r="K281" s="81"/>
      <c r="L281" s="81"/>
      <c r="M281" s="82">
        <v>0</v>
      </c>
      <c r="N281" s="81"/>
      <c r="O281" s="81"/>
      <c r="P281" s="81"/>
      <c r="Q281" s="81"/>
      <c r="R281" s="82">
        <v>0</v>
      </c>
      <c r="S281" s="81"/>
      <c r="T281" s="81"/>
      <c r="U281" s="81"/>
      <c r="V281" s="81"/>
      <c r="W281" s="82">
        <f>R281+1</f>
        <v>1</v>
      </c>
      <c r="X281" s="81"/>
      <c r="Y281" s="81"/>
      <c r="Z281" s="81"/>
      <c r="AA281" s="81"/>
      <c r="AB281" s="82">
        <f>W281+1</f>
        <v>2</v>
      </c>
      <c r="AC281" s="81"/>
      <c r="AD281" s="81"/>
      <c r="AE281" s="81"/>
      <c r="AF281" s="81"/>
      <c r="AG281" s="82">
        <f>AB281+1</f>
        <v>3</v>
      </c>
      <c r="AH281" s="81"/>
      <c r="AI281" s="81"/>
      <c r="AJ281" s="81"/>
      <c r="AK281" s="81"/>
      <c r="AL281" s="82">
        <f>AG281+1</f>
        <v>4</v>
      </c>
      <c r="AM281" s="81"/>
      <c r="AN281" s="81"/>
      <c r="AO281" s="81"/>
      <c r="AP281" s="81"/>
      <c r="AQ281" s="82">
        <f>AL281+1</f>
        <v>5</v>
      </c>
    </row>
    <row r="282" spans="1:43" s="43" customFormat="1" outlineLevel="1" x14ac:dyDescent="0.25">
      <c r="A282" s="306"/>
      <c r="B282" s="599" t="s">
        <v>25</v>
      </c>
      <c r="C282" s="600"/>
      <c r="D282" s="83"/>
      <c r="E282" s="83"/>
      <c r="F282" s="83"/>
      <c r="G282" s="83"/>
      <c r="H282" s="84">
        <f>H280/(1+$C$319)^H281</f>
        <v>3500.5427660544437</v>
      </c>
      <c r="I282" s="83"/>
      <c r="J282" s="83"/>
      <c r="K282" s="83"/>
      <c r="L282" s="83"/>
      <c r="M282" s="84">
        <f>M280/(1+$C$319)^M281</f>
        <v>457.70472655343099</v>
      </c>
      <c r="N282" s="83"/>
      <c r="O282" s="83"/>
      <c r="P282" s="83"/>
      <c r="Q282" s="83"/>
      <c r="R282" s="84">
        <f>R280/(1+$C$319)^R281</f>
        <v>4218.177240008451</v>
      </c>
      <c r="S282" s="83"/>
      <c r="T282" s="83"/>
      <c r="U282" s="83"/>
      <c r="V282" s="83"/>
      <c r="W282" s="84">
        <f>W280/(1+$C$319)^W281</f>
        <v>4411.5748543348027</v>
      </c>
      <c r="X282" s="83"/>
      <c r="Y282" s="83"/>
      <c r="Z282" s="83"/>
      <c r="AA282" s="83"/>
      <c r="AB282" s="84">
        <f>AB280/(1+$C$319)^AB281</f>
        <v>4208.4656855008971</v>
      </c>
      <c r="AC282" s="83"/>
      <c r="AD282" s="83"/>
      <c r="AE282" s="83"/>
      <c r="AF282" s="83"/>
      <c r="AG282" s="84">
        <f>AG280/(1+$C$319)^AG281</f>
        <v>4497.5890875872165</v>
      </c>
      <c r="AH282" s="83"/>
      <c r="AI282" s="83"/>
      <c r="AJ282" s="83"/>
      <c r="AK282" s="83"/>
      <c r="AL282" s="84">
        <f>AL280/(1+$C$319)^AL281</f>
        <v>4580.2026303238954</v>
      </c>
      <c r="AM282" s="83"/>
      <c r="AN282" s="83"/>
      <c r="AO282" s="83"/>
      <c r="AP282" s="83"/>
      <c r="AQ282" s="84">
        <f>AQ280/(1+$C$319)^AQ281</f>
        <v>4655.2103934041306</v>
      </c>
    </row>
    <row r="283" spans="1:43" outlineLevel="1" x14ac:dyDescent="0.25">
      <c r="A283" s="253"/>
      <c r="B283" s="406" t="s">
        <v>56</v>
      </c>
      <c r="C283" s="77"/>
      <c r="D283" s="24"/>
      <c r="E283" s="24"/>
      <c r="F283" s="24"/>
      <c r="G283" s="24"/>
      <c r="H283" s="25"/>
      <c r="I283" s="24"/>
      <c r="J283" s="24"/>
      <c r="K283" s="24"/>
      <c r="L283" s="24"/>
      <c r="M283" s="25"/>
      <c r="N283" s="24"/>
      <c r="O283" s="24"/>
      <c r="P283" s="24"/>
      <c r="Q283" s="24"/>
      <c r="R283" s="25"/>
      <c r="S283" s="24"/>
      <c r="T283" s="24"/>
      <c r="U283" s="24"/>
      <c r="V283" s="24"/>
      <c r="W283" s="25"/>
      <c r="X283" s="24"/>
      <c r="Y283" s="24"/>
      <c r="Z283" s="24"/>
      <c r="AA283" s="24"/>
      <c r="AB283" s="25"/>
      <c r="AC283" s="24"/>
      <c r="AD283" s="24"/>
      <c r="AE283" s="24"/>
      <c r="AF283" s="24"/>
      <c r="AG283" s="25"/>
      <c r="AH283" s="24"/>
      <c r="AI283" s="24"/>
      <c r="AJ283" s="24"/>
      <c r="AK283" s="24"/>
      <c r="AL283" s="25"/>
      <c r="AM283" s="24"/>
      <c r="AN283" s="24"/>
      <c r="AO283" s="24"/>
      <c r="AP283" s="24"/>
      <c r="AQ283" s="25"/>
    </row>
    <row r="284" spans="1:43" outlineLevel="1" x14ac:dyDescent="0.25">
      <c r="A284" s="253"/>
      <c r="B284" s="393" t="s">
        <v>242</v>
      </c>
      <c r="C284" s="394"/>
      <c r="D284" s="34">
        <f t="shared" ref="D284:AL284" si="936">+D187+D188+D193</f>
        <v>5256.8</v>
      </c>
      <c r="E284" s="34">
        <f t="shared" si="936"/>
        <v>2383.6000000000004</v>
      </c>
      <c r="F284" s="34">
        <f t="shared" si="936"/>
        <v>5058.1000000000022</v>
      </c>
      <c r="G284" s="34">
        <f t="shared" si="936"/>
        <v>2977.1000000000022</v>
      </c>
      <c r="H284" s="35">
        <f t="shared" si="936"/>
        <v>2977.1000000000022</v>
      </c>
      <c r="I284" s="34">
        <f t="shared" si="936"/>
        <v>3308.7000000000039</v>
      </c>
      <c r="J284" s="34">
        <f t="shared" si="936"/>
        <v>2824.0000000000032</v>
      </c>
      <c r="K284" s="34">
        <f>+K187+K188+K193</f>
        <v>4419.2000000000035</v>
      </c>
      <c r="L284" s="34">
        <f t="shared" si="936"/>
        <v>4838.2000000000062</v>
      </c>
      <c r="M284" s="35">
        <f t="shared" si="936"/>
        <v>4838.2000000000062</v>
      </c>
      <c r="N284" s="34">
        <f t="shared" si="936"/>
        <v>5454.4000000000096</v>
      </c>
      <c r="O284" s="34">
        <f t="shared" si="936"/>
        <v>4288.4000000000106</v>
      </c>
      <c r="P284" s="34">
        <f t="shared" si="936"/>
        <v>5192.6000000000095</v>
      </c>
      <c r="Q284" s="34">
        <f t="shared" si="936"/>
        <v>4748.2908159294457</v>
      </c>
      <c r="R284" s="35">
        <f t="shared" si="936"/>
        <v>4748.2908159294457</v>
      </c>
      <c r="S284" s="34">
        <f t="shared" si="936"/>
        <v>5261.2177285018679</v>
      </c>
      <c r="T284" s="34">
        <f t="shared" si="936"/>
        <v>4219.1025647622455</v>
      </c>
      <c r="U284" s="34">
        <f t="shared" si="936"/>
        <v>3971.6959269465615</v>
      </c>
      <c r="V284" s="34">
        <f t="shared" si="936"/>
        <v>3172.1245250028455</v>
      </c>
      <c r="W284" s="35">
        <f t="shared" si="936"/>
        <v>3172.1245250028455</v>
      </c>
      <c r="X284" s="34">
        <f t="shared" si="936"/>
        <v>3809.5626355569179</v>
      </c>
      <c r="Y284" s="34">
        <f t="shared" si="936"/>
        <v>3148.4375473775317</v>
      </c>
      <c r="Z284" s="34">
        <f t="shared" si="936"/>
        <v>3248.7041384780246</v>
      </c>
      <c r="AA284" s="34">
        <f t="shared" si="936"/>
        <v>2336.0994451698175</v>
      </c>
      <c r="AB284" s="35">
        <f t="shared" si="936"/>
        <v>2336.0994451698175</v>
      </c>
      <c r="AC284" s="34">
        <f t="shared" si="936"/>
        <v>3410.8215221460105</v>
      </c>
      <c r="AD284" s="34">
        <f t="shared" si="936"/>
        <v>2970.4997552471386</v>
      </c>
      <c r="AE284" s="34">
        <f t="shared" si="936"/>
        <v>3402.444953620331</v>
      </c>
      <c r="AF284" s="34">
        <f t="shared" si="936"/>
        <v>2576.4717310659598</v>
      </c>
      <c r="AG284" s="35">
        <f t="shared" si="936"/>
        <v>2576.4717310659598</v>
      </c>
      <c r="AH284" s="34">
        <f t="shared" si="936"/>
        <v>3886.5269917684227</v>
      </c>
      <c r="AI284" s="34">
        <f t="shared" si="936"/>
        <v>3607.7584970250755</v>
      </c>
      <c r="AJ284" s="34">
        <f t="shared" si="936"/>
        <v>4249.0468637857639</v>
      </c>
      <c r="AK284" s="34">
        <f t="shared" si="936"/>
        <v>3512.1174653388789</v>
      </c>
      <c r="AL284" s="35">
        <f t="shared" si="936"/>
        <v>3512.1174653388789</v>
      </c>
      <c r="AM284" s="34">
        <f t="shared" ref="AM284:AQ284" si="937">+AM187+AM188+AM193</f>
        <v>4968.6004253261408</v>
      </c>
      <c r="AN284" s="34">
        <f t="shared" si="937"/>
        <v>4721.8277703685499</v>
      </c>
      <c r="AO284" s="34">
        <f t="shared" si="937"/>
        <v>5474.1411983934995</v>
      </c>
      <c r="AP284" s="34">
        <f t="shared" si="937"/>
        <v>4741.37272847862</v>
      </c>
      <c r="AQ284" s="35">
        <f t="shared" si="937"/>
        <v>4741.37272847862</v>
      </c>
    </row>
    <row r="285" spans="1:43" outlineLevel="1" x14ac:dyDescent="0.25">
      <c r="A285" s="253"/>
      <c r="B285" s="393" t="s">
        <v>73</v>
      </c>
      <c r="C285" s="394"/>
      <c r="D285" s="34">
        <f t="shared" ref="D285:AL285" si="938">D209+D212</f>
        <v>9130.7000000000007</v>
      </c>
      <c r="E285" s="34">
        <f t="shared" si="938"/>
        <v>9216.5</v>
      </c>
      <c r="F285" s="34">
        <f t="shared" si="938"/>
        <v>11159.1</v>
      </c>
      <c r="G285" s="34">
        <f t="shared" si="938"/>
        <v>11167</v>
      </c>
      <c r="H285" s="35">
        <f t="shared" si="938"/>
        <v>11167</v>
      </c>
      <c r="I285" s="34">
        <f t="shared" si="938"/>
        <v>11649.800000000001</v>
      </c>
      <c r="J285" s="34">
        <f t="shared" si="938"/>
        <v>14015.2</v>
      </c>
      <c r="K285" s="34">
        <f>K209+K212</f>
        <v>16831.7</v>
      </c>
      <c r="L285" s="34">
        <f t="shared" si="938"/>
        <v>16348.300000000001</v>
      </c>
      <c r="M285" s="35">
        <f t="shared" si="938"/>
        <v>16348.300000000001</v>
      </c>
      <c r="N285" s="34">
        <f t="shared" si="938"/>
        <v>15916.1</v>
      </c>
      <c r="O285" s="34">
        <f t="shared" si="938"/>
        <v>14648.599999999999</v>
      </c>
      <c r="P285" s="34">
        <f t="shared" si="938"/>
        <v>14618.1</v>
      </c>
      <c r="Q285" s="34">
        <f t="shared" si="938"/>
        <v>14368.1</v>
      </c>
      <c r="R285" s="35">
        <f t="shared" si="938"/>
        <v>14368.1</v>
      </c>
      <c r="S285" s="34">
        <f t="shared" si="938"/>
        <v>13868.1</v>
      </c>
      <c r="T285" s="34">
        <f t="shared" si="938"/>
        <v>13368.1</v>
      </c>
      <c r="U285" s="34">
        <f t="shared" si="938"/>
        <v>12869.1</v>
      </c>
      <c r="V285" s="34">
        <f t="shared" si="938"/>
        <v>12619.1</v>
      </c>
      <c r="W285" s="35">
        <f t="shared" si="938"/>
        <v>12619.1</v>
      </c>
      <c r="X285" s="34">
        <f t="shared" si="938"/>
        <v>12369.1</v>
      </c>
      <c r="Y285" s="34">
        <f t="shared" si="938"/>
        <v>12119.1</v>
      </c>
      <c r="Z285" s="34">
        <f t="shared" si="938"/>
        <v>11869.1</v>
      </c>
      <c r="AA285" s="34">
        <f t="shared" si="938"/>
        <v>11619.1</v>
      </c>
      <c r="AB285" s="35">
        <f t="shared" si="938"/>
        <v>11619.1</v>
      </c>
      <c r="AC285" s="34">
        <f t="shared" si="938"/>
        <v>11259.75</v>
      </c>
      <c r="AD285" s="34">
        <f t="shared" si="938"/>
        <v>10874</v>
      </c>
      <c r="AE285" s="34">
        <f t="shared" si="938"/>
        <v>10488.25</v>
      </c>
      <c r="AF285" s="34">
        <f t="shared" si="938"/>
        <v>10102.5</v>
      </c>
      <c r="AG285" s="35">
        <f t="shared" si="938"/>
        <v>10102.5</v>
      </c>
      <c r="AH285" s="34">
        <f t="shared" si="938"/>
        <v>9790</v>
      </c>
      <c r="AI285" s="34">
        <f t="shared" si="938"/>
        <v>9477.5</v>
      </c>
      <c r="AJ285" s="34">
        <f t="shared" si="938"/>
        <v>9165</v>
      </c>
      <c r="AK285" s="34">
        <f t="shared" si="938"/>
        <v>8852.5</v>
      </c>
      <c r="AL285" s="35">
        <f t="shared" si="938"/>
        <v>8852.5</v>
      </c>
      <c r="AM285" s="34">
        <f t="shared" ref="AM285:AQ285" si="939">AM209+AM212</f>
        <v>8540</v>
      </c>
      <c r="AN285" s="34">
        <f t="shared" si="939"/>
        <v>8227.5</v>
      </c>
      <c r="AO285" s="34">
        <f t="shared" si="939"/>
        <v>7915</v>
      </c>
      <c r="AP285" s="34">
        <f t="shared" si="939"/>
        <v>7602.5</v>
      </c>
      <c r="AQ285" s="35">
        <f t="shared" si="939"/>
        <v>7602.5</v>
      </c>
    </row>
    <row r="286" spans="1:43" outlineLevel="1" x14ac:dyDescent="0.25">
      <c r="A286" s="253"/>
      <c r="B286" s="601" t="s">
        <v>74</v>
      </c>
      <c r="C286" s="602"/>
      <c r="D286" s="71">
        <f t="shared" ref="D286:AL286" si="940">(D284-D285)/D39</f>
        <v>-3.0907132599329823</v>
      </c>
      <c r="E286" s="71">
        <f t="shared" si="940"/>
        <v>-5.4632605740785154</v>
      </c>
      <c r="F286" s="71">
        <f t="shared" si="940"/>
        <v>-4.9885527391659839</v>
      </c>
      <c r="G286" s="71">
        <f t="shared" si="940"/>
        <v>-6.6975821179389685</v>
      </c>
      <c r="H286" s="72">
        <f t="shared" si="940"/>
        <v>-6.6411774245864397</v>
      </c>
      <c r="I286" s="71">
        <f t="shared" si="940"/>
        <v>-7.0034424853064623</v>
      </c>
      <c r="J286" s="71">
        <f t="shared" si="940"/>
        <v>-9.4784449902600123</v>
      </c>
      <c r="K286" s="71">
        <f t="shared" si="940"/>
        <v>-10.62259306803594</v>
      </c>
      <c r="L286" s="71">
        <f t="shared" si="940"/>
        <v>-9.7625954198473242</v>
      </c>
      <c r="M286" s="72">
        <f t="shared" si="940"/>
        <v>-9.6019593007244595</v>
      </c>
      <c r="N286" s="71">
        <f t="shared" si="940"/>
        <v>-8.8433643279797032</v>
      </c>
      <c r="O286" s="71">
        <f t="shared" si="940"/>
        <v>-8.7442606347062704</v>
      </c>
      <c r="P286" s="71">
        <f t="shared" si="940"/>
        <v>-7.9459618951272892</v>
      </c>
      <c r="Q286" s="71">
        <f t="shared" si="940"/>
        <v>-8.1001985382386348</v>
      </c>
      <c r="R286" s="72">
        <f t="shared" si="940"/>
        <v>-8.1123010138755305</v>
      </c>
      <c r="S286" s="71">
        <f t="shared" si="940"/>
        <v>-7.2641830407823704</v>
      </c>
      <c r="T286" s="71">
        <f t="shared" si="940"/>
        <v>-7.7397992146120176</v>
      </c>
      <c r="U286" s="71">
        <f t="shared" si="940"/>
        <v>-7.5446371549896547</v>
      </c>
      <c r="V286" s="71">
        <f t="shared" si="940"/>
        <v>-8.0295330628886674</v>
      </c>
      <c r="W286" s="72">
        <f t="shared" si="940"/>
        <v>-8.0035127150165479</v>
      </c>
      <c r="X286" s="71">
        <f t="shared" si="940"/>
        <v>-7.292457039863411</v>
      </c>
      <c r="Y286" s="71">
        <f t="shared" si="940"/>
        <v>-7.6608654350541787</v>
      </c>
      <c r="Z286" s="71">
        <f t="shared" si="940"/>
        <v>-7.3792789535242873</v>
      </c>
      <c r="AA286" s="71">
        <f t="shared" si="940"/>
        <v>-7.9654842759797635</v>
      </c>
      <c r="AB286" s="72">
        <f t="shared" si="940"/>
        <v>-7.9385604954540145</v>
      </c>
      <c r="AC286" s="71">
        <f t="shared" si="940"/>
        <v>-6.7390309232842238</v>
      </c>
      <c r="AD286" s="71">
        <f t="shared" si="940"/>
        <v>-6.7900080475180058</v>
      </c>
      <c r="AE286" s="71">
        <f t="shared" si="940"/>
        <v>-6.0912192195499628</v>
      </c>
      <c r="AF286" s="71">
        <f t="shared" si="940"/>
        <v>-6.4735955364986015</v>
      </c>
      <c r="AG286" s="72">
        <f t="shared" si="940"/>
        <v>-6.4680112913430818</v>
      </c>
      <c r="AH286" s="71">
        <f t="shared" si="940"/>
        <v>-5.0810381839458127</v>
      </c>
      <c r="AI286" s="71">
        <f t="shared" si="940"/>
        <v>-5.0550969419549157</v>
      </c>
      <c r="AJ286" s="71">
        <f t="shared" si="940"/>
        <v>-4.2362770942241914</v>
      </c>
      <c r="AK286" s="71">
        <f t="shared" si="940"/>
        <v>-4.6048510072723383</v>
      </c>
      <c r="AL286" s="72">
        <f t="shared" si="940"/>
        <v>-4.6008352345229753</v>
      </c>
      <c r="AM286" s="71">
        <f t="shared" ref="AM286:AQ286" si="941">(AM284-AM285)/AM39</f>
        <v>-3.0814046117388942</v>
      </c>
      <c r="AN286" s="71">
        <f t="shared" si="941"/>
        <v>-3.0265589955094883</v>
      </c>
      <c r="AO286" s="71">
        <f t="shared" si="941"/>
        <v>-2.1085724306771936</v>
      </c>
      <c r="AP286" s="71">
        <f t="shared" si="941"/>
        <v>-2.4731562624294381</v>
      </c>
      <c r="AQ286" s="72">
        <f t="shared" si="941"/>
        <v>-2.4709770538533693</v>
      </c>
    </row>
    <row r="287" spans="1:43" x14ac:dyDescent="0.25">
      <c r="A287" s="253"/>
      <c r="B287" s="603"/>
      <c r="C287" s="603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</row>
    <row r="288" spans="1:43" ht="15.75" x14ac:dyDescent="0.25">
      <c r="A288" s="253"/>
      <c r="B288" s="532" t="s">
        <v>23</v>
      </c>
      <c r="C288" s="533"/>
      <c r="D288" s="31" t="s">
        <v>106</v>
      </c>
      <c r="E288" s="31" t="s">
        <v>244</v>
      </c>
      <c r="F288" s="31" t="s">
        <v>246</v>
      </c>
      <c r="G288" s="31" t="s">
        <v>337</v>
      </c>
      <c r="H288" s="85" t="s">
        <v>337</v>
      </c>
      <c r="I288" s="31" t="s">
        <v>336</v>
      </c>
      <c r="J288" s="31" t="s">
        <v>335</v>
      </c>
      <c r="K288" s="31" t="s">
        <v>334</v>
      </c>
      <c r="L288" s="31" t="s">
        <v>321</v>
      </c>
      <c r="M288" s="85" t="s">
        <v>321</v>
      </c>
      <c r="N288" s="31" t="s">
        <v>338</v>
      </c>
      <c r="O288" s="31" t="s">
        <v>346</v>
      </c>
      <c r="P288" s="31" t="s">
        <v>348</v>
      </c>
      <c r="Q288" s="33" t="s">
        <v>120</v>
      </c>
      <c r="R288" s="88" t="s">
        <v>120</v>
      </c>
      <c r="S288" s="33" t="s">
        <v>121</v>
      </c>
      <c r="T288" s="33" t="s">
        <v>122</v>
      </c>
      <c r="U288" s="33" t="s">
        <v>123</v>
      </c>
      <c r="V288" s="33" t="s">
        <v>124</v>
      </c>
      <c r="W288" s="88" t="s">
        <v>124</v>
      </c>
      <c r="X288" s="33" t="s">
        <v>125</v>
      </c>
      <c r="Y288" s="33" t="s">
        <v>126</v>
      </c>
      <c r="Z288" s="33" t="s">
        <v>127</v>
      </c>
      <c r="AA288" s="33" t="s">
        <v>128</v>
      </c>
      <c r="AB288" s="88" t="s">
        <v>128</v>
      </c>
      <c r="AC288" s="33" t="s">
        <v>248</v>
      </c>
      <c r="AD288" s="33" t="s">
        <v>249</v>
      </c>
      <c r="AE288" s="33" t="s">
        <v>250</v>
      </c>
      <c r="AF288" s="33" t="s">
        <v>251</v>
      </c>
      <c r="AG288" s="88" t="s">
        <v>251</v>
      </c>
      <c r="AH288" s="33" t="s">
        <v>281</v>
      </c>
      <c r="AI288" s="33" t="s">
        <v>282</v>
      </c>
      <c r="AJ288" s="33" t="s">
        <v>283</v>
      </c>
      <c r="AK288" s="33" t="s">
        <v>284</v>
      </c>
      <c r="AL288" s="88" t="s">
        <v>284</v>
      </c>
      <c r="AM288" s="33" t="s">
        <v>352</v>
      </c>
      <c r="AN288" s="33" t="s">
        <v>353</v>
      </c>
      <c r="AO288" s="33" t="s">
        <v>354</v>
      </c>
      <c r="AP288" s="33" t="s">
        <v>355</v>
      </c>
      <c r="AQ288" s="88" t="s">
        <v>355</v>
      </c>
    </row>
    <row r="289" spans="1:43" ht="17.25" x14ac:dyDescent="0.4">
      <c r="A289" s="253"/>
      <c r="B289" s="534"/>
      <c r="C289" s="535"/>
      <c r="D289" s="32" t="s">
        <v>119</v>
      </c>
      <c r="E289" s="32" t="s">
        <v>243</v>
      </c>
      <c r="F289" s="32" t="s">
        <v>247</v>
      </c>
      <c r="G289" s="32" t="s">
        <v>257</v>
      </c>
      <c r="H289" s="86" t="s">
        <v>258</v>
      </c>
      <c r="I289" s="32" t="s">
        <v>259</v>
      </c>
      <c r="J289" s="32" t="s">
        <v>260</v>
      </c>
      <c r="K289" s="32" t="s">
        <v>261</v>
      </c>
      <c r="L289" s="32" t="s">
        <v>322</v>
      </c>
      <c r="M289" s="86" t="s">
        <v>333</v>
      </c>
      <c r="N289" s="32" t="s">
        <v>339</v>
      </c>
      <c r="O289" s="32" t="s">
        <v>347</v>
      </c>
      <c r="P289" s="32" t="s">
        <v>349</v>
      </c>
      <c r="Q289" s="30" t="s">
        <v>129</v>
      </c>
      <c r="R289" s="89" t="s">
        <v>130</v>
      </c>
      <c r="S289" s="30" t="s">
        <v>131</v>
      </c>
      <c r="T289" s="30" t="s">
        <v>132</v>
      </c>
      <c r="U289" s="30" t="s">
        <v>133</v>
      </c>
      <c r="V289" s="30" t="s">
        <v>134</v>
      </c>
      <c r="W289" s="89" t="s">
        <v>135</v>
      </c>
      <c r="X289" s="30" t="s">
        <v>136</v>
      </c>
      <c r="Y289" s="30" t="s">
        <v>137</v>
      </c>
      <c r="Z289" s="30" t="s">
        <v>138</v>
      </c>
      <c r="AA289" s="30" t="s">
        <v>139</v>
      </c>
      <c r="AB289" s="89" t="s">
        <v>140</v>
      </c>
      <c r="AC289" s="30" t="s">
        <v>252</v>
      </c>
      <c r="AD289" s="30" t="s">
        <v>253</v>
      </c>
      <c r="AE289" s="30" t="s">
        <v>254</v>
      </c>
      <c r="AF289" s="30" t="s">
        <v>255</v>
      </c>
      <c r="AG289" s="89" t="s">
        <v>256</v>
      </c>
      <c r="AH289" s="30" t="s">
        <v>285</v>
      </c>
      <c r="AI289" s="30" t="s">
        <v>286</v>
      </c>
      <c r="AJ289" s="30" t="s">
        <v>287</v>
      </c>
      <c r="AK289" s="30" t="s">
        <v>288</v>
      </c>
      <c r="AL289" s="89" t="s">
        <v>289</v>
      </c>
      <c r="AM289" s="30" t="s">
        <v>356</v>
      </c>
      <c r="AN289" s="30" t="s">
        <v>357</v>
      </c>
      <c r="AO289" s="30" t="s">
        <v>358</v>
      </c>
      <c r="AP289" s="30" t="s">
        <v>359</v>
      </c>
      <c r="AQ289" s="89" t="s">
        <v>360</v>
      </c>
    </row>
    <row r="290" spans="1:43" ht="17.25" outlineLevel="1" x14ac:dyDescent="0.4">
      <c r="A290" s="253"/>
      <c r="B290" s="556" t="s">
        <v>76</v>
      </c>
      <c r="C290" s="557"/>
      <c r="D290" s="16"/>
      <c r="E290" s="16"/>
      <c r="F290" s="16"/>
      <c r="G290" s="16"/>
      <c r="H290" s="17"/>
      <c r="I290" s="16"/>
      <c r="J290" s="16"/>
      <c r="K290" s="16"/>
      <c r="L290" s="16"/>
      <c r="M290" s="17"/>
      <c r="N290" s="16"/>
      <c r="O290" s="16"/>
      <c r="P290" s="16"/>
      <c r="Q290" s="16"/>
      <c r="R290" s="17"/>
      <c r="S290" s="16"/>
      <c r="T290" s="16"/>
      <c r="U290" s="16"/>
      <c r="V290" s="16"/>
      <c r="W290" s="17"/>
      <c r="X290" s="16"/>
      <c r="Y290" s="16"/>
      <c r="Z290" s="16"/>
      <c r="AA290" s="16"/>
      <c r="AB290" s="17"/>
      <c r="AC290" s="16"/>
      <c r="AD290" s="16"/>
      <c r="AE290" s="16"/>
      <c r="AF290" s="16"/>
      <c r="AG290" s="17"/>
      <c r="AH290" s="16"/>
      <c r="AI290" s="16"/>
      <c r="AJ290" s="16"/>
      <c r="AK290" s="16"/>
      <c r="AL290" s="17"/>
      <c r="AM290" s="16"/>
      <c r="AN290" s="16"/>
      <c r="AO290" s="16"/>
      <c r="AP290" s="16"/>
      <c r="AQ290" s="17"/>
    </row>
    <row r="291" spans="1:43" s="43" customFormat="1" outlineLevel="1" x14ac:dyDescent="0.25">
      <c r="A291" s="306"/>
      <c r="B291" s="393" t="s">
        <v>82</v>
      </c>
      <c r="C291" s="394"/>
      <c r="D291" s="49">
        <f t="shared" ref="D291:L291" si="942">D250/D16</f>
        <v>1.4669742337208073E-2</v>
      </c>
      <c r="E291" s="304">
        <f t="shared" si="942"/>
        <v>1.5033540018078308E-2</v>
      </c>
      <c r="F291" s="276">
        <f t="shared" si="942"/>
        <v>9.2774439396160081E-3</v>
      </c>
      <c r="G291" s="276">
        <f t="shared" si="942"/>
        <v>7.7960575070401619E-3</v>
      </c>
      <c r="H291" s="305">
        <f t="shared" si="942"/>
        <v>1.1618870857004896E-2</v>
      </c>
      <c r="I291" s="276">
        <f t="shared" si="942"/>
        <v>1.2723506784461259E-2</v>
      </c>
      <c r="J291" s="276">
        <f t="shared" si="942"/>
        <v>9.3900628783961833E-3</v>
      </c>
      <c r="K291" s="276">
        <f t="shared" si="942"/>
        <v>9.8055470026763899E-3</v>
      </c>
      <c r="L291" s="276">
        <f t="shared" si="942"/>
        <v>9.7693088939401224E-3</v>
      </c>
      <c r="M291" s="79"/>
      <c r="N291" s="276">
        <f>N250/N16</f>
        <v>1.4712418881678371E-2</v>
      </c>
      <c r="O291" s="276">
        <f t="shared" ref="O291:P291" si="943">O250/O16</f>
        <v>1.1397720455908821E-2</v>
      </c>
      <c r="P291" s="276">
        <f t="shared" si="943"/>
        <v>1.0671646768491964E-2</v>
      </c>
      <c r="Q291" s="65">
        <f>AVERAGE(P291,O291,N291,L291)</f>
        <v>1.1637773750004819E-2</v>
      </c>
      <c r="R291" s="79"/>
      <c r="S291" s="65">
        <f>AVERAGE(Q291,P291,O291,N291)</f>
        <v>1.2104889964020996E-2</v>
      </c>
      <c r="T291" s="65">
        <f>AVERAGE(S291,Q291,P291,O291)</f>
        <v>1.1453007734606651E-2</v>
      </c>
      <c r="U291" s="65">
        <f>AVERAGE(T291,S291,Q291,P291)</f>
        <v>1.1466829554281107E-2</v>
      </c>
      <c r="V291" s="65">
        <f>AVERAGE(U291,T291,S291,Q291)</f>
        <v>1.1665625250728394E-2</v>
      </c>
      <c r="W291" s="79"/>
      <c r="X291" s="65">
        <f>AVERAGE(V291,U291,T291,S291)</f>
        <v>1.1672588125909288E-2</v>
      </c>
      <c r="Y291" s="65">
        <f>AVERAGE(X291,V291,U291,T291)</f>
        <v>1.1564512666381359E-2</v>
      </c>
      <c r="Z291" s="65">
        <f>AVERAGE(Y291,X291,V291,U291)</f>
        <v>1.1592388899325037E-2</v>
      </c>
      <c r="AA291" s="65">
        <f>AVERAGE(Z291,Y291,X291,V291)</f>
        <v>1.162377873558602E-2</v>
      </c>
      <c r="AB291" s="79"/>
      <c r="AC291" s="65">
        <f>AVERAGE(AA291,Z291,Y291,X291)</f>
        <v>1.1613317106800426E-2</v>
      </c>
      <c r="AD291" s="65">
        <f>AVERAGE(AC291,AA291,Z291,Y291)</f>
        <v>1.1598499352023209E-2</v>
      </c>
      <c r="AE291" s="65">
        <f>AVERAGE(AD291,AC291,AA291,Z291)</f>
        <v>1.1606996023433673E-2</v>
      </c>
      <c r="AF291" s="65">
        <f>AVERAGE(AE291,AD291,AC291,AA291)</f>
        <v>1.1610647804460833E-2</v>
      </c>
      <c r="AG291" s="79"/>
      <c r="AH291" s="65">
        <f>AVERAGE(AF291,AE291,AD291,AC291)</f>
        <v>1.1607365071679535E-2</v>
      </c>
      <c r="AI291" s="65">
        <f>AVERAGE(AH291,AF291,AE291,AD291)</f>
        <v>1.1605877062899313E-2</v>
      </c>
      <c r="AJ291" s="65">
        <f>AVERAGE(AI291,AH291,AF291,AE291)</f>
        <v>1.1607721490618339E-2</v>
      </c>
      <c r="AK291" s="65">
        <f>AVERAGE(AJ291,AI291,AH291,AF291)</f>
        <v>1.1607902857414504E-2</v>
      </c>
      <c r="AL291" s="79"/>
      <c r="AM291" s="65">
        <f>AVERAGE(AK291,AJ291,AI291,AH291)</f>
        <v>1.1607216620652921E-2</v>
      </c>
      <c r="AN291" s="65">
        <f>AVERAGE(AM291,AK291,AJ291,AI291)</f>
        <v>1.1607179507896269E-2</v>
      </c>
      <c r="AO291" s="65">
        <f>AVERAGE(AN291,AM291,AK291,AJ291)</f>
        <v>1.1607505119145508E-2</v>
      </c>
      <c r="AP291" s="65">
        <f>AVERAGE(AO291,AN291,AM291,AK291)</f>
        <v>1.1607451026277301E-2</v>
      </c>
      <c r="AQ291" s="79"/>
    </row>
    <row r="292" spans="1:43" s="43" customFormat="1" outlineLevel="1" x14ac:dyDescent="0.25">
      <c r="A292" s="306"/>
      <c r="B292" s="393" t="s">
        <v>231</v>
      </c>
      <c r="C292" s="394"/>
      <c r="D292" s="49">
        <f>+D248/-D247</f>
        <v>1.1581818181818182</v>
      </c>
      <c r="E292" s="49">
        <f>+E248/-E247</f>
        <v>0.55639097744360888</v>
      </c>
      <c r="F292" s="276">
        <f t="shared" ref="F292:K292" si="944">+F248/-F247</f>
        <v>1.0682852807283763</v>
      </c>
      <c r="G292" s="276">
        <f t="shared" si="944"/>
        <v>0.69411764705882406</v>
      </c>
      <c r="H292" s="305">
        <f t="shared" si="944"/>
        <v>0.86512370311252995</v>
      </c>
      <c r="I292" s="276">
        <f t="shared" si="944"/>
        <v>1.0222575516693164</v>
      </c>
      <c r="J292" s="276">
        <f t="shared" si="944"/>
        <v>0.63295880149812733</v>
      </c>
      <c r="K292" s="276">
        <f t="shared" si="944"/>
        <v>1.0227272727272729</v>
      </c>
      <c r="L292" s="276">
        <f t="shared" ref="L292" si="945">+L248/-L247</f>
        <v>0.63109756097560987</v>
      </c>
      <c r="M292" s="79"/>
      <c r="N292" s="276">
        <f t="shared" ref="N292:P292" si="946">+N248/-N247</f>
        <v>1.1188405797101451</v>
      </c>
      <c r="O292" s="276">
        <f t="shared" si="946"/>
        <v>0.85072231139646837</v>
      </c>
      <c r="P292" s="276">
        <f t="shared" si="946"/>
        <v>0.9018691588785045</v>
      </c>
      <c r="Q292" s="65">
        <v>1</v>
      </c>
      <c r="R292" s="79"/>
      <c r="S292" s="65">
        <v>1</v>
      </c>
      <c r="T292" s="65">
        <v>1</v>
      </c>
      <c r="U292" s="65">
        <v>1</v>
      </c>
      <c r="V292" s="65">
        <v>1</v>
      </c>
      <c r="W292" s="79"/>
      <c r="X292" s="65">
        <v>1</v>
      </c>
      <c r="Y292" s="65">
        <v>1</v>
      </c>
      <c r="Z292" s="65">
        <v>1</v>
      </c>
      <c r="AA292" s="65">
        <v>1</v>
      </c>
      <c r="AB292" s="79"/>
      <c r="AC292" s="65">
        <v>1</v>
      </c>
      <c r="AD292" s="65">
        <v>1</v>
      </c>
      <c r="AE292" s="65">
        <v>1</v>
      </c>
      <c r="AF292" s="65">
        <v>1</v>
      </c>
      <c r="AG292" s="79"/>
      <c r="AH292" s="65">
        <v>1</v>
      </c>
      <c r="AI292" s="65">
        <v>1</v>
      </c>
      <c r="AJ292" s="65">
        <v>1</v>
      </c>
      <c r="AK292" s="65">
        <v>1</v>
      </c>
      <c r="AL292" s="79"/>
      <c r="AM292" s="65">
        <v>1</v>
      </c>
      <c r="AN292" s="65">
        <v>1</v>
      </c>
      <c r="AO292" s="65">
        <v>1</v>
      </c>
      <c r="AP292" s="65">
        <v>1</v>
      </c>
      <c r="AQ292" s="79"/>
    </row>
    <row r="293" spans="1:43" s="43" customFormat="1" outlineLevel="1" x14ac:dyDescent="0.25">
      <c r="A293" s="306"/>
      <c r="B293" s="562" t="s">
        <v>59</v>
      </c>
      <c r="C293" s="563"/>
      <c r="D293" s="52"/>
      <c r="E293" s="52"/>
      <c r="F293" s="52"/>
      <c r="G293" s="52"/>
      <c r="H293" s="62"/>
      <c r="I293" s="52">
        <f t="shared" ref="I293:AL293" si="947">I260/D260-1</f>
        <v>-0.22820512820512895</v>
      </c>
      <c r="J293" s="52">
        <f t="shared" si="947"/>
        <v>-4.4869364754098413</v>
      </c>
      <c r="K293" s="52">
        <f t="shared" si="947"/>
        <v>-1.314434752864716</v>
      </c>
      <c r="L293" s="52">
        <f t="shared" si="947"/>
        <v>0.34527569713924766</v>
      </c>
      <c r="M293" s="62">
        <f t="shared" si="947"/>
        <v>-0.68340961778517451</v>
      </c>
      <c r="N293" s="52">
        <f t="shared" si="947"/>
        <v>-2.1785305811139466E-4</v>
      </c>
      <c r="O293" s="52">
        <f t="shared" si="947"/>
        <v>-1.649232351428781</v>
      </c>
      <c r="P293" s="52">
        <f t="shared" si="947"/>
        <v>-5.7565950503127619</v>
      </c>
      <c r="Q293" s="52">
        <f t="shared" si="947"/>
        <v>-0.27892076580363645</v>
      </c>
      <c r="R293" s="62">
        <f t="shared" si="947"/>
        <v>2.4694034387385817</v>
      </c>
      <c r="S293" s="52">
        <f t="shared" si="947"/>
        <v>0.37674746213325383</v>
      </c>
      <c r="T293" s="52">
        <f t="shared" si="947"/>
        <v>6.354745988332966E-2</v>
      </c>
      <c r="U293" s="52">
        <f t="shared" si="947"/>
        <v>3.7553058457483468E-2</v>
      </c>
      <c r="V293" s="52">
        <f t="shared" si="947"/>
        <v>-4.7325973875614769E-2</v>
      </c>
      <c r="W293" s="62">
        <f t="shared" si="947"/>
        <v>0.13756283182955809</v>
      </c>
      <c r="X293" s="52">
        <f t="shared" si="947"/>
        <v>-3.8821593022618339E-2</v>
      </c>
      <c r="Y293" s="52">
        <f t="shared" si="947"/>
        <v>0.17890260444480854</v>
      </c>
      <c r="Z293" s="52">
        <f t="shared" si="947"/>
        <v>7.3351038934849733E-2</v>
      </c>
      <c r="AA293" s="52">
        <f t="shared" si="947"/>
        <v>-8.9870022325933219E-2</v>
      </c>
      <c r="AB293" s="62">
        <f t="shared" si="947"/>
        <v>1.7622365891585501E-2</v>
      </c>
      <c r="AC293" s="52">
        <f t="shared" si="947"/>
        <v>0.13240837040514575</v>
      </c>
      <c r="AD293" s="52">
        <f t="shared" si="947"/>
        <v>0.11868338935132305</v>
      </c>
      <c r="AE293" s="52">
        <f t="shared" si="947"/>
        <v>0.12609941038786188</v>
      </c>
      <c r="AF293" s="52">
        <f t="shared" si="947"/>
        <v>-3.9629190280782156E-3</v>
      </c>
      <c r="AG293" s="62">
        <f t="shared" si="947"/>
        <v>0.10831697641085913</v>
      </c>
      <c r="AH293" s="52">
        <f t="shared" si="947"/>
        <v>8.407004992031597E-2</v>
      </c>
      <c r="AI293" s="52">
        <f t="shared" si="947"/>
        <v>0.1051491563538558</v>
      </c>
      <c r="AJ293" s="52">
        <f t="shared" si="947"/>
        <v>8.3879725090409307E-2</v>
      </c>
      <c r="AK293" s="52">
        <f t="shared" si="947"/>
        <v>0.12778007797543012</v>
      </c>
      <c r="AL293" s="62">
        <f t="shared" si="947"/>
        <v>9.3390648014831656E-2</v>
      </c>
      <c r="AM293" s="52">
        <f t="shared" ref="AM293" si="948">AM260/AH260-1</f>
        <v>8.4012212772781591E-2</v>
      </c>
      <c r="AN293" s="52">
        <f t="shared" ref="AN293" si="949">AN260/AI260-1</f>
        <v>9.7619436782855118E-2</v>
      </c>
      <c r="AO293" s="52">
        <f t="shared" ref="AO293" si="950">AO260/AJ260-1</f>
        <v>9.1765556854507491E-2</v>
      </c>
      <c r="AP293" s="52">
        <f t="shared" ref="AP293" si="951">AP260/AK260-1</f>
        <v>9.0584006527188787E-2</v>
      </c>
      <c r="AQ293" s="62">
        <f t="shared" ref="AQ293" si="952">AQ260/AL260-1</f>
        <v>8.9664531416757454E-2</v>
      </c>
    </row>
    <row r="294" spans="1:43" outlineLevel="1" x14ac:dyDescent="0.25">
      <c r="A294" s="253"/>
      <c r="B294" s="398" t="s">
        <v>77</v>
      </c>
      <c r="C294" s="236"/>
      <c r="D294" s="49">
        <f t="shared" ref="D294:P294" si="953">-D263/D16</f>
        <v>6.5041385860961587E-2</v>
      </c>
      <c r="E294" s="49">
        <f t="shared" si="953"/>
        <v>6.5684517673924428E-2</v>
      </c>
      <c r="F294" s="276">
        <f t="shared" si="953"/>
        <v>6.3769602814011436E-2</v>
      </c>
      <c r="G294" s="276">
        <f t="shared" si="953"/>
        <v>7.7945753668297008E-2</v>
      </c>
      <c r="H294" s="302">
        <f t="shared" si="953"/>
        <v>6.8151467825535855E-2</v>
      </c>
      <c r="I294" s="303">
        <f t="shared" si="953"/>
        <v>5.555790393259219E-2</v>
      </c>
      <c r="J294" s="284">
        <f t="shared" si="953"/>
        <v>6.0710175625865198E-2</v>
      </c>
      <c r="K294" s="284">
        <f t="shared" si="953"/>
        <v>9.0026290234717338E-2</v>
      </c>
      <c r="L294" s="276">
        <f t="shared" si="953"/>
        <v>5.5649594557559891E-2</v>
      </c>
      <c r="M294" s="87">
        <f t="shared" si="953"/>
        <v>6.3083595543838744E-2</v>
      </c>
      <c r="N294" s="303">
        <f t="shared" si="953"/>
        <v>4.8033899309568251E-2</v>
      </c>
      <c r="O294" s="284">
        <f t="shared" si="953"/>
        <v>4.8545290941811634E-2</v>
      </c>
      <c r="P294" s="284">
        <f t="shared" si="953"/>
        <v>4.5061028479957313E-2</v>
      </c>
      <c r="Q294" s="64">
        <v>8.6278486826498871E-2</v>
      </c>
      <c r="R294" s="87">
        <f>-R263/R16</f>
        <v>5.80849512739363E-2</v>
      </c>
      <c r="S294" s="152">
        <v>6.25E-2</v>
      </c>
      <c r="T294" s="65">
        <v>6.25E-2</v>
      </c>
      <c r="U294" s="65">
        <v>6.25E-2</v>
      </c>
      <c r="V294" s="65">
        <v>6.0240099163199522E-2</v>
      </c>
      <c r="W294" s="104">
        <f>-W263/W16</f>
        <v>6.1903798417629836E-2</v>
      </c>
      <c r="X294" s="152">
        <v>5.7500000000000002E-2</v>
      </c>
      <c r="Y294" s="152">
        <v>5.7500000000000002E-2</v>
      </c>
      <c r="Z294" s="152">
        <v>5.7500000000000002E-2</v>
      </c>
      <c r="AA294" s="152">
        <v>5.515585956204333E-2</v>
      </c>
      <c r="AB294" s="104">
        <f>-AB263/AB16</f>
        <v>5.6882507311320898E-2</v>
      </c>
      <c r="AC294" s="152">
        <v>5.2499999999999998E-2</v>
      </c>
      <c r="AD294" s="65">
        <v>5.2499999999999998E-2</v>
      </c>
      <c r="AE294" s="65">
        <v>5.2499999999999998E-2</v>
      </c>
      <c r="AF294" s="65">
        <v>5.3115491488484927E-2</v>
      </c>
      <c r="AG294" s="104">
        <f>-AG263/AG16</f>
        <v>5.2662725873043666E-2</v>
      </c>
      <c r="AH294" s="152">
        <f>AVERAGE(AC294,AD294,AE294,AF294)</f>
        <v>5.2653872872121234E-2</v>
      </c>
      <c r="AI294" s="65">
        <f>AVERAGE(AD294,AE294,AF294,AH294)</f>
        <v>5.2692341090151536E-2</v>
      </c>
      <c r="AJ294" s="65">
        <f>AVERAGE(AI294,AH294,AF294,AE294)</f>
        <v>5.274042636268942E-2</v>
      </c>
      <c r="AK294" s="65">
        <f>AVERAGE(AJ294,AI294,AH294,AF294)</f>
        <v>5.2800532953361783E-2</v>
      </c>
      <c r="AL294" s="104">
        <f>-AL263/AL16</f>
        <v>5.272455604302808E-2</v>
      </c>
      <c r="AM294" s="152">
        <f>AVERAGE(AH294,AI294,AJ294,AK294)</f>
        <v>5.2721793319580997E-2</v>
      </c>
      <c r="AN294" s="65">
        <f>AVERAGE(AI294,AJ294,AK294,AM294)</f>
        <v>5.273877343144593E-2</v>
      </c>
      <c r="AO294" s="65">
        <f>AVERAGE(AN294,AM294,AK294,AJ294)</f>
        <v>5.2750381516769529E-2</v>
      </c>
      <c r="AP294" s="65">
        <f>AVERAGE(AO294,AN294,AM294,AK294)</f>
        <v>5.2752870305289558E-2</v>
      </c>
      <c r="AQ294" s="104">
        <f>-AQ263/AQ16</f>
        <v>5.2741540625998583E-2</v>
      </c>
    </row>
    <row r="295" spans="1:43" s="185" customFormat="1" x14ac:dyDescent="0.25">
      <c r="A295" s="271"/>
      <c r="B295" s="495" t="s">
        <v>363</v>
      </c>
      <c r="C295" s="495"/>
      <c r="D295" s="516"/>
      <c r="E295" s="516"/>
      <c r="F295" s="516"/>
      <c r="G295" s="516"/>
      <c r="H295" s="517">
        <f t="shared" ref="H295:W295" si="954">(H209+H212)/(H25+H245)</f>
        <v>2.0203719785786638</v>
      </c>
      <c r="I295" s="515"/>
      <c r="J295" s="515"/>
      <c r="K295" s="515"/>
      <c r="L295" s="515"/>
      <c r="M295" s="517">
        <f t="shared" si="954"/>
        <v>5.3342143043591674</v>
      </c>
      <c r="N295" s="515"/>
      <c r="O295" s="515"/>
      <c r="P295" s="515"/>
      <c r="Q295" s="515"/>
      <c r="R295" s="523">
        <f t="shared" si="954"/>
        <v>2.2290804703693667</v>
      </c>
      <c r="S295" s="515"/>
      <c r="T295" s="515"/>
      <c r="U295" s="515"/>
      <c r="V295" s="515"/>
      <c r="W295" s="517">
        <f t="shared" si="954"/>
        <v>1.798022127037296</v>
      </c>
      <c r="X295" s="514"/>
      <c r="Y295" s="514"/>
      <c r="Z295" s="514"/>
      <c r="AA295" s="514"/>
      <c r="AB295" s="517">
        <f>(AB209+AB212)/(AB25+AB245)</f>
        <v>1.5084723781313729</v>
      </c>
      <c r="AC295" s="514"/>
      <c r="AD295" s="514"/>
      <c r="AE295" s="514"/>
      <c r="AF295" s="514"/>
      <c r="AG295" s="517">
        <f t="shared" ref="AG295" si="955">(AG209+AG212)/(AG25+AG245)</f>
        <v>1.2167444759537664</v>
      </c>
      <c r="AH295" s="514"/>
      <c r="AI295" s="514"/>
      <c r="AJ295" s="514"/>
      <c r="AK295" s="514"/>
      <c r="AL295" s="517">
        <f t="shared" ref="AL295" si="956">(AL209+AL212)/(AL25+AL245)</f>
        <v>0.98370989588920066</v>
      </c>
      <c r="AM295" s="514"/>
      <c r="AN295" s="514"/>
      <c r="AO295" s="514"/>
      <c r="AP295" s="514"/>
      <c r="AQ295" s="517">
        <f t="shared" ref="AQ295" si="957">(AQ209+AQ212)/(AQ25+AQ245)</f>
        <v>0.77944258381906928</v>
      </c>
    </row>
    <row r="296" spans="1:43" ht="15.75" x14ac:dyDescent="0.25">
      <c r="A296" s="253"/>
      <c r="B296" s="532" t="s">
        <v>19</v>
      </c>
      <c r="C296" s="594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524" t="s">
        <v>371</v>
      </c>
      <c r="AB296" s="525">
        <f>+AB27+AB20</f>
        <v>8095.2382226077116</v>
      </c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</row>
    <row r="297" spans="1:43" outlineLevel="1" x14ac:dyDescent="0.25">
      <c r="A297" s="253"/>
      <c r="B297" s="57" t="s">
        <v>364</v>
      </c>
      <c r="C297" s="376">
        <v>31.4</v>
      </c>
      <c r="D297" s="378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524" t="s">
        <v>372</v>
      </c>
      <c r="AB297" s="527">
        <f>AB209+AB212</f>
        <v>11619.1</v>
      </c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</row>
    <row r="298" spans="1:43" outlineLevel="1" x14ac:dyDescent="0.25">
      <c r="A298" s="253"/>
      <c r="B298" s="57" t="s">
        <v>365</v>
      </c>
      <c r="C298" s="377">
        <v>33.700000000000003</v>
      </c>
      <c r="D298" s="379"/>
      <c r="AA298" s="524" t="s">
        <v>373</v>
      </c>
      <c r="AB298" s="526">
        <f>+AB187+AB188+AB193</f>
        <v>2336.0994451698175</v>
      </c>
    </row>
    <row r="299" spans="1:43" outlineLevel="1" x14ac:dyDescent="0.25">
      <c r="A299" s="253"/>
      <c r="B299" s="57" t="s">
        <v>366</v>
      </c>
      <c r="C299" s="377">
        <v>29.6</v>
      </c>
      <c r="D299" s="379"/>
    </row>
    <row r="300" spans="1:43" outlineLevel="1" x14ac:dyDescent="0.25">
      <c r="A300" s="253"/>
      <c r="B300" s="407" t="s">
        <v>367</v>
      </c>
      <c r="C300" s="386">
        <f>C297*(1-0.05)</f>
        <v>29.83</v>
      </c>
      <c r="D300" s="379"/>
    </row>
    <row r="301" spans="1:43" ht="17.25" outlineLevel="1" x14ac:dyDescent="0.4">
      <c r="A301" s="253"/>
      <c r="B301" s="407" t="s">
        <v>100</v>
      </c>
      <c r="C301" s="141">
        <v>0</v>
      </c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</row>
    <row r="302" spans="1:43" outlineLevel="1" x14ac:dyDescent="0.25">
      <c r="A302" s="253"/>
      <c r="B302" s="140" t="s">
        <v>48</v>
      </c>
      <c r="C302" s="153">
        <f>(C300*(Q42+S42+T42+U42))</f>
        <v>107.84092069793638</v>
      </c>
    </row>
    <row r="303" spans="1:43" ht="15" customHeight="1" x14ac:dyDescent="0.25">
      <c r="A303" s="253"/>
      <c r="B303" s="135" t="s">
        <v>96</v>
      </c>
      <c r="C303" s="162">
        <f>C306-C329</f>
        <v>7.1694611364137018E-5</v>
      </c>
    </row>
    <row r="304" spans="1:43" ht="15.75" x14ac:dyDescent="0.25">
      <c r="A304" s="253"/>
      <c r="B304" s="532" t="s">
        <v>26</v>
      </c>
      <c r="C304" s="594"/>
    </row>
    <row r="305" spans="1:4" outlineLevel="1" x14ac:dyDescent="0.25">
      <c r="A305" s="253"/>
      <c r="B305" s="90" t="s">
        <v>80</v>
      </c>
      <c r="C305" s="28"/>
      <c r="D305" s="378"/>
    </row>
    <row r="306" spans="1:4" outlineLevel="1" x14ac:dyDescent="0.25">
      <c r="A306" s="253"/>
      <c r="B306" s="91" t="s">
        <v>95</v>
      </c>
      <c r="C306" s="154">
        <v>109.93153406290381</v>
      </c>
      <c r="D306" s="379"/>
    </row>
    <row r="307" spans="1:4" ht="17.25" outlineLevel="1" x14ac:dyDescent="0.4">
      <c r="A307" s="253"/>
      <c r="B307" s="91" t="s">
        <v>27</v>
      </c>
      <c r="C307" s="155">
        <f>P39</f>
        <v>1186.2</v>
      </c>
      <c r="D307" s="379"/>
    </row>
    <row r="308" spans="1:4" outlineLevel="1" x14ac:dyDescent="0.25">
      <c r="A308" s="253"/>
      <c r="B308" s="99" t="s">
        <v>28</v>
      </c>
      <c r="C308" s="92">
        <f>C307*C306</f>
        <v>130400.78570541651</v>
      </c>
      <c r="D308" s="379"/>
    </row>
    <row r="309" spans="1:4" outlineLevel="1" x14ac:dyDescent="0.25">
      <c r="A309" s="253"/>
      <c r="B309" s="91" t="s">
        <v>40</v>
      </c>
      <c r="C309" s="132">
        <v>0.95</v>
      </c>
      <c r="D309" s="379"/>
    </row>
    <row r="310" spans="1:4" outlineLevel="1" x14ac:dyDescent="0.25">
      <c r="A310" s="253"/>
      <c r="B310" s="91" t="s">
        <v>101</v>
      </c>
      <c r="C310" s="93">
        <v>0.36699999999999999</v>
      </c>
      <c r="D310" s="379"/>
    </row>
    <row r="311" spans="1:4" outlineLevel="1" x14ac:dyDescent="0.25">
      <c r="A311" s="253"/>
      <c r="B311" s="91" t="s">
        <v>102</v>
      </c>
      <c r="C311" s="94">
        <v>0.18049999999999999</v>
      </c>
      <c r="D311" s="379"/>
    </row>
    <row r="312" spans="1:4" outlineLevel="1" x14ac:dyDescent="0.25">
      <c r="A312" s="253"/>
      <c r="B312" s="100" t="s">
        <v>29</v>
      </c>
      <c r="C312" s="95">
        <f>C310*C311</f>
        <v>6.6243499999999997E-2</v>
      </c>
      <c r="D312" s="379"/>
    </row>
    <row r="313" spans="1:4" outlineLevel="1" x14ac:dyDescent="0.25">
      <c r="A313" s="253"/>
      <c r="B313" s="91" t="s">
        <v>97</v>
      </c>
      <c r="C313" s="96">
        <v>9.4999999999999998E-3</v>
      </c>
      <c r="D313" s="379"/>
    </row>
    <row r="314" spans="1:4" outlineLevel="1" x14ac:dyDescent="0.25">
      <c r="A314" s="253"/>
      <c r="B314" s="99" t="s">
        <v>30</v>
      </c>
      <c r="C314" s="102">
        <f>C313+(C309*C312)</f>
        <v>7.2431324999999991E-2</v>
      </c>
      <c r="D314" s="379"/>
    </row>
    <row r="315" spans="1:4" outlineLevel="1" x14ac:dyDescent="0.25">
      <c r="A315" s="253"/>
      <c r="B315" s="57" t="s">
        <v>31</v>
      </c>
      <c r="C315" s="97">
        <f>C308/(C308+P209+P212)</f>
        <v>0.89919864623912205</v>
      </c>
      <c r="D315" s="379"/>
    </row>
    <row r="316" spans="1:4" outlineLevel="1" x14ac:dyDescent="0.25">
      <c r="A316" s="253"/>
      <c r="B316" s="57" t="s">
        <v>32</v>
      </c>
      <c r="C316" s="97">
        <f>P155*4</f>
        <v>3.0997686790789538E-2</v>
      </c>
      <c r="D316" s="379"/>
    </row>
    <row r="317" spans="1:4" outlineLevel="1" x14ac:dyDescent="0.25">
      <c r="A317" s="253"/>
      <c r="B317" s="57" t="s">
        <v>2</v>
      </c>
      <c r="C317" s="70">
        <f>R153</f>
        <v>0.21376807838537223</v>
      </c>
      <c r="D317" s="379"/>
    </row>
    <row r="318" spans="1:4" outlineLevel="1" x14ac:dyDescent="0.25">
      <c r="A318" s="253"/>
      <c r="B318" s="57" t="s">
        <v>33</v>
      </c>
      <c r="C318" s="97">
        <f>C316*(1-C317)</f>
        <v>2.4371370851130822E-2</v>
      </c>
      <c r="D318" s="379"/>
    </row>
    <row r="319" spans="1:4" outlineLevel="1" x14ac:dyDescent="0.25">
      <c r="A319" s="253"/>
      <c r="B319" s="101" t="s">
        <v>81</v>
      </c>
      <c r="C319" s="98">
        <f>(C315*C314)+((1-C315)*C318)</f>
        <v>6.7586816560108259E-2</v>
      </c>
      <c r="D319" s="379"/>
    </row>
    <row r="320" spans="1:4" outlineLevel="1" x14ac:dyDescent="0.25">
      <c r="A320" s="253"/>
      <c r="B320" s="570" t="s">
        <v>103</v>
      </c>
      <c r="C320" s="571"/>
      <c r="D320" s="379"/>
    </row>
    <row r="321" spans="1:8" outlineLevel="1" x14ac:dyDescent="0.25">
      <c r="A321" s="253"/>
      <c r="B321" s="57" t="s">
        <v>41</v>
      </c>
      <c r="C321" s="161">
        <v>7.0000000000000007E-2</v>
      </c>
      <c r="D321" s="379"/>
    </row>
    <row r="322" spans="1:8" outlineLevel="1" x14ac:dyDescent="0.25">
      <c r="A322" s="253"/>
      <c r="B322" s="57" t="s">
        <v>42</v>
      </c>
      <c r="C322" s="161">
        <v>7.0000000000000007E-2</v>
      </c>
      <c r="D322" s="379"/>
    </row>
    <row r="323" spans="1:8" outlineLevel="1" x14ac:dyDescent="0.25">
      <c r="A323" s="253"/>
      <c r="B323" s="57" t="s">
        <v>79</v>
      </c>
      <c r="C323" s="161">
        <v>0.05</v>
      </c>
      <c r="D323" s="379"/>
    </row>
    <row r="324" spans="1:8" outlineLevel="1" x14ac:dyDescent="0.25">
      <c r="A324" s="253"/>
      <c r="B324" s="57" t="s">
        <v>104</v>
      </c>
      <c r="C324" s="161">
        <f>(C315*(0.061+(0.908*(0.312*0.1912))))+((1-C315)*C318)</f>
        <v>0.10601395399115286</v>
      </c>
      <c r="D324" s="379"/>
    </row>
    <row r="325" spans="1:8" outlineLevel="1" x14ac:dyDescent="0.25">
      <c r="A325" s="253"/>
      <c r="B325" s="103" t="s">
        <v>43</v>
      </c>
      <c r="C325" s="28"/>
      <c r="D325" s="379"/>
    </row>
    <row r="326" spans="1:8" outlineLevel="1" x14ac:dyDescent="0.25">
      <c r="A326" s="253"/>
      <c r="B326" s="57" t="s">
        <v>84</v>
      </c>
      <c r="C326" s="106">
        <f>((((AQ260*(1+C322))-(C323*AQ16*(1+C321))+(C318*(AQ209+AQ212))))/(C324-C321))/(1+$C$324)^5</f>
        <v>117473.15801011755</v>
      </c>
      <c r="D326" s="379"/>
    </row>
    <row r="327" spans="1:8" outlineLevel="1" x14ac:dyDescent="0.25">
      <c r="A327" s="253"/>
      <c r="B327" s="57" t="s">
        <v>83</v>
      </c>
      <c r="C327" s="106">
        <f>W282+AB282+AG282+AL282+AQ282</f>
        <v>22353.042651150943</v>
      </c>
      <c r="D327" s="379"/>
    </row>
    <row r="328" spans="1:8" ht="17.25" outlineLevel="1" x14ac:dyDescent="0.4">
      <c r="A328" s="253"/>
      <c r="B328" s="57" t="s">
        <v>47</v>
      </c>
      <c r="C328" s="156">
        <f>+P286</f>
        <v>-7.9459618951272892</v>
      </c>
      <c r="D328" s="379"/>
    </row>
    <row r="329" spans="1:8" outlineLevel="1" x14ac:dyDescent="0.25">
      <c r="A329" s="253"/>
      <c r="B329" s="140" t="s">
        <v>49</v>
      </c>
      <c r="C329" s="412">
        <f>(C326+C327)/C307+C328</f>
        <v>109.93146236829244</v>
      </c>
      <c r="D329" s="379"/>
      <c r="H329" s="388"/>
    </row>
    <row r="330" spans="1:8" ht="13.5" customHeight="1" x14ac:dyDescent="0.25">
      <c r="A330" s="253"/>
      <c r="C330" s="29"/>
    </row>
    <row r="331" spans="1:8" ht="15.75" x14ac:dyDescent="0.25">
      <c r="A331" s="253"/>
      <c r="B331" s="532" t="s">
        <v>105</v>
      </c>
      <c r="C331" s="594"/>
      <c r="D331" s="378"/>
    </row>
    <row r="332" spans="1:8" outlineLevel="1" x14ac:dyDescent="0.25">
      <c r="A332" s="253"/>
      <c r="B332" s="113" t="s">
        <v>320</v>
      </c>
      <c r="C332" s="115">
        <f>'Std Dev'!E17</f>
        <v>2.3571285403266511E-2</v>
      </c>
      <c r="D332" s="379"/>
    </row>
    <row r="333" spans="1:8" outlineLevel="1" x14ac:dyDescent="0.25">
      <c r="A333" s="253"/>
      <c r="B333" s="57" t="s">
        <v>60</v>
      </c>
      <c r="C333" s="116">
        <f>'Std Dev'!G20</f>
        <v>4.5229478198470938E-2</v>
      </c>
      <c r="D333" s="379"/>
    </row>
    <row r="334" spans="1:8" outlineLevel="1" x14ac:dyDescent="0.25">
      <c r="A334" s="253"/>
      <c r="B334" s="57" t="s">
        <v>63</v>
      </c>
      <c r="C334" s="114">
        <f>C8</f>
        <v>108.88619153311441</v>
      </c>
      <c r="D334" s="379"/>
    </row>
    <row r="335" spans="1:8" outlineLevel="1" x14ac:dyDescent="0.25">
      <c r="A335" s="253"/>
      <c r="B335" s="57" t="s">
        <v>61</v>
      </c>
      <c r="C335" s="114">
        <f>C334*(1+(C332+(2*C333)))</f>
        <v>121.30251028233926</v>
      </c>
      <c r="D335" s="379"/>
    </row>
    <row r="336" spans="1:8" outlineLevel="1" x14ac:dyDescent="0.25">
      <c r="A336" s="253"/>
      <c r="B336" s="142" t="s">
        <v>62</v>
      </c>
      <c r="C336" s="143">
        <f>C334*(1+(C332-(2*C333)))</f>
        <v>101.60304777809314</v>
      </c>
      <c r="D336" s="379"/>
    </row>
    <row r="337" spans="4:4" ht="14.45" customHeight="1" x14ac:dyDescent="0.25">
      <c r="D337" s="379"/>
    </row>
  </sheetData>
  <dataConsolidate/>
  <mergeCells count="123">
    <mergeCell ref="B320:C320"/>
    <mergeCell ref="B331:C331"/>
    <mergeCell ref="B288:C288"/>
    <mergeCell ref="B289:C289"/>
    <mergeCell ref="B290:C290"/>
    <mergeCell ref="B293:C293"/>
    <mergeCell ref="B296:C296"/>
    <mergeCell ref="B304:C304"/>
    <mergeCell ref="B278:C278"/>
    <mergeCell ref="B279:C279"/>
    <mergeCell ref="B280:C280"/>
    <mergeCell ref="B282:C282"/>
    <mergeCell ref="B286:C286"/>
    <mergeCell ref="B287:C287"/>
    <mergeCell ref="B265:C265"/>
    <mergeCell ref="B266:C266"/>
    <mergeCell ref="B267:C267"/>
    <mergeCell ref="B274:C274"/>
    <mergeCell ref="B275:C275"/>
    <mergeCell ref="B277:C277"/>
    <mergeCell ref="B256:C256"/>
    <mergeCell ref="B259:C259"/>
    <mergeCell ref="B260:C260"/>
    <mergeCell ref="B261:C261"/>
    <mergeCell ref="B263:C263"/>
    <mergeCell ref="B264:C264"/>
    <mergeCell ref="B234:C234"/>
    <mergeCell ref="B241:C241"/>
    <mergeCell ref="B243:C243"/>
    <mergeCell ref="B252:C252"/>
    <mergeCell ref="B253:C253"/>
    <mergeCell ref="B255:C255"/>
    <mergeCell ref="B228:C228"/>
    <mergeCell ref="B229:C229"/>
    <mergeCell ref="B230:C230"/>
    <mergeCell ref="B231:C231"/>
    <mergeCell ref="B232:C232"/>
    <mergeCell ref="B233:C233"/>
    <mergeCell ref="B219:C219"/>
    <mergeCell ref="B220:C220"/>
    <mergeCell ref="B222:C222"/>
    <mergeCell ref="B223:C223"/>
    <mergeCell ref="B225:C225"/>
    <mergeCell ref="B226:C226"/>
    <mergeCell ref="B203:C203"/>
    <mergeCell ref="B204:C204"/>
    <mergeCell ref="B215:C215"/>
    <mergeCell ref="B216:C216"/>
    <mergeCell ref="B217:C217"/>
    <mergeCell ref="B218:C218"/>
    <mergeCell ref="B187:C187"/>
    <mergeCell ref="B189:C189"/>
    <mergeCell ref="B191:C191"/>
    <mergeCell ref="B200:C200"/>
    <mergeCell ref="B201:C201"/>
    <mergeCell ref="B202:C202"/>
    <mergeCell ref="B171:C171"/>
    <mergeCell ref="B172:C172"/>
    <mergeCell ref="B174:C174"/>
    <mergeCell ref="B181:C181"/>
    <mergeCell ref="B184:C184"/>
    <mergeCell ref="B186:C186"/>
    <mergeCell ref="B162:C162"/>
    <mergeCell ref="B163:C163"/>
    <mergeCell ref="B164:C164"/>
    <mergeCell ref="B165:C165"/>
    <mergeCell ref="B166:C166"/>
    <mergeCell ref="B167:C167"/>
    <mergeCell ref="B153:C153"/>
    <mergeCell ref="B154:C154"/>
    <mergeCell ref="B155:C155"/>
    <mergeCell ref="B159:C159"/>
    <mergeCell ref="B160:C160"/>
    <mergeCell ref="B161:C161"/>
    <mergeCell ref="B136:C136"/>
    <mergeCell ref="B143:C143"/>
    <mergeCell ref="B149:C149"/>
    <mergeCell ref="B150:C150"/>
    <mergeCell ref="B151:C151"/>
    <mergeCell ref="B152:C152"/>
    <mergeCell ref="B104:C104"/>
    <mergeCell ref="B118:C118"/>
    <mergeCell ref="B119:C119"/>
    <mergeCell ref="B121:C121"/>
    <mergeCell ref="B133:C133"/>
    <mergeCell ref="B134:C134"/>
    <mergeCell ref="B94:C94"/>
    <mergeCell ref="B98:C98"/>
    <mergeCell ref="B99:C99"/>
    <mergeCell ref="B103:C103"/>
    <mergeCell ref="B59:C59"/>
    <mergeCell ref="B63:C63"/>
    <mergeCell ref="B64:C64"/>
    <mergeCell ref="B68:C68"/>
    <mergeCell ref="B69:C69"/>
    <mergeCell ref="B82:C82"/>
    <mergeCell ref="B56:C56"/>
    <mergeCell ref="B31:C31"/>
    <mergeCell ref="B32:C32"/>
    <mergeCell ref="B33:C33"/>
    <mergeCell ref="B38:C38"/>
    <mergeCell ref="B39:C39"/>
    <mergeCell ref="B40:C40"/>
    <mergeCell ref="B83:C83"/>
    <mergeCell ref="B91:C91"/>
    <mergeCell ref="B2:C2"/>
    <mergeCell ref="B3:C3"/>
    <mergeCell ref="B4:C4"/>
    <mergeCell ref="B5:C5"/>
    <mergeCell ref="B41:C41"/>
    <mergeCell ref="B45:C45"/>
    <mergeCell ref="B46:C46"/>
    <mergeCell ref="B47:C47"/>
    <mergeCell ref="B48:C48"/>
    <mergeCell ref="A11:A12"/>
    <mergeCell ref="B11:C11"/>
    <mergeCell ref="B12:C12"/>
    <mergeCell ref="B13:C13"/>
    <mergeCell ref="B14:C14"/>
    <mergeCell ref="B15:C15"/>
    <mergeCell ref="B16:C16"/>
    <mergeCell ref="B17:C17"/>
    <mergeCell ref="B24:C24"/>
  </mergeCells>
  <phoneticPr fontId="69" type="noConversion"/>
  <pageMargins left="0.7" right="0.7" top="0.75" bottom="0.75" header="0.3" footer="0.3"/>
  <pageSetup scale="10" orientation="landscape" r:id="rId1"/>
  <headerFooter>
    <oddFooter>&amp;CGutenberg Research LLC prohibits the redistribution of this document in whole or part without the written permission. 
© Gutenberg Research LLC 2019.</oddFooter>
  </headerFooter>
  <rowBreaks count="1" manualBreakCount="1">
    <brk id="1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A11E0-E4D5-4473-97D9-C605001D7A4C}">
  <dimension ref="A1"/>
  <sheetViews>
    <sheetView topLeftCell="A7" workbookViewId="0">
      <selection activeCell="O49" sqref="O49"/>
    </sheetView>
  </sheetViews>
  <sheetFormatPr defaultColWidth="8.85546875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41"/>
  <sheetViews>
    <sheetView showGridLines="0" zoomScaleNormal="100" workbookViewId="0">
      <selection activeCell="B2" sqref="B2"/>
    </sheetView>
  </sheetViews>
  <sheetFormatPr defaultColWidth="9.140625" defaultRowHeight="15" x14ac:dyDescent="0.25"/>
  <cols>
    <col min="1" max="1" width="1.140625" customWidth="1"/>
    <col min="2" max="2" width="22.7109375" customWidth="1"/>
    <col min="3" max="10" width="12.28515625" customWidth="1"/>
    <col min="11" max="11" width="1.140625" customWidth="1"/>
    <col min="12" max="12" width="22.7109375" customWidth="1"/>
    <col min="13" max="20" width="12.28515625" customWidth="1"/>
  </cols>
  <sheetData>
    <row r="1" spans="2:14" x14ac:dyDescent="0.25">
      <c r="B1" s="119" t="s">
        <v>369</v>
      </c>
    </row>
    <row r="2" spans="2:14" x14ac:dyDescent="0.25">
      <c r="B2" s="119"/>
    </row>
    <row r="3" spans="2:14" x14ac:dyDescent="0.25">
      <c r="B3" s="119"/>
    </row>
    <row r="4" spans="2:14" x14ac:dyDescent="0.25">
      <c r="B4" s="6"/>
      <c r="I4" s="6"/>
      <c r="L4" s="6"/>
    </row>
    <row r="5" spans="2:14" ht="12.6" customHeight="1" x14ac:dyDescent="0.25">
      <c r="B5" s="6"/>
    </row>
    <row r="6" spans="2:14" ht="21" customHeight="1" x14ac:dyDescent="0.25">
      <c r="C6" s="8"/>
      <c r="D6" s="9"/>
      <c r="E6" s="9"/>
      <c r="F6" s="9"/>
      <c r="H6" s="6"/>
    </row>
    <row r="7" spans="2:14" s="5" customFormat="1" ht="21" customHeight="1" x14ac:dyDescent="0.25">
      <c r="C7" s="9"/>
      <c r="D7" s="9"/>
      <c r="E7" s="9"/>
      <c r="F7" s="9"/>
      <c r="H7" s="604"/>
      <c r="I7" s="604"/>
      <c r="J7" s="604"/>
      <c r="K7" s="604"/>
      <c r="L7" s="604"/>
      <c r="M7" s="604"/>
      <c r="N7" s="604"/>
    </row>
    <row r="8" spans="2:14" ht="21" customHeight="1" x14ac:dyDescent="0.25">
      <c r="D8" s="1"/>
      <c r="E8" s="1"/>
      <c r="F8" s="1"/>
      <c r="G8" s="7"/>
    </row>
    <row r="9" spans="2:14" ht="21" customHeight="1" x14ac:dyDescent="0.25">
      <c r="D9" s="1"/>
      <c r="E9" s="1"/>
      <c r="F9" s="1"/>
      <c r="G9" s="7"/>
    </row>
    <row r="10" spans="2:14" ht="21" customHeight="1" x14ac:dyDescent="0.25">
      <c r="D10" s="1"/>
      <c r="E10" s="1"/>
      <c r="F10" s="1"/>
      <c r="G10" s="7"/>
    </row>
    <row r="11" spans="2:14" ht="21" customHeight="1" x14ac:dyDescent="0.25">
      <c r="D11" s="1"/>
      <c r="E11" s="1"/>
      <c r="F11" s="1"/>
      <c r="G11" s="7"/>
    </row>
    <row r="12" spans="2:14" ht="21" customHeight="1" x14ac:dyDescent="0.25">
      <c r="D12" s="1"/>
      <c r="E12" s="1"/>
      <c r="F12" s="10"/>
      <c r="G12" s="7"/>
    </row>
    <row r="13" spans="2:14" ht="21" customHeight="1" x14ac:dyDescent="0.25">
      <c r="D13" s="1"/>
      <c r="E13" s="2"/>
      <c r="F13" s="2"/>
      <c r="G13" s="7"/>
    </row>
    <row r="14" spans="2:14" ht="21" customHeight="1" x14ac:dyDescent="0.25">
      <c r="B14" s="119"/>
      <c r="D14" s="1"/>
      <c r="E14" s="2"/>
      <c r="F14" s="2"/>
      <c r="G14" s="7"/>
    </row>
    <row r="15" spans="2:14" ht="21" customHeight="1" x14ac:dyDescent="0.25">
      <c r="D15" s="1"/>
      <c r="E15" s="2"/>
      <c r="F15" s="2"/>
      <c r="G15" s="7"/>
    </row>
    <row r="16" spans="2:14" ht="21" customHeight="1" x14ac:dyDescent="0.25">
      <c r="D16" s="1"/>
      <c r="E16" s="2"/>
      <c r="F16" s="2"/>
      <c r="G16" s="7"/>
    </row>
    <row r="27" spans="2:2" x14ac:dyDescent="0.25">
      <c r="B27" s="119"/>
    </row>
    <row r="41" spans="2:2" x14ac:dyDescent="0.25">
      <c r="B41" s="119"/>
    </row>
  </sheetData>
  <mergeCells count="1">
    <mergeCell ref="H7:N7"/>
  </mergeCells>
  <pageMargins left="0.7" right="0.7" top="0.75" bottom="0.75" header="0.3" footer="0.3"/>
  <pageSetup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81B74-4FD3-4A80-B515-D0B4B3984644}">
  <dimension ref="B1:G21"/>
  <sheetViews>
    <sheetView showGridLines="0" zoomScale="99" workbookViewId="0">
      <selection activeCell="G22" sqref="G22"/>
    </sheetView>
  </sheetViews>
  <sheetFormatPr defaultColWidth="8.85546875" defaultRowHeight="15" x14ac:dyDescent="0.25"/>
  <cols>
    <col min="1" max="1" width="1.28515625" customWidth="1"/>
    <col min="2" max="2" width="12.28515625" customWidth="1"/>
    <col min="4" max="4" width="2.7109375" customWidth="1"/>
    <col min="7" max="7" width="9.42578125" bestFit="1" customWidth="1"/>
  </cols>
  <sheetData>
    <row r="1" spans="2:7" x14ac:dyDescent="0.25">
      <c r="B1" t="s">
        <v>368</v>
      </c>
    </row>
    <row r="2" spans="2:7" x14ac:dyDescent="0.25">
      <c r="B2" t="s">
        <v>85</v>
      </c>
    </row>
    <row r="3" spans="2:7" ht="45" x14ac:dyDescent="0.25">
      <c r="B3" s="120" t="s">
        <v>86</v>
      </c>
      <c r="C3" s="120" t="s">
        <v>319</v>
      </c>
      <c r="D3" s="120"/>
      <c r="E3" s="120" t="s">
        <v>87</v>
      </c>
      <c r="F3" s="120" t="s">
        <v>88</v>
      </c>
      <c r="G3" s="120" t="s">
        <v>89</v>
      </c>
    </row>
    <row r="4" spans="2:7" x14ac:dyDescent="0.25">
      <c r="B4" s="521">
        <v>44091</v>
      </c>
      <c r="C4" s="522">
        <v>86.75</v>
      </c>
      <c r="D4" s="157"/>
      <c r="E4" s="158"/>
      <c r="F4" s="159"/>
      <c r="G4" s="127"/>
    </row>
    <row r="5" spans="2:7" x14ac:dyDescent="0.25">
      <c r="B5" s="521">
        <v>44123</v>
      </c>
      <c r="C5" s="522">
        <v>87.599997999999999</v>
      </c>
      <c r="D5" s="2"/>
      <c r="E5" s="124">
        <f>+C5/C4-1</f>
        <v>9.7982478386167138E-3</v>
      </c>
      <c r="F5" s="125">
        <f>E5-$E$17</f>
        <v>-1.3773037564649798E-2</v>
      </c>
      <c r="G5" s="133">
        <f>F5^2</f>
        <v>1.8969656375725442E-4</v>
      </c>
    </row>
    <row r="6" spans="2:7" x14ac:dyDescent="0.25">
      <c r="B6" s="521">
        <v>44152</v>
      </c>
      <c r="C6" s="522">
        <v>98.599997999999999</v>
      </c>
      <c r="D6" s="2"/>
      <c r="E6" s="124">
        <f>+C6/C5-1</f>
        <v>0.1255707791226206</v>
      </c>
      <c r="F6" s="125">
        <f t="shared" ref="F6:F16" si="0">E6-$E$17</f>
        <v>0.10199949371935409</v>
      </c>
      <c r="G6" s="133">
        <f>F6^2</f>
        <v>1.0403896719004553E-2</v>
      </c>
    </row>
    <row r="7" spans="2:7" x14ac:dyDescent="0.25">
      <c r="B7" s="521">
        <v>44182</v>
      </c>
      <c r="C7" s="522">
        <v>103.209999</v>
      </c>
      <c r="D7" s="2"/>
      <c r="E7" s="124">
        <f t="shared" ref="E7:E15" si="1">+C7/C6-1</f>
        <v>4.6754574984879893E-2</v>
      </c>
      <c r="F7" s="125">
        <f t="shared" si="0"/>
        <v>2.3183289581613382E-2</v>
      </c>
      <c r="G7" s="133">
        <f t="shared" ref="G7:G15" si="2">F7^2</f>
        <v>5.3746491582494353E-4</v>
      </c>
    </row>
    <row r="8" spans="2:7" x14ac:dyDescent="0.25">
      <c r="B8" s="521">
        <v>44215</v>
      </c>
      <c r="C8" s="522">
        <v>102.540001</v>
      </c>
      <c r="D8" s="2"/>
      <c r="E8" s="124">
        <f t="shared" si="1"/>
        <v>-6.4915997140935211E-3</v>
      </c>
      <c r="F8" s="125">
        <f t="shared" si="0"/>
        <v>-3.0062885117360032E-2</v>
      </c>
      <c r="G8" s="133">
        <f t="shared" si="2"/>
        <v>9.0377706157958738E-4</v>
      </c>
    </row>
    <row r="9" spans="2:7" x14ac:dyDescent="0.25">
      <c r="B9" s="521">
        <v>44244</v>
      </c>
      <c r="C9" s="522">
        <v>104.44000200000001</v>
      </c>
      <c r="D9" s="2"/>
      <c r="E9" s="124">
        <f t="shared" si="1"/>
        <v>1.8529363969871593E-2</v>
      </c>
      <c r="F9" s="125">
        <f t="shared" si="0"/>
        <v>-5.0419214333949185E-3</v>
      </c>
      <c r="G9" s="133">
        <f t="shared" si="2"/>
        <v>2.5420971740527069E-5</v>
      </c>
    </row>
    <row r="10" spans="2:7" x14ac:dyDescent="0.25">
      <c r="B10" s="521">
        <v>44272</v>
      </c>
      <c r="C10" s="522">
        <v>110.459999</v>
      </c>
      <c r="D10" s="2"/>
      <c r="E10" s="124">
        <f t="shared" si="1"/>
        <v>5.7640720841809046E-2</v>
      </c>
      <c r="F10" s="125">
        <f t="shared" si="0"/>
        <v>3.4069435438542531E-2</v>
      </c>
      <c r="G10" s="133">
        <f t="shared" si="2"/>
        <v>1.1607264311010177E-3</v>
      </c>
    </row>
    <row r="11" spans="2:7" x14ac:dyDescent="0.25">
      <c r="B11" s="521">
        <v>44305</v>
      </c>
      <c r="C11" s="522">
        <v>117.599998</v>
      </c>
      <c r="D11" s="2"/>
      <c r="E11" s="124">
        <f t="shared" si="1"/>
        <v>6.4638774802089349E-2</v>
      </c>
      <c r="F11" s="125">
        <f t="shared" si="0"/>
        <v>4.1067489398822835E-2</v>
      </c>
      <c r="G11" s="133">
        <f t="shared" si="2"/>
        <v>1.6865386855224259E-3</v>
      </c>
    </row>
    <row r="12" spans="2:7" x14ac:dyDescent="0.25">
      <c r="B12" s="521">
        <v>44333</v>
      </c>
      <c r="C12" s="522">
        <v>110.980003</v>
      </c>
      <c r="D12" s="2"/>
      <c r="E12" s="124">
        <f t="shared" si="1"/>
        <v>-5.6292475447150991E-2</v>
      </c>
      <c r="F12" s="125">
        <f t="shared" si="0"/>
        <v>-7.9863760850417506E-2</v>
      </c>
      <c r="G12" s="133">
        <f t="shared" si="2"/>
        <v>6.3782202971726801E-3</v>
      </c>
    </row>
    <row r="13" spans="2:7" x14ac:dyDescent="0.25">
      <c r="B13" s="521">
        <v>44364</v>
      </c>
      <c r="C13" s="522">
        <v>111.389999</v>
      </c>
      <c r="D13" s="2"/>
      <c r="E13" s="124">
        <f t="shared" si="1"/>
        <v>3.6943232016313221E-3</v>
      </c>
      <c r="F13" s="125">
        <f t="shared" si="0"/>
        <v>-1.9876962201635189E-2</v>
      </c>
      <c r="G13" s="133">
        <f t="shared" si="2"/>
        <v>3.9509362636523405E-4</v>
      </c>
    </row>
    <row r="14" spans="2:7" x14ac:dyDescent="0.25">
      <c r="B14" s="521">
        <v>44396</v>
      </c>
      <c r="C14" s="522">
        <v>115.32</v>
      </c>
      <c r="D14" s="2"/>
      <c r="E14" s="124">
        <f>+C14/C13-1</f>
        <v>3.5281452870827179E-2</v>
      </c>
      <c r="F14" s="125">
        <f t="shared" si="0"/>
        <v>1.1710167467560668E-2</v>
      </c>
      <c r="G14" s="133">
        <f t="shared" si="2"/>
        <v>1.3712802211831622E-4</v>
      </c>
    </row>
    <row r="15" spans="2:7" x14ac:dyDescent="0.25">
      <c r="B15" s="521">
        <v>44425</v>
      </c>
      <c r="C15" s="522">
        <v>116.57</v>
      </c>
      <c r="D15" s="2"/>
      <c r="E15" s="124">
        <f t="shared" si="1"/>
        <v>1.0839403399236947E-2</v>
      </c>
      <c r="F15" s="125">
        <f t="shared" si="0"/>
        <v>-1.2731882004029565E-2</v>
      </c>
      <c r="G15" s="133">
        <f t="shared" si="2"/>
        <v>1.6210081936453188E-4</v>
      </c>
    </row>
    <row r="16" spans="2:7" x14ac:dyDescent="0.25">
      <c r="B16" s="521">
        <v>44456</v>
      </c>
      <c r="C16" s="522">
        <v>113.410004</v>
      </c>
      <c r="D16" s="373"/>
      <c r="E16" s="160">
        <f>+C16/C15-1</f>
        <v>-2.710814103114001E-2</v>
      </c>
      <c r="F16" s="126">
        <f t="shared" si="0"/>
        <v>-5.0679426434406524E-2</v>
      </c>
      <c r="G16" s="134">
        <f>F16^2</f>
        <v>2.5684042637204229E-3</v>
      </c>
    </row>
    <row r="17" spans="3:7" x14ac:dyDescent="0.25">
      <c r="C17" s="121"/>
      <c r="D17" s="374" t="s">
        <v>90</v>
      </c>
      <c r="E17" s="375">
        <f>AVERAGE(E5:E16)</f>
        <v>2.3571285403266511E-2</v>
      </c>
      <c r="G17" s="122"/>
    </row>
    <row r="18" spans="3:7" x14ac:dyDescent="0.25">
      <c r="C18" s="121"/>
      <c r="F18" s="128" t="s">
        <v>91</v>
      </c>
      <c r="G18" s="138">
        <f>SUM(G5:G16)</f>
        <v>2.4548468377271496E-2</v>
      </c>
    </row>
    <row r="19" spans="3:7" x14ac:dyDescent="0.25">
      <c r="C19" s="121"/>
      <c r="F19" s="128" t="s">
        <v>92</v>
      </c>
      <c r="G19" s="138">
        <f>G18/12</f>
        <v>2.0457056981059581E-3</v>
      </c>
    </row>
    <row r="20" spans="3:7" x14ac:dyDescent="0.25">
      <c r="C20" s="121"/>
      <c r="E20" s="129"/>
      <c r="F20" s="130" t="s">
        <v>93</v>
      </c>
      <c r="G20" s="131">
        <f>SQRT(G19)</f>
        <v>4.5229478198470938E-2</v>
      </c>
    </row>
    <row r="21" spans="3:7" x14ac:dyDescent="0.25">
      <c r="C21" s="139"/>
      <c r="D21" s="123"/>
      <c r="E21" s="123"/>
      <c r="F21" s="410" t="s">
        <v>94</v>
      </c>
      <c r="G21" s="411">
        <f>_xlfn.STDEV.P(E5:E16)-G20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C88A3-D426-4B39-85EC-3AAC99A7F912}">
  <sheetPr>
    <tabColor rgb="FFFF0000"/>
  </sheetPr>
  <dimension ref="B2:AI42"/>
  <sheetViews>
    <sheetView showGridLines="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C18" sqref="AC18"/>
    </sheetView>
  </sheetViews>
  <sheetFormatPr defaultColWidth="8.85546875" defaultRowHeight="15" x14ac:dyDescent="0.25"/>
  <cols>
    <col min="1" max="1" width="2.7109375" customWidth="1"/>
    <col min="2" max="2" width="20.42578125" customWidth="1"/>
    <col min="3" max="3" width="31.140625" customWidth="1"/>
    <col min="4" max="4" width="13.28515625" customWidth="1"/>
    <col min="5" max="5" width="2" customWidth="1"/>
    <col min="6" max="31" width="11.42578125" customWidth="1"/>
    <col min="32" max="32" width="2.85546875" customWidth="1"/>
    <col min="33" max="33" width="12" customWidth="1"/>
    <col min="34" max="34" width="2.85546875" customWidth="1"/>
    <col min="35" max="35" width="12" customWidth="1"/>
  </cols>
  <sheetData>
    <row r="2" spans="2:35" x14ac:dyDescent="0.25">
      <c r="D2" s="417" t="s">
        <v>323</v>
      </c>
    </row>
    <row r="3" spans="2:35" ht="15.75" x14ac:dyDescent="0.25">
      <c r="B3" s="532" t="s">
        <v>116</v>
      </c>
      <c r="C3" s="533"/>
      <c r="D3" s="418" t="s">
        <v>321</v>
      </c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G3" s="434" t="s">
        <v>327</v>
      </c>
      <c r="AI3" s="434" t="s">
        <v>329</v>
      </c>
    </row>
    <row r="4" spans="2:35" ht="17.25" x14ac:dyDescent="0.4">
      <c r="B4" s="534" t="s">
        <v>3</v>
      </c>
      <c r="C4" s="535"/>
      <c r="D4" s="419" t="s">
        <v>322</v>
      </c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G4" s="435" t="s">
        <v>328</v>
      </c>
      <c r="AI4" s="435" t="s">
        <v>330</v>
      </c>
    </row>
    <row r="5" spans="2:35" x14ac:dyDescent="0.25">
      <c r="B5" s="536" t="s">
        <v>263</v>
      </c>
      <c r="C5" s="537"/>
      <c r="D5" s="420">
        <f>'Earnings Model'!L13</f>
        <v>5173.6000000000004</v>
      </c>
      <c r="F5" s="446">
        <v>4907.9344999999994</v>
      </c>
      <c r="G5" s="446">
        <v>4907.9344999999994</v>
      </c>
      <c r="H5" s="446">
        <v>4749.0658200146572</v>
      </c>
      <c r="I5" s="446">
        <v>4873.7618668136183</v>
      </c>
      <c r="J5" s="446">
        <v>4898.0732748692908</v>
      </c>
      <c r="K5" s="446">
        <v>4907.2324866813233</v>
      </c>
      <c r="L5" s="446">
        <v>5527.6589258390723</v>
      </c>
      <c r="M5" s="446">
        <v>4907.9344999999994</v>
      </c>
      <c r="N5" s="446">
        <v>5031.4086078368291</v>
      </c>
      <c r="O5" s="446">
        <v>4762.4929845855013</v>
      </c>
      <c r="P5" s="446">
        <v>4966.8529332829703</v>
      </c>
      <c r="Q5" s="446">
        <v>4932.3259127201145</v>
      </c>
      <c r="R5" s="446">
        <v>4942.1456516006092</v>
      </c>
      <c r="S5" s="446">
        <v>4933.0342460534484</v>
      </c>
      <c r="T5" s="446">
        <v>4904.9824866813233</v>
      </c>
      <c r="U5" s="446">
        <v>4846.8546324920762</v>
      </c>
      <c r="V5" s="446">
        <v>4907.9344999999994</v>
      </c>
      <c r="W5" s="446">
        <v>4946.1207571729528</v>
      </c>
      <c r="X5" s="446">
        <v>4684.643406874874</v>
      </c>
      <c r="Y5" s="446">
        <v>5068.3211151279002</v>
      </c>
      <c r="Z5" s="446">
        <v>4909.9601184484391</v>
      </c>
      <c r="AA5" s="446">
        <v>5104.3483161072081</v>
      </c>
      <c r="AB5" s="446">
        <v>4935.0691154936958</v>
      </c>
      <c r="AC5" s="446">
        <v>5382.9067052606015</v>
      </c>
      <c r="AD5" s="446">
        <v>4805.0236946501527</v>
      </c>
      <c r="AE5" s="446">
        <v>5026.4987383965818</v>
      </c>
      <c r="AG5" s="446">
        <f>AVERAGE(F5:AE5)</f>
        <v>4952.7122998847399</v>
      </c>
      <c r="AI5" s="446"/>
    </row>
    <row r="6" spans="2:35" x14ac:dyDescent="0.25">
      <c r="B6" s="536" t="s">
        <v>264</v>
      </c>
      <c r="C6" s="537"/>
      <c r="D6" s="421">
        <f>'Earnings Model'!L14</f>
        <v>544.6</v>
      </c>
      <c r="F6" s="449">
        <v>648.22749999999996</v>
      </c>
      <c r="G6" s="449">
        <v>648.22749999999996</v>
      </c>
      <c r="H6" s="449">
        <v>648.22749999999996</v>
      </c>
      <c r="I6" s="449">
        <v>646.64</v>
      </c>
      <c r="J6" s="449">
        <v>647.25250000000005</v>
      </c>
      <c r="K6" s="449">
        <v>648.22749999999996</v>
      </c>
      <c r="L6" s="449">
        <v>645.99</v>
      </c>
      <c r="M6" s="449">
        <v>648.22749999999996</v>
      </c>
      <c r="N6" s="449">
        <v>648.56500000000005</v>
      </c>
      <c r="O6" s="449">
        <v>648.22749999999996</v>
      </c>
      <c r="P6" s="449">
        <v>687.09</v>
      </c>
      <c r="Q6" s="449">
        <v>648.22749999999996</v>
      </c>
      <c r="R6" s="449">
        <v>648.22749999999996</v>
      </c>
      <c r="S6" s="449">
        <v>648.22749999999996</v>
      </c>
      <c r="T6" s="449">
        <v>647.19000000000005</v>
      </c>
      <c r="U6" s="449">
        <v>648.34</v>
      </c>
      <c r="V6" s="449">
        <v>646.34</v>
      </c>
      <c r="W6" s="449">
        <v>647.06500000000005</v>
      </c>
      <c r="X6" s="449">
        <v>647.41499999999996</v>
      </c>
      <c r="Y6" s="449">
        <v>647.67750000000001</v>
      </c>
      <c r="Z6" s="449">
        <v>648.22749999999996</v>
      </c>
      <c r="AA6" s="449">
        <v>648.22749999999996</v>
      </c>
      <c r="AB6" s="449">
        <v>648.06500000000005</v>
      </c>
      <c r="AC6" s="449">
        <v>808.48250000000007</v>
      </c>
      <c r="AD6" s="449">
        <v>648.22749999999996</v>
      </c>
      <c r="AE6" s="449">
        <v>648.22749999999996</v>
      </c>
      <c r="AG6" s="449">
        <f t="shared" ref="AG6:AG35" si="0">AVERAGE(F6:AE6)</f>
        <v>655.50269230769243</v>
      </c>
      <c r="AI6" s="449"/>
    </row>
    <row r="7" spans="2:35" ht="17.25" x14ac:dyDescent="0.4">
      <c r="B7" s="536" t="s">
        <v>265</v>
      </c>
      <c r="C7" s="537"/>
      <c r="D7" s="422">
        <f>'Earnings Model'!L15</f>
        <v>484.9</v>
      </c>
      <c r="F7" s="452">
        <v>472.24299999999999</v>
      </c>
      <c r="G7" s="452">
        <v>453.44329999999997</v>
      </c>
      <c r="H7" s="452">
        <v>454.16300000000001</v>
      </c>
      <c r="I7" s="452">
        <v>456.33946999999995</v>
      </c>
      <c r="J7" s="452">
        <v>560.995</v>
      </c>
      <c r="K7" s="452">
        <v>480.2109999999999</v>
      </c>
      <c r="L7" s="452">
        <v>457.94200000000001</v>
      </c>
      <c r="M7" s="452">
        <v>446.83799999999997</v>
      </c>
      <c r="N7" s="452">
        <v>446.87</v>
      </c>
      <c r="O7" s="452">
        <v>450.03800000000001</v>
      </c>
      <c r="P7" s="452">
        <v>446.83799999999997</v>
      </c>
      <c r="Q7" s="452">
        <v>561.82000000000005</v>
      </c>
      <c r="R7" s="452">
        <v>470.36200000000002</v>
      </c>
      <c r="S7" s="452">
        <v>561.82000000000005</v>
      </c>
      <c r="T7" s="452">
        <v>561.82000000000005</v>
      </c>
      <c r="U7" s="452">
        <v>525.99700000000007</v>
      </c>
      <c r="V7" s="452">
        <v>446.83799999999997</v>
      </c>
      <c r="W7" s="452">
        <v>457.10949999999997</v>
      </c>
      <c r="X7" s="452">
        <v>446.358</v>
      </c>
      <c r="Y7" s="452">
        <v>456.99999999999994</v>
      </c>
      <c r="Z7" s="452">
        <v>450.03800000000001</v>
      </c>
      <c r="AA7" s="452">
        <v>446.83799999999997</v>
      </c>
      <c r="AB7" s="452">
        <v>454.45949999999993</v>
      </c>
      <c r="AC7" s="452">
        <v>446.83799999999997</v>
      </c>
      <c r="AD7" s="452">
        <v>446.83799999999997</v>
      </c>
      <c r="AE7" s="452">
        <v>446.83799999999997</v>
      </c>
      <c r="AG7" s="452">
        <f t="shared" si="0"/>
        <v>473.34210653846151</v>
      </c>
      <c r="AI7" s="452"/>
    </row>
    <row r="8" spans="2:35" x14ac:dyDescent="0.25">
      <c r="B8" s="538" t="s">
        <v>266</v>
      </c>
      <c r="C8" s="539"/>
      <c r="D8" s="423">
        <f>'Earnings Model'!L16</f>
        <v>6203.1</v>
      </c>
      <c r="F8" s="450">
        <v>6028.4049999999997</v>
      </c>
      <c r="G8" s="450">
        <v>6009.6052999999993</v>
      </c>
      <c r="H8" s="450">
        <v>5851.4563200146567</v>
      </c>
      <c r="I8" s="450">
        <v>5976.7413368136185</v>
      </c>
      <c r="J8" s="450">
        <v>6106.3207748692903</v>
      </c>
      <c r="K8" s="450">
        <v>6035.6709866813235</v>
      </c>
      <c r="L8" s="450">
        <v>6631.590925839072</v>
      </c>
      <c r="M8" s="450">
        <v>6002.9999999999991</v>
      </c>
      <c r="N8" s="450">
        <v>6126.8436078368295</v>
      </c>
      <c r="O8" s="450">
        <v>5860.7584845855017</v>
      </c>
      <c r="P8" s="450">
        <v>6100.7809332829702</v>
      </c>
      <c r="Q8" s="450">
        <v>6142.3734127201142</v>
      </c>
      <c r="R8" s="450">
        <v>6060.7351516006092</v>
      </c>
      <c r="S8" s="450">
        <v>6143.0817460534481</v>
      </c>
      <c r="T8" s="450">
        <v>6113.9924866813235</v>
      </c>
      <c r="U8" s="450">
        <v>6021.1916324920767</v>
      </c>
      <c r="V8" s="450">
        <v>6001.1124999999993</v>
      </c>
      <c r="W8" s="450">
        <v>6050.295257172952</v>
      </c>
      <c r="X8" s="450">
        <v>5778.4164068748742</v>
      </c>
      <c r="Y8" s="450">
        <v>6172.9986151278999</v>
      </c>
      <c r="Z8" s="450">
        <v>6008.2256184484395</v>
      </c>
      <c r="AA8" s="450">
        <v>6199.4138161072078</v>
      </c>
      <c r="AB8" s="450">
        <v>6037.5936154936962</v>
      </c>
      <c r="AC8" s="450">
        <v>6638.2272052606013</v>
      </c>
      <c r="AD8" s="450">
        <v>5900.0891946501524</v>
      </c>
      <c r="AE8" s="450">
        <v>6121.5642383965815</v>
      </c>
      <c r="AG8" s="450">
        <f t="shared" si="0"/>
        <v>6081.5570987308947</v>
      </c>
      <c r="AI8" s="450">
        <v>6054.8</v>
      </c>
    </row>
    <row r="9" spans="2:35" x14ac:dyDescent="0.25">
      <c r="B9" s="540" t="s">
        <v>262</v>
      </c>
      <c r="C9" s="541"/>
      <c r="D9" s="420">
        <f>'Earnings Model'!L17</f>
        <v>1976.8</v>
      </c>
      <c r="F9" s="449">
        <v>1661.8773932750537</v>
      </c>
      <c r="G9" s="449">
        <v>1640.8155840393606</v>
      </c>
      <c r="H9" s="449">
        <v>1792.9447366724794</v>
      </c>
      <c r="I9" s="449">
        <v>1788.236138413286</v>
      </c>
      <c r="J9" s="449">
        <v>1732.4729701828967</v>
      </c>
      <c r="K9" s="449">
        <v>1677.4388267296511</v>
      </c>
      <c r="L9" s="449">
        <v>1861.9222663584351</v>
      </c>
      <c r="M9" s="449">
        <v>1665.2961408441563</v>
      </c>
      <c r="N9" s="449">
        <v>1694.4939004535424</v>
      </c>
      <c r="O9" s="449">
        <v>1637.2642865483424</v>
      </c>
      <c r="P9" s="449">
        <v>1675.6427331789489</v>
      </c>
      <c r="Q9" s="449">
        <v>1742.9695242413809</v>
      </c>
      <c r="R9" s="449">
        <v>1685.0100219998621</v>
      </c>
      <c r="S9" s="449">
        <v>1743.164779812317</v>
      </c>
      <c r="T9" s="449">
        <v>1736.5072429318925</v>
      </c>
      <c r="U9" s="449">
        <v>1705.9696729110906</v>
      </c>
      <c r="V9" s="449">
        <v>1853.419846218789</v>
      </c>
      <c r="W9" s="449">
        <v>1671.5696017841142</v>
      </c>
      <c r="X9" s="449">
        <v>1611.0566921704301</v>
      </c>
      <c r="Y9" s="449">
        <v>1688.7730478238364</v>
      </c>
      <c r="Z9" s="449">
        <v>1670.7066308256883</v>
      </c>
      <c r="AA9" s="449">
        <v>1683.9180022481235</v>
      </c>
      <c r="AB9" s="449">
        <v>1661.9143965314522</v>
      </c>
      <c r="AC9" s="449">
        <v>1830.5275656310789</v>
      </c>
      <c r="AD9" s="449">
        <v>1646.0516180375068</v>
      </c>
      <c r="AE9" s="449">
        <v>1692.8267453568908</v>
      </c>
      <c r="AG9" s="449">
        <f t="shared" si="0"/>
        <v>1709.7227063546388</v>
      </c>
      <c r="AI9" s="449"/>
    </row>
    <row r="10" spans="2:35" x14ac:dyDescent="0.25">
      <c r="B10" s="405" t="s">
        <v>141</v>
      </c>
      <c r="C10" s="322"/>
      <c r="D10" s="421">
        <f>'Earnings Model'!L18</f>
        <v>2683.4</v>
      </c>
      <c r="F10" s="449">
        <v>2946.8049127227778</v>
      </c>
      <c r="G10" s="449">
        <v>2918.8475309346036</v>
      </c>
      <c r="H10" s="449">
        <v>2830.0496833251796</v>
      </c>
      <c r="I10" s="449">
        <v>3107.1257549505976</v>
      </c>
      <c r="J10" s="449">
        <v>3027.1025438033257</v>
      </c>
      <c r="K10" s="449">
        <v>2976.3716115460425</v>
      </c>
      <c r="L10" s="449">
        <v>3511.4662320047864</v>
      </c>
      <c r="M10" s="449">
        <v>2974.9413393516579</v>
      </c>
      <c r="N10" s="449">
        <v>3042.5868251415377</v>
      </c>
      <c r="O10" s="449">
        <v>2891.9202575977934</v>
      </c>
      <c r="P10" s="449">
        <v>2989.7519485747516</v>
      </c>
      <c r="Q10" s="449">
        <v>2990.3710803005247</v>
      </c>
      <c r="R10" s="449">
        <v>2994.8894560362505</v>
      </c>
      <c r="S10" s="449">
        <v>2991.1669418567662</v>
      </c>
      <c r="T10" s="449">
        <v>3032.4971674469098</v>
      </c>
      <c r="U10" s="449">
        <v>2937.6565048754865</v>
      </c>
      <c r="V10" s="449">
        <v>3422.6792349915941</v>
      </c>
      <c r="W10" s="449">
        <v>2967.0837851531128</v>
      </c>
      <c r="X10" s="449">
        <v>2853.5669451375575</v>
      </c>
      <c r="Y10" s="449">
        <v>3034.8114045666121</v>
      </c>
      <c r="Z10" s="449">
        <v>3043.1378784381</v>
      </c>
      <c r="AA10" s="449">
        <v>3086.5382484936031</v>
      </c>
      <c r="AB10" s="449">
        <v>2968.3905599054087</v>
      </c>
      <c r="AC10" s="449">
        <v>3306.3722198019004</v>
      </c>
      <c r="AD10" s="449">
        <v>2913.6880451890584</v>
      </c>
      <c r="AE10" s="449">
        <v>3040.1276056086308</v>
      </c>
      <c r="AG10" s="449">
        <f t="shared" si="0"/>
        <v>3030.7671429905608</v>
      </c>
      <c r="AI10" s="449"/>
    </row>
    <row r="11" spans="2:35" x14ac:dyDescent="0.25">
      <c r="B11" s="405" t="s">
        <v>142</v>
      </c>
      <c r="C11" s="322"/>
      <c r="D11" s="421">
        <f>'Earnings Model'!L19</f>
        <v>99.9</v>
      </c>
      <c r="F11" s="449">
        <v>143.52339857429544</v>
      </c>
      <c r="G11" s="449">
        <v>141.64623820231196</v>
      </c>
      <c r="H11" s="449">
        <v>114.01142762342207</v>
      </c>
      <c r="I11" s="449">
        <v>157.47247863650566</v>
      </c>
      <c r="J11" s="449">
        <v>154.16653380763827</v>
      </c>
      <c r="K11" s="449">
        <v>144.98326225460943</v>
      </c>
      <c r="L11" s="449">
        <v>154.08120998396592</v>
      </c>
      <c r="M11" s="449">
        <v>143.09718517526531</v>
      </c>
      <c r="N11" s="449">
        <v>144.86007780512961</v>
      </c>
      <c r="O11" s="449">
        <v>142.44499540771758</v>
      </c>
      <c r="P11" s="449">
        <v>144.24612569215819</v>
      </c>
      <c r="Q11" s="449">
        <v>154.89286439026324</v>
      </c>
      <c r="R11" s="449">
        <v>145.42355199692861</v>
      </c>
      <c r="S11" s="449">
        <v>154.91002463893352</v>
      </c>
      <c r="T11" s="449">
        <v>154.54619651414632</v>
      </c>
      <c r="U11" s="449">
        <v>151.50415600760019</v>
      </c>
      <c r="V11" s="449">
        <v>153.77508549993667</v>
      </c>
      <c r="W11" s="449">
        <v>143.96918829244038</v>
      </c>
      <c r="X11" s="449">
        <v>139.57695052038329</v>
      </c>
      <c r="Y11" s="449">
        <v>143.99141155168846</v>
      </c>
      <c r="Z11" s="449">
        <v>143.55541760945488</v>
      </c>
      <c r="AA11" s="449">
        <v>143.69757572084848</v>
      </c>
      <c r="AB11" s="449">
        <v>142.66010045011811</v>
      </c>
      <c r="AC11" s="449">
        <v>156.01375849023904</v>
      </c>
      <c r="AD11" s="449">
        <v>142.88910305482469</v>
      </c>
      <c r="AE11" s="449">
        <v>144.67911278719333</v>
      </c>
      <c r="AG11" s="449">
        <f t="shared" si="0"/>
        <v>146.1775934880007</v>
      </c>
      <c r="AI11" s="449"/>
    </row>
    <row r="12" spans="2:35" x14ac:dyDescent="0.25">
      <c r="B12" s="405" t="s">
        <v>143</v>
      </c>
      <c r="C12" s="322"/>
      <c r="D12" s="421">
        <f>'Earnings Model'!L20</f>
        <v>362.9</v>
      </c>
      <c r="F12" s="449">
        <v>368.49523072332948</v>
      </c>
      <c r="G12" s="449">
        <v>368.49523072332948</v>
      </c>
      <c r="H12" s="449">
        <v>373.28185372452236</v>
      </c>
      <c r="I12" s="449">
        <v>368.49523072332948</v>
      </c>
      <c r="J12" s="449">
        <v>374.38234431425735</v>
      </c>
      <c r="K12" s="449">
        <v>374.38234431425735</v>
      </c>
      <c r="L12" s="449">
        <v>368.49523072332948</v>
      </c>
      <c r="M12" s="449">
        <v>368.49523072332948</v>
      </c>
      <c r="N12" s="449">
        <v>368.49523072332948</v>
      </c>
      <c r="O12" s="449">
        <v>374.38234431425735</v>
      </c>
      <c r="P12" s="449">
        <v>368.49523072332948</v>
      </c>
      <c r="Q12" s="449">
        <v>374.38234431425735</v>
      </c>
      <c r="R12" s="449">
        <v>374.38234431425735</v>
      </c>
      <c r="S12" s="449">
        <v>374.38234431425735</v>
      </c>
      <c r="T12" s="449">
        <v>374.38234431425735</v>
      </c>
      <c r="U12" s="449">
        <v>374.38234431425735</v>
      </c>
      <c r="V12" s="449">
        <v>368.49523072332948</v>
      </c>
      <c r="W12" s="449">
        <v>374.38234431425735</v>
      </c>
      <c r="X12" s="449">
        <v>368.49523072332948</v>
      </c>
      <c r="Y12" s="449">
        <v>368.49523072332948</v>
      </c>
      <c r="Z12" s="449">
        <v>374.38234431425735</v>
      </c>
      <c r="AA12" s="449">
        <v>374.38234431425735</v>
      </c>
      <c r="AB12" s="449">
        <v>374.38234431425735</v>
      </c>
      <c r="AC12" s="449">
        <v>368.49523072332948</v>
      </c>
      <c r="AD12" s="449">
        <v>368.49523072332948</v>
      </c>
      <c r="AE12" s="449">
        <v>368.49523072332948</v>
      </c>
      <c r="AG12" s="449">
        <f t="shared" si="0"/>
        <v>371.39646095764971</v>
      </c>
      <c r="AI12" s="449"/>
    </row>
    <row r="13" spans="2:35" x14ac:dyDescent="0.25">
      <c r="B13" s="405" t="s">
        <v>245</v>
      </c>
      <c r="C13" s="322"/>
      <c r="D13" s="421">
        <f>'Earnings Model'!L21</f>
        <v>439</v>
      </c>
      <c r="F13" s="449">
        <v>411.18409437424225</v>
      </c>
      <c r="G13" s="449">
        <v>413.14935152128169</v>
      </c>
      <c r="H13" s="449">
        <v>415.5924427330479</v>
      </c>
      <c r="I13" s="449">
        <v>424.64050705463262</v>
      </c>
      <c r="J13" s="449">
        <v>435.64082824238562</v>
      </c>
      <c r="K13" s="449">
        <v>435.02149901005851</v>
      </c>
      <c r="L13" s="449">
        <v>450.29087027217224</v>
      </c>
      <c r="M13" s="449">
        <v>414.90457004348445</v>
      </c>
      <c r="N13" s="449">
        <v>417.72249043822853</v>
      </c>
      <c r="O13" s="449">
        <v>434.21797753597906</v>
      </c>
      <c r="P13" s="449">
        <v>416.92976919459431</v>
      </c>
      <c r="Q13" s="449">
        <v>435.92392505859186</v>
      </c>
      <c r="R13" s="449">
        <v>436.06414859372342</v>
      </c>
      <c r="S13" s="449">
        <v>435.95328804046824</v>
      </c>
      <c r="T13" s="449">
        <v>435.38544688813676</v>
      </c>
      <c r="U13" s="449">
        <v>436.57439340851113</v>
      </c>
      <c r="V13" s="449">
        <v>431.72789010482552</v>
      </c>
      <c r="W13" s="449">
        <v>429.51599151168745</v>
      </c>
      <c r="X13" s="449">
        <v>409.18929479122863</v>
      </c>
      <c r="Y13" s="449">
        <v>414.2938817433951</v>
      </c>
      <c r="Z13" s="449">
        <v>435.6659130012182</v>
      </c>
      <c r="AA13" s="449">
        <v>435.6572456771936</v>
      </c>
      <c r="AB13" s="449">
        <v>432.7144578968157</v>
      </c>
      <c r="AC13" s="449">
        <v>436.60937790310459</v>
      </c>
      <c r="AD13" s="449">
        <v>414.91522614264272</v>
      </c>
      <c r="AE13" s="449">
        <v>417.40432434922673</v>
      </c>
      <c r="AG13" s="449">
        <f t="shared" si="0"/>
        <v>427.18804636657217</v>
      </c>
      <c r="AI13" s="449"/>
    </row>
    <row r="14" spans="2:35" ht="17.25" x14ac:dyDescent="0.4">
      <c r="B14" s="405" t="s">
        <v>152</v>
      </c>
      <c r="C14" s="322"/>
      <c r="D14" s="424">
        <f>'Earnings Model'!L22</f>
        <v>195</v>
      </c>
      <c r="F14" s="452">
        <v>129.01164105363202</v>
      </c>
      <c r="G14" s="452">
        <v>126.05044992428782</v>
      </c>
      <c r="H14" s="452">
        <v>35.423733665464219</v>
      </c>
      <c r="I14" s="452">
        <v>133.34185691624651</v>
      </c>
      <c r="J14" s="452">
        <v>128.44433548109731</v>
      </c>
      <c r="K14" s="452">
        <v>129.08435168651425</v>
      </c>
      <c r="L14" s="452">
        <v>84.025059543414883</v>
      </c>
      <c r="M14" s="452">
        <v>128.99999999999989</v>
      </c>
      <c r="N14" s="452">
        <v>132.19625649189226</v>
      </c>
      <c r="O14" s="452">
        <v>123.60008637976559</v>
      </c>
      <c r="P14" s="452">
        <v>128.99387231724313</v>
      </c>
      <c r="Q14" s="452">
        <v>129.82047810239771</v>
      </c>
      <c r="R14" s="452">
        <v>129.81860868753242</v>
      </c>
      <c r="S14" s="452">
        <v>129.39283775097454</v>
      </c>
      <c r="T14" s="452">
        <v>129.29126307592972</v>
      </c>
      <c r="U14" s="452">
        <v>125.81376018437334</v>
      </c>
      <c r="V14" s="452">
        <v>151.07210995937254</v>
      </c>
      <c r="W14" s="452">
        <v>131.26151271349801</v>
      </c>
      <c r="X14" s="452">
        <v>123.59547634898001</v>
      </c>
      <c r="Y14" s="452">
        <v>131.30591793380987</v>
      </c>
      <c r="Z14" s="452">
        <v>129.31376554738921</v>
      </c>
      <c r="AA14" s="452">
        <v>72.848896633074759</v>
      </c>
      <c r="AB14" s="452">
        <v>129.67090002895461</v>
      </c>
      <c r="AC14" s="452">
        <v>140.70079889066355</v>
      </c>
      <c r="AD14" s="452">
        <v>124.82132471753985</v>
      </c>
      <c r="AE14" s="452">
        <v>132.1881971209703</v>
      </c>
      <c r="AG14" s="452">
        <f t="shared" si="0"/>
        <v>122.69567273673147</v>
      </c>
      <c r="AI14" s="452"/>
    </row>
    <row r="15" spans="2:35" ht="17.25" x14ac:dyDescent="0.4">
      <c r="B15" s="324" t="s">
        <v>50</v>
      </c>
      <c r="C15" s="325"/>
      <c r="D15" s="425">
        <f>'Earnings Model'!L23</f>
        <v>5757</v>
      </c>
      <c r="F15" s="454">
        <v>5660.8966707233303</v>
      </c>
      <c r="G15" s="454">
        <v>5609.0043853451753</v>
      </c>
      <c r="H15" s="454">
        <v>5561.3038777441152</v>
      </c>
      <c r="I15" s="454">
        <v>5979.3119666945968</v>
      </c>
      <c r="J15" s="454">
        <v>5852.2095558316005</v>
      </c>
      <c r="K15" s="454">
        <v>5737.2818955411331</v>
      </c>
      <c r="L15" s="454">
        <v>6430.2808688861032</v>
      </c>
      <c r="M15" s="454">
        <v>5695.7344661378929</v>
      </c>
      <c r="N15" s="454">
        <v>5800.3547810536602</v>
      </c>
      <c r="O15" s="454">
        <v>5603.8299477838545</v>
      </c>
      <c r="P15" s="454">
        <v>5724.059679681026</v>
      </c>
      <c r="Q15" s="454">
        <v>5828.3602164074164</v>
      </c>
      <c r="R15" s="454">
        <v>5765.588131628554</v>
      </c>
      <c r="S15" s="454">
        <v>5828.970216413717</v>
      </c>
      <c r="T15" s="454">
        <v>5862.6096611712728</v>
      </c>
      <c r="U15" s="454">
        <v>5731.9008317013195</v>
      </c>
      <c r="V15" s="454">
        <v>6381.1693974978471</v>
      </c>
      <c r="W15" s="454">
        <v>5717.7824237691102</v>
      </c>
      <c r="X15" s="454">
        <v>5505.4805896919088</v>
      </c>
      <c r="Y15" s="454">
        <v>5781.6708943426711</v>
      </c>
      <c r="Z15" s="454">
        <v>5796.7619497361084</v>
      </c>
      <c r="AA15" s="454">
        <v>5797.0423130871013</v>
      </c>
      <c r="AB15" s="454">
        <v>5709.7327591270068</v>
      </c>
      <c r="AC15" s="454">
        <v>6238.7189514403153</v>
      </c>
      <c r="AD15" s="454">
        <v>5610.8605478649024</v>
      </c>
      <c r="AE15" s="454">
        <v>5795.7212159462415</v>
      </c>
      <c r="AG15" s="454">
        <f t="shared" si="0"/>
        <v>5807.947622894153</v>
      </c>
      <c r="AI15" s="454"/>
    </row>
    <row r="16" spans="2:35" ht="17.25" x14ac:dyDescent="0.4">
      <c r="B16" s="542" t="s">
        <v>145</v>
      </c>
      <c r="C16" s="543"/>
      <c r="D16" s="422">
        <f>'Earnings Model'!L24</f>
        <v>112.2</v>
      </c>
      <c r="F16" s="452">
        <v>75.524999999999991</v>
      </c>
      <c r="G16" s="452">
        <v>75.524999999999991</v>
      </c>
      <c r="H16" s="452">
        <v>75.55</v>
      </c>
      <c r="I16" s="452">
        <v>75.524999999999991</v>
      </c>
      <c r="J16" s="452">
        <v>75.524999999999991</v>
      </c>
      <c r="K16" s="452">
        <v>75.525000000000006</v>
      </c>
      <c r="L16" s="452">
        <v>70.066666666666663</v>
      </c>
      <c r="M16" s="452">
        <v>75.524999999999991</v>
      </c>
      <c r="N16" s="452">
        <v>75.524999999999991</v>
      </c>
      <c r="O16" s="452">
        <v>75.525000000000006</v>
      </c>
      <c r="P16" s="452">
        <v>75.524999999999991</v>
      </c>
      <c r="Q16" s="452">
        <v>75.524999999999991</v>
      </c>
      <c r="R16" s="452">
        <v>75.524999999999991</v>
      </c>
      <c r="S16" s="452">
        <v>75.524999999999991</v>
      </c>
      <c r="T16" s="452">
        <v>75.524999999999991</v>
      </c>
      <c r="U16" s="452">
        <v>75.525000000000006</v>
      </c>
      <c r="V16" s="452">
        <v>75.524999999999991</v>
      </c>
      <c r="W16" s="452">
        <v>75.524999999999991</v>
      </c>
      <c r="X16" s="452">
        <v>75.524999999999991</v>
      </c>
      <c r="Y16" s="452">
        <v>75.524999999999991</v>
      </c>
      <c r="Z16" s="452">
        <v>75.525000000000006</v>
      </c>
      <c r="AA16" s="452">
        <v>75.525000000000006</v>
      </c>
      <c r="AB16" s="452">
        <v>75.524999999999991</v>
      </c>
      <c r="AC16" s="452">
        <v>75.524999999999991</v>
      </c>
      <c r="AD16" s="452">
        <v>75.524999999999991</v>
      </c>
      <c r="AE16" s="452">
        <v>75.524999999999991</v>
      </c>
      <c r="AG16" s="452">
        <f t="shared" si="0"/>
        <v>75.316025641025675</v>
      </c>
      <c r="AI16" s="452"/>
    </row>
    <row r="17" spans="2:35" x14ac:dyDescent="0.25">
      <c r="B17" s="326" t="s">
        <v>66</v>
      </c>
      <c r="C17" s="327"/>
      <c r="D17" s="426">
        <f>'Earnings Model'!L25</f>
        <v>558.30000000000041</v>
      </c>
      <c r="F17" s="450">
        <v>443.03332927666941</v>
      </c>
      <c r="G17" s="450">
        <v>476.12591465482399</v>
      </c>
      <c r="H17" s="450">
        <v>365.70244227054155</v>
      </c>
      <c r="I17" s="450">
        <v>72.95437011902176</v>
      </c>
      <c r="J17" s="450">
        <v>329.63621903768978</v>
      </c>
      <c r="K17" s="450">
        <v>373.91409114019041</v>
      </c>
      <c r="L17" s="450">
        <v>271.37672361963547</v>
      </c>
      <c r="M17" s="450">
        <v>382.79053386210614</v>
      </c>
      <c r="N17" s="450">
        <v>402.01382678316929</v>
      </c>
      <c r="O17" s="450">
        <v>332.45353680164715</v>
      </c>
      <c r="P17" s="450">
        <v>452.2462536019442</v>
      </c>
      <c r="Q17" s="450">
        <v>389.53819631269778</v>
      </c>
      <c r="R17" s="450">
        <v>370.67201997205518</v>
      </c>
      <c r="S17" s="450">
        <v>389.63652963973107</v>
      </c>
      <c r="T17" s="450">
        <v>326.90782551005066</v>
      </c>
      <c r="U17" s="450">
        <v>364.81580079075718</v>
      </c>
      <c r="V17" s="450">
        <v>-304.53189749784781</v>
      </c>
      <c r="W17" s="450">
        <v>408.03783340384177</v>
      </c>
      <c r="X17" s="450">
        <v>348.46081718296534</v>
      </c>
      <c r="Y17" s="450">
        <v>466.85272078522883</v>
      </c>
      <c r="Z17" s="450">
        <v>286.9886687123311</v>
      </c>
      <c r="AA17" s="450">
        <v>477.89650302010648</v>
      </c>
      <c r="AB17" s="450">
        <v>403.38585636668938</v>
      </c>
      <c r="AC17" s="450">
        <v>475.03325382028595</v>
      </c>
      <c r="AD17" s="450">
        <v>364.75364678525</v>
      </c>
      <c r="AE17" s="450">
        <v>401.36802245033994</v>
      </c>
      <c r="AG17" s="450">
        <f t="shared" si="0"/>
        <v>348.92550147776609</v>
      </c>
      <c r="AI17" s="450"/>
    </row>
    <row r="18" spans="2:35" ht="17.25" x14ac:dyDescent="0.4">
      <c r="B18" s="292" t="s">
        <v>194</v>
      </c>
      <c r="C18" s="222"/>
      <c r="D18" s="430">
        <f>'Earnings Model'!L26</f>
        <v>259.5</v>
      </c>
      <c r="F18" s="455">
        <v>187.04000000000002</v>
      </c>
      <c r="G18" s="455">
        <v>187.04000000000002</v>
      </c>
      <c r="H18" s="455">
        <v>187</v>
      </c>
      <c r="I18" s="455">
        <v>187.04000000000002</v>
      </c>
      <c r="J18" s="455">
        <v>187</v>
      </c>
      <c r="K18" s="455">
        <v>186.59</v>
      </c>
      <c r="L18" s="455">
        <v>187</v>
      </c>
      <c r="M18" s="455">
        <v>187.04000000000002</v>
      </c>
      <c r="N18" s="455">
        <v>187.04000000000002</v>
      </c>
      <c r="O18" s="455">
        <v>187.04000000000002</v>
      </c>
      <c r="P18" s="455">
        <v>187.04000000000002</v>
      </c>
      <c r="Q18" s="455">
        <v>187.04000000000002</v>
      </c>
      <c r="R18" s="455">
        <v>187</v>
      </c>
      <c r="S18" s="455">
        <v>187.04000000000002</v>
      </c>
      <c r="T18" s="455">
        <v>187.04000000000002</v>
      </c>
      <c r="U18" s="455">
        <v>187.04000000000002</v>
      </c>
      <c r="V18" s="455">
        <v>187.04000000000002</v>
      </c>
      <c r="W18" s="455">
        <v>187</v>
      </c>
      <c r="X18" s="455">
        <v>187.04000000000002</v>
      </c>
      <c r="Y18" s="455">
        <v>187.04000000000002</v>
      </c>
      <c r="Z18" s="455">
        <v>187.04000000000002</v>
      </c>
      <c r="AA18" s="455">
        <v>187.04000000000002</v>
      </c>
      <c r="AB18" s="455">
        <v>187.04000000000002</v>
      </c>
      <c r="AC18" s="455">
        <v>187.04000000000002</v>
      </c>
      <c r="AD18" s="455">
        <v>187.04000000000002</v>
      </c>
      <c r="AE18" s="455">
        <v>187.04000000000002</v>
      </c>
      <c r="AG18" s="455">
        <f t="shared" si="0"/>
        <v>187.01499999999999</v>
      </c>
      <c r="AI18" s="455"/>
    </row>
    <row r="19" spans="2:35" x14ac:dyDescent="0.25">
      <c r="B19" s="293" t="s">
        <v>195</v>
      </c>
      <c r="C19" s="212"/>
      <c r="D19" s="431">
        <f>'Earnings Model'!L27</f>
        <v>817.80000000000041</v>
      </c>
      <c r="F19" s="456">
        <v>630.07332927666948</v>
      </c>
      <c r="G19" s="456">
        <v>663.16591465482406</v>
      </c>
      <c r="H19" s="456">
        <v>552.7024422705415</v>
      </c>
      <c r="I19" s="456">
        <v>259.99437011902177</v>
      </c>
      <c r="J19" s="456">
        <v>516.63621903768978</v>
      </c>
      <c r="K19" s="456">
        <v>560.50409114019044</v>
      </c>
      <c r="L19" s="456">
        <v>458.37672361963547</v>
      </c>
      <c r="M19" s="456">
        <v>569.83053386210622</v>
      </c>
      <c r="N19" s="456">
        <v>589.05382678316937</v>
      </c>
      <c r="O19" s="456">
        <v>519.49353680164722</v>
      </c>
      <c r="P19" s="456">
        <v>639.28625360194428</v>
      </c>
      <c r="Q19" s="456">
        <v>576.57819631269786</v>
      </c>
      <c r="R19" s="456">
        <v>557.67201997205518</v>
      </c>
      <c r="S19" s="456">
        <v>576.67652963973114</v>
      </c>
      <c r="T19" s="456">
        <v>513.94782551005073</v>
      </c>
      <c r="U19" s="456">
        <v>551.85580079075726</v>
      </c>
      <c r="V19" s="456">
        <v>-117.49189749784779</v>
      </c>
      <c r="W19" s="456">
        <v>595.03783340384177</v>
      </c>
      <c r="X19" s="456">
        <v>535.50081718296542</v>
      </c>
      <c r="Y19" s="456">
        <v>653.8927207852289</v>
      </c>
      <c r="Z19" s="456">
        <v>474.02866871233113</v>
      </c>
      <c r="AA19" s="456">
        <v>664.93650302010656</v>
      </c>
      <c r="AB19" s="456">
        <v>590.42585636668946</v>
      </c>
      <c r="AC19" s="456">
        <v>662.07325382028603</v>
      </c>
      <c r="AD19" s="456">
        <v>551.79364678525008</v>
      </c>
      <c r="AE19" s="456">
        <v>588.40802245034001</v>
      </c>
      <c r="AG19" s="456">
        <f t="shared" si="0"/>
        <v>535.94050147776625</v>
      </c>
      <c r="AI19" s="456">
        <v>600.9</v>
      </c>
    </row>
    <row r="20" spans="2:35" x14ac:dyDescent="0.25">
      <c r="B20" s="78" t="s">
        <v>185</v>
      </c>
      <c r="C20" s="36"/>
      <c r="D20" s="420">
        <f>'Earnings Model'!L28</f>
        <v>0</v>
      </c>
      <c r="F20" s="449">
        <v>0</v>
      </c>
      <c r="G20" s="449">
        <v>0</v>
      </c>
      <c r="H20" s="449">
        <v>0</v>
      </c>
      <c r="I20" s="449">
        <v>0</v>
      </c>
      <c r="J20" s="449">
        <v>0</v>
      </c>
      <c r="K20" s="449">
        <v>0</v>
      </c>
      <c r="L20" s="449">
        <v>0</v>
      </c>
      <c r="M20" s="449">
        <v>0</v>
      </c>
      <c r="N20" s="449">
        <v>0</v>
      </c>
      <c r="O20" s="449">
        <v>0</v>
      </c>
      <c r="P20" s="449">
        <v>0</v>
      </c>
      <c r="Q20" s="449">
        <v>0</v>
      </c>
      <c r="R20" s="449">
        <v>0</v>
      </c>
      <c r="S20" s="449">
        <v>0</v>
      </c>
      <c r="T20" s="449">
        <v>0</v>
      </c>
      <c r="U20" s="449">
        <v>0</v>
      </c>
      <c r="V20" s="449">
        <v>0</v>
      </c>
      <c r="W20" s="449">
        <v>0</v>
      </c>
      <c r="X20" s="449">
        <v>0</v>
      </c>
      <c r="Y20" s="449">
        <v>0</v>
      </c>
      <c r="Z20" s="449">
        <v>0</v>
      </c>
      <c r="AA20" s="449">
        <v>0</v>
      </c>
      <c r="AB20" s="449">
        <v>0</v>
      </c>
      <c r="AC20" s="449">
        <v>0</v>
      </c>
      <c r="AD20" s="449">
        <v>0</v>
      </c>
      <c r="AE20" s="449">
        <v>0</v>
      </c>
      <c r="AG20" s="449">
        <f t="shared" si="0"/>
        <v>0</v>
      </c>
      <c r="AI20" s="449"/>
    </row>
    <row r="21" spans="2:35" x14ac:dyDescent="0.25">
      <c r="B21" s="78" t="s">
        <v>146</v>
      </c>
      <c r="C21" s="36"/>
      <c r="D21" s="421">
        <f>'Earnings Model'!L29</f>
        <v>9.1</v>
      </c>
      <c r="F21" s="449">
        <v>9.8318996517576309</v>
      </c>
      <c r="G21" s="449">
        <v>9.8318996517576309</v>
      </c>
      <c r="H21" s="449">
        <v>9.8318996517576309</v>
      </c>
      <c r="I21" s="449">
        <v>9.8318996517576309</v>
      </c>
      <c r="J21" s="449">
        <v>9.8318996517576309</v>
      </c>
      <c r="K21" s="449">
        <v>12.7</v>
      </c>
      <c r="L21" s="449">
        <v>9.8318996517576309</v>
      </c>
      <c r="M21" s="449">
        <v>9.8318996517576309</v>
      </c>
      <c r="N21" s="449">
        <v>9.8318996517576309</v>
      </c>
      <c r="O21" s="449">
        <v>12.7</v>
      </c>
      <c r="P21" s="449">
        <v>9.8318996517576309</v>
      </c>
      <c r="Q21" s="449">
        <v>9.8318996517576309</v>
      </c>
      <c r="R21" s="449">
        <v>15.496973713275899</v>
      </c>
      <c r="S21" s="449">
        <v>12.7</v>
      </c>
      <c r="T21" s="449">
        <v>9.8318996517576309</v>
      </c>
      <c r="U21" s="449">
        <v>12.7</v>
      </c>
      <c r="V21" s="449">
        <v>9.8318996517576309</v>
      </c>
      <c r="W21" s="449">
        <v>9.8319673812156498</v>
      </c>
      <c r="X21" s="449">
        <v>9.8318996517576309</v>
      </c>
      <c r="Y21" s="449">
        <v>9.8318996517576309</v>
      </c>
      <c r="Z21" s="449">
        <v>9.8318996517576309</v>
      </c>
      <c r="AA21" s="449">
        <v>9.8318996517576309</v>
      </c>
      <c r="AB21" s="449">
        <v>9.8318996517576309</v>
      </c>
      <c r="AC21" s="449">
        <v>9.8318996517576309</v>
      </c>
      <c r="AD21" s="449">
        <v>9.8318996517576309</v>
      </c>
      <c r="AE21" s="449">
        <v>9.8318996517576309</v>
      </c>
      <c r="AG21" s="449">
        <f t="shared" si="0"/>
        <v>10.491035928063233</v>
      </c>
      <c r="AI21" s="449"/>
    </row>
    <row r="22" spans="2:35" ht="17.25" x14ac:dyDescent="0.4">
      <c r="B22" s="78" t="s">
        <v>147</v>
      </c>
      <c r="C22" s="74"/>
      <c r="D22" s="422">
        <f>'Earnings Model'!L30</f>
        <v>-125</v>
      </c>
      <c r="F22" s="452">
        <v>-131.82973718590847</v>
      </c>
      <c r="G22" s="452">
        <v>-131.82973718590847</v>
      </c>
      <c r="H22" s="452">
        <v>-131.82973718590847</v>
      </c>
      <c r="I22" s="452">
        <v>-131.82973718590847</v>
      </c>
      <c r="J22" s="452">
        <v>-131.82973718590847</v>
      </c>
      <c r="K22" s="452">
        <v>-131.82973718590847</v>
      </c>
      <c r="L22" s="452">
        <v>-131.82973718590847</v>
      </c>
      <c r="M22" s="452">
        <v>-131.82973718590847</v>
      </c>
      <c r="N22" s="452">
        <v>-131.82973718590847</v>
      </c>
      <c r="O22" s="452">
        <v>-134.65360000000001</v>
      </c>
      <c r="P22" s="452">
        <v>-131.82973718590847</v>
      </c>
      <c r="Q22" s="452">
        <v>-131.82973718590847</v>
      </c>
      <c r="R22" s="452">
        <v>-131.82973718590847</v>
      </c>
      <c r="S22" s="452">
        <v>-131.82973718590847</v>
      </c>
      <c r="T22" s="452">
        <v>-131.82973718590847</v>
      </c>
      <c r="U22" s="452">
        <v>-131.82973718590847</v>
      </c>
      <c r="V22" s="452">
        <v>-131.82973718590847</v>
      </c>
      <c r="W22" s="452">
        <v>-134.65360000000001</v>
      </c>
      <c r="X22" s="452">
        <v>-131.82973718590847</v>
      </c>
      <c r="Y22" s="452">
        <v>-131.82973718590847</v>
      </c>
      <c r="Z22" s="452">
        <v>-131.82973718590847</v>
      </c>
      <c r="AA22" s="452">
        <v>-131.82973718590847</v>
      </c>
      <c r="AB22" s="452">
        <v>-131.82973718590847</v>
      </c>
      <c r="AC22" s="452">
        <v>-131.82973718590847</v>
      </c>
      <c r="AD22" s="452">
        <v>-131.82973718590847</v>
      </c>
      <c r="AE22" s="452">
        <v>-131.82973718590847</v>
      </c>
      <c r="AG22" s="452">
        <f t="shared" si="0"/>
        <v>-132.04695740237705</v>
      </c>
      <c r="AI22" s="452"/>
    </row>
    <row r="23" spans="2:35" x14ac:dyDescent="0.25">
      <c r="B23" s="558" t="s">
        <v>67</v>
      </c>
      <c r="C23" s="559"/>
      <c r="D23" s="426">
        <f>'Earnings Model'!L31</f>
        <v>442.40000000000043</v>
      </c>
      <c r="F23" s="450">
        <v>321.03549174251856</v>
      </c>
      <c r="G23" s="450">
        <v>354.12807712067314</v>
      </c>
      <c r="H23" s="450">
        <v>243.70460473639071</v>
      </c>
      <c r="I23" s="450">
        <v>-49.043467415129072</v>
      </c>
      <c r="J23" s="450">
        <v>207.63838150353894</v>
      </c>
      <c r="K23" s="450">
        <v>254.78435395428193</v>
      </c>
      <c r="L23" s="450">
        <v>149.37888608548462</v>
      </c>
      <c r="M23" s="450">
        <v>260.7926963279553</v>
      </c>
      <c r="N23" s="450">
        <v>280.01598924901845</v>
      </c>
      <c r="O23" s="450">
        <v>210.49993680164712</v>
      </c>
      <c r="P23" s="450">
        <v>330.24841606779336</v>
      </c>
      <c r="Q23" s="450">
        <v>267.54035877854693</v>
      </c>
      <c r="R23" s="450">
        <v>254.33925649942262</v>
      </c>
      <c r="S23" s="450">
        <v>270.50679245382258</v>
      </c>
      <c r="T23" s="450">
        <v>204.90998797589981</v>
      </c>
      <c r="U23" s="450">
        <v>245.6860636048487</v>
      </c>
      <c r="V23" s="450">
        <v>-426.52973503199865</v>
      </c>
      <c r="W23" s="450">
        <v>283.21620078505737</v>
      </c>
      <c r="X23" s="450">
        <v>226.4629796488145</v>
      </c>
      <c r="Y23" s="450">
        <v>344.85488325107798</v>
      </c>
      <c r="Z23" s="450">
        <v>164.99083117818026</v>
      </c>
      <c r="AA23" s="450">
        <v>355.89866548595563</v>
      </c>
      <c r="AB23" s="450">
        <v>281.38801883253853</v>
      </c>
      <c r="AC23" s="450">
        <v>353.0354162861351</v>
      </c>
      <c r="AD23" s="450">
        <v>242.75580925109915</v>
      </c>
      <c r="AE23" s="450">
        <v>279.37018491618909</v>
      </c>
      <c r="AG23" s="450">
        <f t="shared" si="0"/>
        <v>227.36958000345234</v>
      </c>
      <c r="AI23" s="450"/>
    </row>
    <row r="24" spans="2:35" ht="17.25" x14ac:dyDescent="0.4">
      <c r="B24" s="560" t="s">
        <v>34</v>
      </c>
      <c r="C24" s="561"/>
      <c r="D24" s="422">
        <f>'Earnings Model'!L32</f>
        <v>49.7</v>
      </c>
      <c r="F24" s="452">
        <v>80.25887293562964</v>
      </c>
      <c r="G24" s="452">
        <v>88.532019280168285</v>
      </c>
      <c r="H24" s="452">
        <v>60.926151184097677</v>
      </c>
      <c r="I24" s="452">
        <v>-12.260866853782268</v>
      </c>
      <c r="J24" s="452">
        <v>51.909595375884734</v>
      </c>
      <c r="K24" s="452">
        <v>63.696088488570481</v>
      </c>
      <c r="L24" s="452">
        <v>33.61024936923404</v>
      </c>
      <c r="M24" s="452">
        <v>65.198174081988824</v>
      </c>
      <c r="N24" s="452">
        <v>70.003997312254612</v>
      </c>
      <c r="O24" s="452">
        <v>52.624984200411781</v>
      </c>
      <c r="P24" s="452">
        <v>82.562104016948339</v>
      </c>
      <c r="Q24" s="452">
        <v>66.885089694636733</v>
      </c>
      <c r="R24" s="452">
        <v>63.584814124855654</v>
      </c>
      <c r="S24" s="452">
        <v>67.626698113455646</v>
      </c>
      <c r="T24" s="452">
        <v>51.227496993974952</v>
      </c>
      <c r="U24" s="452">
        <v>63.878376537260664</v>
      </c>
      <c r="V24" s="452">
        <v>-106.63243375799966</v>
      </c>
      <c r="W24" s="452">
        <v>70.804050196264342</v>
      </c>
      <c r="X24" s="452">
        <v>56.615744912203624</v>
      </c>
      <c r="Y24" s="452">
        <v>86.213720812769495</v>
      </c>
      <c r="Z24" s="452">
        <v>41.247707794545065</v>
      </c>
      <c r="AA24" s="452">
        <v>78.297706406910237</v>
      </c>
      <c r="AB24" s="452">
        <v>75.974765084785403</v>
      </c>
      <c r="AC24" s="452">
        <v>88.258854071533776</v>
      </c>
      <c r="AD24" s="452">
        <v>60.688952312774788</v>
      </c>
      <c r="AE24" s="452">
        <v>69.842546229047272</v>
      </c>
      <c r="AG24" s="452">
        <f t="shared" si="0"/>
        <v>56.599056112247062</v>
      </c>
      <c r="AI24" s="452"/>
    </row>
    <row r="25" spans="2:35" x14ac:dyDescent="0.25">
      <c r="B25" s="558" t="s">
        <v>148</v>
      </c>
      <c r="C25" s="559"/>
      <c r="D25" s="426">
        <f>'Earnings Model'!L33</f>
        <v>392.70000000000044</v>
      </c>
      <c r="F25" s="450">
        <v>240.77661880688891</v>
      </c>
      <c r="G25" s="450">
        <v>265.59605784050484</v>
      </c>
      <c r="H25" s="450">
        <v>182.77845355229303</v>
      </c>
      <c r="I25" s="450">
        <v>-36.782600561346804</v>
      </c>
      <c r="J25" s="450">
        <v>155.72878612765419</v>
      </c>
      <c r="K25" s="450">
        <v>191.08826546571146</v>
      </c>
      <c r="L25" s="450">
        <v>115.76863671625058</v>
      </c>
      <c r="M25" s="450">
        <v>195.59452224596646</v>
      </c>
      <c r="N25" s="450">
        <v>210.01199193676382</v>
      </c>
      <c r="O25" s="450">
        <v>157.87495260123535</v>
      </c>
      <c r="P25" s="450">
        <v>247.686312050845</v>
      </c>
      <c r="Q25" s="450">
        <v>200.65526908391018</v>
      </c>
      <c r="R25" s="450">
        <v>190.75444237456696</v>
      </c>
      <c r="S25" s="450">
        <v>202.88009434036695</v>
      </c>
      <c r="T25" s="450">
        <v>153.68249098192484</v>
      </c>
      <c r="U25" s="450">
        <v>181.80768706758803</v>
      </c>
      <c r="V25" s="450">
        <v>-319.89730127399901</v>
      </c>
      <c r="W25" s="450">
        <v>212.41215058879303</v>
      </c>
      <c r="X25" s="450">
        <v>169.84723473661086</v>
      </c>
      <c r="Y25" s="450">
        <v>258.64116243830847</v>
      </c>
      <c r="Z25" s="450">
        <v>123.74312338363519</v>
      </c>
      <c r="AA25" s="450">
        <v>277.60095907904542</v>
      </c>
      <c r="AB25" s="450">
        <v>205.41325374775312</v>
      </c>
      <c r="AC25" s="450">
        <v>264.77656221460131</v>
      </c>
      <c r="AD25" s="450">
        <v>182.06685693832435</v>
      </c>
      <c r="AE25" s="450">
        <v>209.5276386871418</v>
      </c>
      <c r="AG25" s="450">
        <f t="shared" si="0"/>
        <v>170.77052389120536</v>
      </c>
      <c r="AI25" s="450"/>
    </row>
    <row r="26" spans="2:35" ht="17.25" x14ac:dyDescent="0.4">
      <c r="B26" s="403" t="s">
        <v>149</v>
      </c>
      <c r="C26" s="394"/>
      <c r="D26" s="424">
        <f>'Earnings Model'!L34</f>
        <v>0.1</v>
      </c>
      <c r="F26" s="452">
        <v>-1.0249999999999999</v>
      </c>
      <c r="G26" s="452">
        <v>-1.0249999999999999</v>
      </c>
      <c r="H26" s="452">
        <v>-1.0249999999999999</v>
      </c>
      <c r="I26" s="452">
        <v>-1.0249999999999999</v>
      </c>
      <c r="J26" s="452">
        <v>-1.0249999999999999</v>
      </c>
      <c r="K26" s="452">
        <v>-1.0249999999999999</v>
      </c>
      <c r="L26" s="452">
        <v>0.3</v>
      </c>
      <c r="M26" s="452">
        <v>-1.0249999999999999</v>
      </c>
      <c r="N26" s="452">
        <v>-1.0249999999999999</v>
      </c>
      <c r="O26" s="452">
        <v>-1.0249999999999999</v>
      </c>
      <c r="P26" s="452">
        <v>-1.0249999999999999</v>
      </c>
      <c r="Q26" s="452">
        <v>-1.0249999999999999</v>
      </c>
      <c r="R26" s="452">
        <v>-1.0249999999999999</v>
      </c>
      <c r="S26" s="452">
        <v>-1.0249999999999999</v>
      </c>
      <c r="T26" s="452">
        <v>-1.0249999999999999</v>
      </c>
      <c r="U26" s="452">
        <v>-1.0249999999999999</v>
      </c>
      <c r="V26" s="452">
        <v>-1.0249999999999999</v>
      </c>
      <c r="W26" s="452">
        <v>-1.0249999999999999</v>
      </c>
      <c r="X26" s="452">
        <v>-1.0249999999999999</v>
      </c>
      <c r="Y26" s="452">
        <v>-1.0249999999999999</v>
      </c>
      <c r="Z26" s="452">
        <v>-1.0249999999999999</v>
      </c>
      <c r="AA26" s="452">
        <v>-1.0249999999999999</v>
      </c>
      <c r="AB26" s="452">
        <v>-1.0249999999999999</v>
      </c>
      <c r="AC26" s="452">
        <v>-1.0249999999999999</v>
      </c>
      <c r="AD26" s="452">
        <v>-1.0249999999999999</v>
      </c>
      <c r="AE26" s="452">
        <v>-1.0249999999999999</v>
      </c>
      <c r="AG26" s="452">
        <f t="shared" si="0"/>
        <v>-0.97403846153846108</v>
      </c>
      <c r="AI26" s="452"/>
    </row>
    <row r="27" spans="2:35" x14ac:dyDescent="0.25">
      <c r="B27" s="402" t="s">
        <v>107</v>
      </c>
      <c r="C27" s="401"/>
      <c r="D27" s="426">
        <f>'Earnings Model'!L35</f>
        <v>392.60000000000042</v>
      </c>
      <c r="F27" s="450">
        <v>241.80161880688891</v>
      </c>
      <c r="G27" s="450">
        <v>266.62105784050482</v>
      </c>
      <c r="H27" s="450">
        <v>183.80345355229304</v>
      </c>
      <c r="I27" s="450">
        <v>-35.757600561346806</v>
      </c>
      <c r="J27" s="450">
        <v>156.75378612765419</v>
      </c>
      <c r="K27" s="450">
        <v>192.11326546571146</v>
      </c>
      <c r="L27" s="450">
        <v>115.46863671625059</v>
      </c>
      <c r="M27" s="450">
        <v>196.61952224596646</v>
      </c>
      <c r="N27" s="450">
        <v>211.03699193676383</v>
      </c>
      <c r="O27" s="450">
        <v>158.89995260123536</v>
      </c>
      <c r="P27" s="450">
        <v>248.71131205084501</v>
      </c>
      <c r="Q27" s="450">
        <v>201.68026908391019</v>
      </c>
      <c r="R27" s="450">
        <v>191.77944237456697</v>
      </c>
      <c r="S27" s="450">
        <v>203.90509434036696</v>
      </c>
      <c r="T27" s="450">
        <v>154.70749098192485</v>
      </c>
      <c r="U27" s="450">
        <v>182.83268706758804</v>
      </c>
      <c r="V27" s="450">
        <v>-318.87230127399903</v>
      </c>
      <c r="W27" s="450">
        <v>213.43715058879303</v>
      </c>
      <c r="X27" s="450">
        <v>170.87223473661086</v>
      </c>
      <c r="Y27" s="450">
        <v>259.66616243830845</v>
      </c>
      <c r="Z27" s="450">
        <v>124.7681233836352</v>
      </c>
      <c r="AA27" s="450">
        <v>278.6259590790454</v>
      </c>
      <c r="AB27" s="450">
        <v>206.43825374775312</v>
      </c>
      <c r="AC27" s="450">
        <v>265.80156221460129</v>
      </c>
      <c r="AD27" s="450">
        <v>183.09185693832436</v>
      </c>
      <c r="AE27" s="450">
        <v>210.55263868714181</v>
      </c>
      <c r="AG27" s="450">
        <f t="shared" si="0"/>
        <v>171.74456235274377</v>
      </c>
      <c r="AI27" s="450"/>
    </row>
    <row r="28" spans="2:35" ht="17.25" x14ac:dyDescent="0.4">
      <c r="B28" s="221" t="s">
        <v>196</v>
      </c>
      <c r="C28" s="218"/>
      <c r="D28" s="432">
        <f>'Earnings Model'!L36</f>
        <v>-50.810000000000372</v>
      </c>
      <c r="F28" s="457">
        <v>-46.76</v>
      </c>
      <c r="G28" s="457">
        <v>-46.76</v>
      </c>
      <c r="H28" s="457">
        <v>-37.4</v>
      </c>
      <c r="I28" s="457">
        <v>-46.76</v>
      </c>
      <c r="J28" s="457">
        <v>-47</v>
      </c>
      <c r="K28" s="457">
        <v>-47</v>
      </c>
      <c r="L28" s="457">
        <v>-34.932877010284066</v>
      </c>
      <c r="M28" s="457">
        <v>-46.76</v>
      </c>
      <c r="N28" s="457">
        <v>-46.76</v>
      </c>
      <c r="O28" s="457">
        <v>-47</v>
      </c>
      <c r="P28" s="457">
        <v>-46.76</v>
      </c>
      <c r="Q28" s="457">
        <v>-47</v>
      </c>
      <c r="R28" s="457">
        <v>-47</v>
      </c>
      <c r="S28" s="457">
        <v>-47</v>
      </c>
      <c r="T28" s="457">
        <v>-47</v>
      </c>
      <c r="U28" s="457">
        <v>-47</v>
      </c>
      <c r="V28" s="457">
        <v>-46.76</v>
      </c>
      <c r="W28" s="457">
        <v>-47</v>
      </c>
      <c r="X28" s="457">
        <v>-46.76</v>
      </c>
      <c r="Y28" s="457">
        <v>-46.76</v>
      </c>
      <c r="Z28" s="457">
        <v>-46.76</v>
      </c>
      <c r="AA28" s="457">
        <v>-47</v>
      </c>
      <c r="AB28" s="457">
        <v>-46.76</v>
      </c>
      <c r="AC28" s="457">
        <v>-46.76</v>
      </c>
      <c r="AD28" s="457">
        <v>-46.76</v>
      </c>
      <c r="AE28" s="457">
        <v>-46.76</v>
      </c>
      <c r="AG28" s="457">
        <f t="shared" si="0"/>
        <v>-46.037418346549387</v>
      </c>
      <c r="AI28" s="457"/>
    </row>
    <row r="29" spans="2:35" x14ac:dyDescent="0.25">
      <c r="B29" s="219" t="s">
        <v>197</v>
      </c>
      <c r="C29" s="220"/>
      <c r="D29" s="431">
        <f>'Earnings Model'!L37</f>
        <v>601.29</v>
      </c>
      <c r="F29" s="456">
        <v>382.08161880688903</v>
      </c>
      <c r="G29" s="456">
        <v>406.90105784050496</v>
      </c>
      <c r="H29" s="456">
        <v>333.40345355229306</v>
      </c>
      <c r="I29" s="456">
        <v>104.5223994386532</v>
      </c>
      <c r="J29" s="456">
        <v>296.75378612765422</v>
      </c>
      <c r="K29" s="456">
        <v>331.70326546571152</v>
      </c>
      <c r="L29" s="456">
        <v>267.53575970596648</v>
      </c>
      <c r="M29" s="456">
        <v>336.89952224596658</v>
      </c>
      <c r="N29" s="456">
        <v>351.31699193676394</v>
      </c>
      <c r="O29" s="456">
        <v>298.93995260123546</v>
      </c>
      <c r="P29" s="456">
        <v>388.99131205084512</v>
      </c>
      <c r="Q29" s="456">
        <v>341.7202690839103</v>
      </c>
      <c r="R29" s="456">
        <v>331.77944237456694</v>
      </c>
      <c r="S29" s="456">
        <v>343.94509434036706</v>
      </c>
      <c r="T29" s="456">
        <v>294.74749098192495</v>
      </c>
      <c r="U29" s="456">
        <v>322.87268706758812</v>
      </c>
      <c r="V29" s="456">
        <v>-178.59230127399897</v>
      </c>
      <c r="W29" s="456">
        <v>353.43715058879309</v>
      </c>
      <c r="X29" s="456">
        <v>311.15223473661098</v>
      </c>
      <c r="Y29" s="456">
        <v>399.94616243830859</v>
      </c>
      <c r="Z29" s="456">
        <v>265.04812338363519</v>
      </c>
      <c r="AA29" s="456">
        <v>418.66595907904548</v>
      </c>
      <c r="AB29" s="456">
        <v>346.71825374775324</v>
      </c>
      <c r="AC29" s="456">
        <v>406.08156221460143</v>
      </c>
      <c r="AD29" s="456">
        <v>323.37185693832447</v>
      </c>
      <c r="AE29" s="456">
        <v>350.83263868714192</v>
      </c>
      <c r="AG29" s="456">
        <f t="shared" si="0"/>
        <v>312.72214400619447</v>
      </c>
      <c r="AI29" s="456">
        <v>359.8</v>
      </c>
    </row>
    <row r="30" spans="2:35" x14ac:dyDescent="0.25">
      <c r="B30" s="562" t="s">
        <v>0</v>
      </c>
      <c r="C30" s="563"/>
      <c r="D30" s="106">
        <f>'Earnings Model'!L38</f>
        <v>1167.3874645009873</v>
      </c>
      <c r="F30" s="448">
        <v>1167.5263533898762</v>
      </c>
      <c r="G30" s="448">
        <v>1167.3874645009873</v>
      </c>
      <c r="H30" s="448">
        <v>1167.3874645009873</v>
      </c>
      <c r="I30" s="448">
        <v>1167.3874645009873</v>
      </c>
      <c r="J30" s="448">
        <v>1167.3874645009873</v>
      </c>
      <c r="K30" s="448">
        <v>1167.5263533898762</v>
      </c>
      <c r="L30" s="448">
        <v>1167.3874645009873</v>
      </c>
      <c r="M30" s="448">
        <v>1167.3874645009873</v>
      </c>
      <c r="N30" s="448">
        <v>1167.5263533898762</v>
      </c>
      <c r="O30" s="448">
        <v>1167.3874645009873</v>
      </c>
      <c r="P30" s="448">
        <v>1167.3874645009873</v>
      </c>
      <c r="Q30" s="448">
        <v>1167.3874645009873</v>
      </c>
      <c r="R30" s="448">
        <v>1168.1513533898762</v>
      </c>
      <c r="S30" s="448">
        <v>1167.3874645009873</v>
      </c>
      <c r="T30" s="448">
        <v>1167.3874645009873</v>
      </c>
      <c r="U30" s="448">
        <v>1167.494302107825</v>
      </c>
      <c r="V30" s="448">
        <v>1167.5263533898762</v>
      </c>
      <c r="W30" s="448">
        <v>1167.3874645009873</v>
      </c>
      <c r="X30" s="448">
        <v>1167.6527578842583</v>
      </c>
      <c r="Y30" s="448">
        <v>1167.5263533898762</v>
      </c>
      <c r="Z30" s="448">
        <v>1167.3874645009873</v>
      </c>
      <c r="AA30" s="448">
        <v>1167.3874645009873</v>
      </c>
      <c r="AB30" s="448">
        <v>1166.1096867232095</v>
      </c>
      <c r="AC30" s="448">
        <v>1165.2469416251704</v>
      </c>
      <c r="AD30" s="448">
        <v>1167.5263533898762</v>
      </c>
      <c r="AE30" s="448">
        <v>1167.3874645009873</v>
      </c>
      <c r="AG30" s="448">
        <f t="shared" si="0"/>
        <v>1167.3317357532464</v>
      </c>
      <c r="AI30" s="448"/>
    </row>
    <row r="31" spans="2:35" x14ac:dyDescent="0.25">
      <c r="B31" s="562" t="s">
        <v>1</v>
      </c>
      <c r="C31" s="563"/>
      <c r="D31" s="106">
        <f>'Earnings Model'!L39</f>
        <v>1179</v>
      </c>
      <c r="F31" s="448">
        <v>1164.5681225650246</v>
      </c>
      <c r="G31" s="448">
        <v>1164.4292336761357</v>
      </c>
      <c r="H31" s="448">
        <v>1164.4292336761357</v>
      </c>
      <c r="I31" s="448">
        <v>1164.4292336761357</v>
      </c>
      <c r="J31" s="448">
        <v>1164.4292336761357</v>
      </c>
      <c r="K31" s="448">
        <v>1164.5681225650246</v>
      </c>
      <c r="L31" s="448">
        <v>1164.4292336761357</v>
      </c>
      <c r="M31" s="448">
        <v>1164.4292336761357</v>
      </c>
      <c r="N31" s="448">
        <v>1164.5681225650246</v>
      </c>
      <c r="O31" s="448">
        <v>1164.4292336761357</v>
      </c>
      <c r="P31" s="448">
        <v>1164.4292336761357</v>
      </c>
      <c r="Q31" s="448">
        <v>1164.4292336761357</v>
      </c>
      <c r="R31" s="448">
        <v>1165.1931225650246</v>
      </c>
      <c r="S31" s="448">
        <v>1164.4292336761357</v>
      </c>
      <c r="T31" s="448">
        <v>1164.4292336761357</v>
      </c>
      <c r="U31" s="448">
        <v>1164.5360712829734</v>
      </c>
      <c r="V31" s="448">
        <v>1164.5681225650246</v>
      </c>
      <c r="W31" s="448">
        <v>1164.4292336761357</v>
      </c>
      <c r="X31" s="448">
        <v>1164.6945270594067</v>
      </c>
      <c r="Y31" s="448">
        <v>1164.5681225650246</v>
      </c>
      <c r="Z31" s="448">
        <v>1165.8181225650246</v>
      </c>
      <c r="AA31" s="448">
        <v>1164.4292336761357</v>
      </c>
      <c r="AB31" s="448">
        <v>1163.1514558983579</v>
      </c>
      <c r="AC31" s="448">
        <v>1162.2887108003188</v>
      </c>
      <c r="AD31" s="448">
        <v>1164.5681225650246</v>
      </c>
      <c r="AE31" s="448">
        <v>1164.4292336761357</v>
      </c>
      <c r="AG31" s="448">
        <f t="shared" si="0"/>
        <v>1164.426923731814</v>
      </c>
      <c r="AI31" s="448"/>
    </row>
    <row r="32" spans="2:35" x14ac:dyDescent="0.25">
      <c r="B32" s="552" t="s">
        <v>44</v>
      </c>
      <c r="C32" s="553"/>
      <c r="D32" s="427">
        <f>'Earnings Model'!L40</f>
        <v>0.3363065065700544</v>
      </c>
      <c r="F32" s="453">
        <v>0.20710591936946474</v>
      </c>
      <c r="G32" s="453">
        <v>0.22839122908902823</v>
      </c>
      <c r="H32" s="453">
        <v>0.15744854141539188</v>
      </c>
      <c r="I32" s="453">
        <v>-3.0630447600901545E-2</v>
      </c>
      <c r="J32" s="453">
        <v>0.13427742792720523</v>
      </c>
      <c r="K32" s="453">
        <v>0.16454726260175337</v>
      </c>
      <c r="L32" s="453">
        <v>9.8912006705167879E-2</v>
      </c>
      <c r="M32" s="453">
        <v>0.16842696039229241</v>
      </c>
      <c r="N32" s="453">
        <v>0.18075565602782714</v>
      </c>
      <c r="O32" s="453">
        <v>0.13611586335575301</v>
      </c>
      <c r="P32" s="453">
        <v>0.21304949694415248</v>
      </c>
      <c r="Q32" s="453">
        <v>0.17276206505277206</v>
      </c>
      <c r="R32" s="453">
        <v>0.1641734539090669</v>
      </c>
      <c r="S32" s="453">
        <v>0.17466788066593505</v>
      </c>
      <c r="T32" s="453">
        <v>0.13252454363817953</v>
      </c>
      <c r="U32" s="453">
        <v>0.15660263757818527</v>
      </c>
      <c r="V32" s="453">
        <v>-0.27311786183512116</v>
      </c>
      <c r="W32" s="453">
        <v>0.18283316985935694</v>
      </c>
      <c r="X32" s="453">
        <v>0.146338227339286</v>
      </c>
      <c r="Y32" s="453">
        <v>0.22240711028438534</v>
      </c>
      <c r="Z32" s="453">
        <v>0.10687807362825222</v>
      </c>
      <c r="AA32" s="453">
        <v>0.23867479097708758</v>
      </c>
      <c r="AB32" s="453">
        <v>0.1770315915373695</v>
      </c>
      <c r="AC32" s="453">
        <v>0.22810749611913828</v>
      </c>
      <c r="AD32" s="453">
        <v>0.15682032050644756</v>
      </c>
      <c r="AE32" s="453">
        <v>0.1803622576820669</v>
      </c>
      <c r="AG32" s="453">
        <f t="shared" si="0"/>
        <v>0.14713329512190551</v>
      </c>
      <c r="AI32" s="453"/>
    </row>
    <row r="33" spans="2:35" x14ac:dyDescent="0.25">
      <c r="B33" s="552" t="s">
        <v>45</v>
      </c>
      <c r="C33" s="553"/>
      <c r="D33" s="428">
        <f>'Earnings Model'!L41</f>
        <v>0.3329940627650555</v>
      </c>
      <c r="F33" s="453">
        <v>0.20763200891529446</v>
      </c>
      <c r="G33" s="453">
        <v>0.22897145668421143</v>
      </c>
      <c r="H33" s="453">
        <v>0.15784853921265818</v>
      </c>
      <c r="I33" s="453">
        <v>-3.0708264209804367E-2</v>
      </c>
      <c r="J33" s="453">
        <v>0.13461855954335508</v>
      </c>
      <c r="K33" s="453">
        <v>0.16496524483477321</v>
      </c>
      <c r="L33" s="453">
        <v>9.9163292518612625E-2</v>
      </c>
      <c r="M33" s="453">
        <v>0.16885484884747623</v>
      </c>
      <c r="N33" s="453">
        <v>0.18121481075056681</v>
      </c>
      <c r="O33" s="453">
        <v>0.13646166551451458</v>
      </c>
      <c r="P33" s="453">
        <v>0.21359074889047266</v>
      </c>
      <c r="Q33" s="453">
        <v>0.17320096683522787</v>
      </c>
      <c r="R33" s="453">
        <v>0.16459026290198905</v>
      </c>
      <c r="S33" s="453">
        <v>0.17511162417026654</v>
      </c>
      <c r="T33" s="453">
        <v>0.13286122205426684</v>
      </c>
      <c r="U33" s="453">
        <v>0.15700044985825184</v>
      </c>
      <c r="V33" s="453">
        <v>-0.27381163462697694</v>
      </c>
      <c r="W33" s="453">
        <v>0.18329765726936104</v>
      </c>
      <c r="X33" s="453">
        <v>0.14670991471731654</v>
      </c>
      <c r="Y33" s="453">
        <v>0.22297206784810458</v>
      </c>
      <c r="Z33" s="453">
        <v>0.10702194533493893</v>
      </c>
      <c r="AA33" s="453">
        <v>0.23928114394673469</v>
      </c>
      <c r="AB33" s="453">
        <v>0.17748183411618645</v>
      </c>
      <c r="AC33" s="453">
        <v>0.22868807013670289</v>
      </c>
      <c r="AD33" s="453">
        <v>0.15721867479512885</v>
      </c>
      <c r="AE33" s="453">
        <v>0.18082046774317168</v>
      </c>
      <c r="AG33" s="453">
        <f t="shared" si="0"/>
        <v>0.14750221456164619</v>
      </c>
      <c r="AI33" s="453"/>
    </row>
    <row r="34" spans="2:35" x14ac:dyDescent="0.25">
      <c r="B34" s="227" t="s">
        <v>198</v>
      </c>
      <c r="C34" s="254"/>
      <c r="D34" s="433">
        <f>'Earnings Model'!L42</f>
        <v>0.51</v>
      </c>
      <c r="F34" s="451">
        <v>0.32808868060490398</v>
      </c>
      <c r="G34" s="451">
        <v>0.34944249600802868</v>
      </c>
      <c r="H34" s="451">
        <v>0.28632349988305345</v>
      </c>
      <c r="I34" s="451">
        <v>8.9762775114012774E-2</v>
      </c>
      <c r="J34" s="451">
        <v>0.25484913771083728</v>
      </c>
      <c r="K34" s="451">
        <v>0.28482942220255614</v>
      </c>
      <c r="L34" s="451">
        <v>0.22975699335660665</v>
      </c>
      <c r="M34" s="451">
        <v>0.28932588817129345</v>
      </c>
      <c r="N34" s="451">
        <v>0.30167148244017633</v>
      </c>
      <c r="O34" s="451">
        <v>0.25672659527575897</v>
      </c>
      <c r="P34" s="451">
        <v>0.33406178821428989</v>
      </c>
      <c r="Q34" s="451">
        <v>0.29346589659647226</v>
      </c>
      <c r="R34" s="451">
        <v>0.28474201911198777</v>
      </c>
      <c r="S34" s="451">
        <v>0.29537655393151097</v>
      </c>
      <c r="T34" s="451">
        <v>0.25312615181551124</v>
      </c>
      <c r="U34" s="451">
        <v>0.27725434619803419</v>
      </c>
      <c r="V34" s="451">
        <v>-0.15335496293736747</v>
      </c>
      <c r="W34" s="451">
        <v>0.30352823543684326</v>
      </c>
      <c r="X34" s="451">
        <v>0.26715351322393588</v>
      </c>
      <c r="Y34" s="451">
        <v>0.34342873953771413</v>
      </c>
      <c r="Z34" s="451">
        <v>0.22734946236766179</v>
      </c>
      <c r="AA34" s="451">
        <v>0.35954607370797909</v>
      </c>
      <c r="AB34" s="451">
        <v>0.29808521666678911</v>
      </c>
      <c r="AC34" s="451">
        <v>0.34938097431488024</v>
      </c>
      <c r="AD34" s="451">
        <v>0.27767534648473835</v>
      </c>
      <c r="AE34" s="451">
        <v>0.30129150706698893</v>
      </c>
      <c r="AG34" s="451">
        <f t="shared" si="0"/>
        <v>0.26857260894250756</v>
      </c>
      <c r="AI34" s="451">
        <v>0.31</v>
      </c>
    </row>
    <row r="35" spans="2:35" x14ac:dyDescent="0.25">
      <c r="B35" s="350" t="s">
        <v>150</v>
      </c>
      <c r="C35" s="351"/>
      <c r="D35" s="429">
        <f>'Earnings Model'!L43</f>
        <v>0.45100000000000001</v>
      </c>
      <c r="F35" s="416">
        <v>0.45100000000000001</v>
      </c>
      <c r="G35" s="416">
        <v>0.45100000000000001</v>
      </c>
      <c r="H35" s="416">
        <v>0.43049999999999999</v>
      </c>
      <c r="I35" s="416">
        <v>0.45100000000000001</v>
      </c>
      <c r="J35" s="416">
        <v>0.43869999999999998</v>
      </c>
      <c r="K35" s="416">
        <v>0.45100000000000001</v>
      </c>
      <c r="L35" s="416">
        <v>0.45100000000000001</v>
      </c>
      <c r="M35" s="416">
        <v>0.45100000000000001</v>
      </c>
      <c r="N35" s="416">
        <v>0.45100000000000001</v>
      </c>
      <c r="O35" s="416">
        <v>0.43869999999999998</v>
      </c>
      <c r="P35" s="416">
        <v>0.45100000000000001</v>
      </c>
      <c r="Q35" s="416">
        <v>0.43869999999999998</v>
      </c>
      <c r="R35" s="416">
        <v>0.45100000000000001</v>
      </c>
      <c r="S35" s="416">
        <v>0.45100000000000001</v>
      </c>
      <c r="T35" s="416">
        <v>0.43869999999999998</v>
      </c>
      <c r="U35" s="416">
        <v>0.43869999999999998</v>
      </c>
      <c r="V35" s="416">
        <v>0.45100000000000001</v>
      </c>
      <c r="W35" s="416">
        <v>0.45100000000000001</v>
      </c>
      <c r="X35" s="416">
        <v>0.41</v>
      </c>
      <c r="Y35" s="416">
        <v>0.45100000000000001</v>
      </c>
      <c r="Z35" s="416">
        <v>0.45100000000000001</v>
      </c>
      <c r="AA35" s="416">
        <v>0.43869999999999998</v>
      </c>
      <c r="AB35" s="416">
        <v>0.43869999999999998</v>
      </c>
      <c r="AC35" s="416">
        <v>0.45100000000000001</v>
      </c>
      <c r="AD35" s="416">
        <v>0.45100000000000001</v>
      </c>
      <c r="AE35" s="416">
        <v>0.45100000000000001</v>
      </c>
      <c r="AG35" s="416">
        <f t="shared" si="0"/>
        <v>0.44532307692307699</v>
      </c>
      <c r="AI35" s="416"/>
    </row>
    <row r="37" spans="2:35" x14ac:dyDescent="0.25">
      <c r="C37" s="445"/>
      <c r="D37" s="444" t="s">
        <v>324</v>
      </c>
      <c r="E37" s="447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G37" s="434"/>
      <c r="AI37" s="434"/>
    </row>
    <row r="38" spans="2:35" x14ac:dyDescent="0.25">
      <c r="C38" s="443"/>
      <c r="D38" s="441" t="s">
        <v>325</v>
      </c>
      <c r="E38" s="447"/>
      <c r="F38" s="448">
        <f>ABS($D8-F8)</f>
        <v>174.69500000000062</v>
      </c>
      <c r="G38" s="448">
        <f t="shared" ref="G38:AE38" si="1">ABS($D8-G8)</f>
        <v>193.4947000000011</v>
      </c>
      <c r="H38" s="448">
        <f t="shared" si="1"/>
        <v>351.64367998534362</v>
      </c>
      <c r="I38" s="448">
        <f t="shared" si="1"/>
        <v>226.35866318638182</v>
      </c>
      <c r="J38" s="448">
        <f t="shared" si="1"/>
        <v>96.779225130710074</v>
      </c>
      <c r="K38" s="448">
        <f t="shared" si="1"/>
        <v>167.42901331867688</v>
      </c>
      <c r="L38" s="448">
        <f t="shared" si="1"/>
        <v>428.49092583907168</v>
      </c>
      <c r="M38" s="448">
        <f t="shared" si="1"/>
        <v>200.10000000000127</v>
      </c>
      <c r="N38" s="448">
        <f t="shared" si="1"/>
        <v>76.256392163170858</v>
      </c>
      <c r="O38" s="448">
        <f t="shared" si="1"/>
        <v>342.34151541449864</v>
      </c>
      <c r="P38" s="448">
        <f t="shared" si="1"/>
        <v>102.31906671703018</v>
      </c>
      <c r="Q38" s="448">
        <f t="shared" si="1"/>
        <v>60.726587279886189</v>
      </c>
      <c r="R38" s="448">
        <f t="shared" si="1"/>
        <v>142.36484839939112</v>
      </c>
      <c r="S38" s="448">
        <f t="shared" si="1"/>
        <v>60.01825394655225</v>
      </c>
      <c r="T38" s="448">
        <f t="shared" si="1"/>
        <v>89.107513318676865</v>
      </c>
      <c r="U38" s="448">
        <f t="shared" si="1"/>
        <v>181.90836750792369</v>
      </c>
      <c r="V38" s="448">
        <f t="shared" si="1"/>
        <v>201.98750000000109</v>
      </c>
      <c r="W38" s="448">
        <f t="shared" si="1"/>
        <v>152.80474282704836</v>
      </c>
      <c r="X38" s="448">
        <f t="shared" si="1"/>
        <v>424.68359312512621</v>
      </c>
      <c r="Y38" s="448">
        <f t="shared" si="1"/>
        <v>30.101384872100425</v>
      </c>
      <c r="Z38" s="448">
        <f t="shared" si="1"/>
        <v>194.87438155156087</v>
      </c>
      <c r="AA38" s="448">
        <f t="shared" si="1"/>
        <v>3.6861838927925419</v>
      </c>
      <c r="AB38" s="448">
        <f t="shared" si="1"/>
        <v>165.50638450630413</v>
      </c>
      <c r="AC38" s="448">
        <f t="shared" si="1"/>
        <v>435.12720526060093</v>
      </c>
      <c r="AD38" s="448">
        <f t="shared" si="1"/>
        <v>303.01080534984794</v>
      </c>
      <c r="AE38" s="448">
        <f t="shared" si="1"/>
        <v>81.535761603418905</v>
      </c>
      <c r="AF38" s="462"/>
      <c r="AG38" s="448">
        <f t="shared" ref="AG38" si="2">ABS($D8-AG8)</f>
        <v>121.54290126910564</v>
      </c>
      <c r="AH38" s="462"/>
      <c r="AI38" s="448">
        <f t="shared" ref="AI38" si="3">ABS($D8-AI8)</f>
        <v>148.30000000000018</v>
      </c>
    </row>
    <row r="39" spans="2:35" x14ac:dyDescent="0.25">
      <c r="C39" s="436"/>
      <c r="D39" s="440" t="s">
        <v>331</v>
      </c>
      <c r="E39" s="447"/>
      <c r="F39" s="448">
        <f>ABS($D19-F19)</f>
        <v>187.72667072333093</v>
      </c>
      <c r="G39" s="448">
        <f t="shared" ref="G39:AE39" si="4">ABS($D19-G19)</f>
        <v>154.63408534517635</v>
      </c>
      <c r="H39" s="448">
        <f t="shared" si="4"/>
        <v>265.09755772945891</v>
      </c>
      <c r="I39" s="448">
        <f t="shared" si="4"/>
        <v>557.80562988097859</v>
      </c>
      <c r="J39" s="448">
        <f t="shared" si="4"/>
        <v>301.16378096231063</v>
      </c>
      <c r="K39" s="448">
        <f t="shared" si="4"/>
        <v>257.29590885980997</v>
      </c>
      <c r="L39" s="448">
        <f t="shared" si="4"/>
        <v>359.42327638036494</v>
      </c>
      <c r="M39" s="448">
        <f t="shared" si="4"/>
        <v>247.96946613789419</v>
      </c>
      <c r="N39" s="448">
        <f t="shared" si="4"/>
        <v>228.74617321683104</v>
      </c>
      <c r="O39" s="448">
        <f t="shared" si="4"/>
        <v>298.30646319835319</v>
      </c>
      <c r="P39" s="448">
        <f t="shared" si="4"/>
        <v>178.51374639805613</v>
      </c>
      <c r="Q39" s="448">
        <f t="shared" si="4"/>
        <v>241.22180368730255</v>
      </c>
      <c r="R39" s="448">
        <f t="shared" si="4"/>
        <v>260.12798002794523</v>
      </c>
      <c r="S39" s="448">
        <f t="shared" si="4"/>
        <v>241.12347036026927</v>
      </c>
      <c r="T39" s="448">
        <f t="shared" si="4"/>
        <v>303.85217448994968</v>
      </c>
      <c r="U39" s="448">
        <f t="shared" si="4"/>
        <v>265.94419920924315</v>
      </c>
      <c r="V39" s="448">
        <f t="shared" si="4"/>
        <v>935.29189749784814</v>
      </c>
      <c r="W39" s="448">
        <f t="shared" si="4"/>
        <v>222.76216659615864</v>
      </c>
      <c r="X39" s="448">
        <f t="shared" si="4"/>
        <v>282.29918281703499</v>
      </c>
      <c r="Y39" s="448">
        <f t="shared" si="4"/>
        <v>163.90727921477151</v>
      </c>
      <c r="Z39" s="448">
        <f t="shared" si="4"/>
        <v>343.77133128766928</v>
      </c>
      <c r="AA39" s="448">
        <f t="shared" si="4"/>
        <v>152.86349697989385</v>
      </c>
      <c r="AB39" s="448">
        <f t="shared" si="4"/>
        <v>227.37414363331095</v>
      </c>
      <c r="AC39" s="448">
        <f t="shared" si="4"/>
        <v>155.72674617971438</v>
      </c>
      <c r="AD39" s="448">
        <f t="shared" si="4"/>
        <v>266.00635321475033</v>
      </c>
      <c r="AE39" s="448">
        <f t="shared" si="4"/>
        <v>229.3919775496604</v>
      </c>
      <c r="AF39" s="462"/>
      <c r="AG39" s="448">
        <f t="shared" ref="AG39" si="5">ABS($D19-AG19)</f>
        <v>281.85949852223416</v>
      </c>
      <c r="AH39" s="462"/>
      <c r="AI39" s="448">
        <f t="shared" ref="AI39" si="6">ABS($D19-AI19)</f>
        <v>216.90000000000043</v>
      </c>
    </row>
    <row r="40" spans="2:35" x14ac:dyDescent="0.25">
      <c r="C40" s="442"/>
      <c r="D40" s="439" t="s">
        <v>332</v>
      </c>
      <c r="E40" s="447"/>
      <c r="F40" s="448">
        <f>ABS($D29-F29)</f>
        <v>219.20838119311094</v>
      </c>
      <c r="G40" s="448">
        <f>ABS($D29-G29)</f>
        <v>194.388942159495</v>
      </c>
      <c r="H40" s="448">
        <f t="shared" ref="H40:AE40" si="7">ABS($D29-H29)</f>
        <v>267.88654644770691</v>
      </c>
      <c r="I40" s="448">
        <f t="shared" si="7"/>
        <v>496.76760056134674</v>
      </c>
      <c r="J40" s="448">
        <f t="shared" si="7"/>
        <v>304.53621387234574</v>
      </c>
      <c r="K40" s="448">
        <f t="shared" si="7"/>
        <v>269.58673453428844</v>
      </c>
      <c r="L40" s="448">
        <f t="shared" si="7"/>
        <v>333.75424029403348</v>
      </c>
      <c r="M40" s="448">
        <f t="shared" si="7"/>
        <v>264.39047775403338</v>
      </c>
      <c r="N40" s="448">
        <f t="shared" si="7"/>
        <v>249.97300806323602</v>
      </c>
      <c r="O40" s="448">
        <f t="shared" si="7"/>
        <v>302.3500473987645</v>
      </c>
      <c r="P40" s="448">
        <f t="shared" si="7"/>
        <v>212.29868794915484</v>
      </c>
      <c r="Q40" s="448">
        <f t="shared" si="7"/>
        <v>259.56973091608967</v>
      </c>
      <c r="R40" s="448">
        <f t="shared" si="7"/>
        <v>269.51055762543302</v>
      </c>
      <c r="S40" s="448">
        <f t="shared" si="7"/>
        <v>257.3449056596329</v>
      </c>
      <c r="T40" s="448">
        <f t="shared" si="7"/>
        <v>306.54250901807501</v>
      </c>
      <c r="U40" s="448">
        <f t="shared" si="7"/>
        <v>278.41731293241185</v>
      </c>
      <c r="V40" s="448">
        <f t="shared" si="7"/>
        <v>779.88230127399891</v>
      </c>
      <c r="W40" s="448">
        <f t="shared" si="7"/>
        <v>247.85284941120688</v>
      </c>
      <c r="X40" s="448">
        <f t="shared" si="7"/>
        <v>290.13776526338899</v>
      </c>
      <c r="Y40" s="448">
        <f t="shared" si="7"/>
        <v>201.34383756169137</v>
      </c>
      <c r="Z40" s="448">
        <f t="shared" si="7"/>
        <v>336.24187661636478</v>
      </c>
      <c r="AA40" s="448">
        <f>ABS($D29-AA29)</f>
        <v>182.62404092095449</v>
      </c>
      <c r="AB40" s="448">
        <f t="shared" si="7"/>
        <v>254.57174625224673</v>
      </c>
      <c r="AC40" s="448">
        <f t="shared" si="7"/>
        <v>195.20843778539853</v>
      </c>
      <c r="AD40" s="448">
        <f t="shared" si="7"/>
        <v>277.91814306167549</v>
      </c>
      <c r="AE40" s="448">
        <f t="shared" si="7"/>
        <v>250.45736131285804</v>
      </c>
      <c r="AF40" s="462"/>
      <c r="AG40" s="448">
        <f t="shared" ref="AG40" si="8">ABS($D29-AG29)</f>
        <v>288.56785599380549</v>
      </c>
      <c r="AH40" s="462"/>
      <c r="AI40" s="448">
        <f t="shared" ref="AI40" si="9">ABS($D29-AI29)</f>
        <v>241.48999999999995</v>
      </c>
    </row>
    <row r="41" spans="2:35" x14ac:dyDescent="0.25">
      <c r="C41" s="438"/>
      <c r="D41" s="437" t="s">
        <v>326</v>
      </c>
      <c r="E41" s="447"/>
      <c r="F41" s="463">
        <f>SUM(F38:F40)</f>
        <v>581.63005191644243</v>
      </c>
      <c r="G41" s="463">
        <f>SUM(G38:G40)</f>
        <v>542.51772750467239</v>
      </c>
      <c r="H41" s="463">
        <f t="shared" ref="H41:AE41" si="10">SUM(H38:H40)</f>
        <v>884.62778416250944</v>
      </c>
      <c r="I41" s="463">
        <f t="shared" si="10"/>
        <v>1280.9318936287073</v>
      </c>
      <c r="J41" s="463">
        <f t="shared" si="10"/>
        <v>702.47921996536638</v>
      </c>
      <c r="K41" s="463">
        <f t="shared" si="10"/>
        <v>694.31165671277529</v>
      </c>
      <c r="L41" s="463">
        <f t="shared" si="10"/>
        <v>1121.6684425134702</v>
      </c>
      <c r="M41" s="463">
        <f t="shared" si="10"/>
        <v>712.45994389192879</v>
      </c>
      <c r="N41" s="463">
        <f t="shared" si="10"/>
        <v>554.97557344323786</v>
      </c>
      <c r="O41" s="463">
        <f t="shared" si="10"/>
        <v>942.99802601161628</v>
      </c>
      <c r="P41" s="463">
        <f t="shared" si="10"/>
        <v>493.13150106424115</v>
      </c>
      <c r="Q41" s="463">
        <f t="shared" si="10"/>
        <v>561.51812188327835</v>
      </c>
      <c r="R41" s="463">
        <f t="shared" si="10"/>
        <v>672.00338605276943</v>
      </c>
      <c r="S41" s="463">
        <f t="shared" si="10"/>
        <v>558.48662996645442</v>
      </c>
      <c r="T41" s="463">
        <f t="shared" si="10"/>
        <v>699.50219682670149</v>
      </c>
      <c r="U41" s="463">
        <f t="shared" si="10"/>
        <v>726.26987964957868</v>
      </c>
      <c r="V41" s="463">
        <f t="shared" si="10"/>
        <v>1917.161698771848</v>
      </c>
      <c r="W41" s="463">
        <f t="shared" si="10"/>
        <v>623.41975883441387</v>
      </c>
      <c r="X41" s="463">
        <f t="shared" si="10"/>
        <v>997.12054120555013</v>
      </c>
      <c r="Y41" s="463">
        <f t="shared" si="10"/>
        <v>395.3525016485633</v>
      </c>
      <c r="Z41" s="463">
        <f t="shared" si="10"/>
        <v>874.88758945559493</v>
      </c>
      <c r="AA41" s="463">
        <f t="shared" si="10"/>
        <v>339.17372179364088</v>
      </c>
      <c r="AB41" s="463">
        <f t="shared" si="10"/>
        <v>647.45227439186181</v>
      </c>
      <c r="AC41" s="463">
        <f t="shared" si="10"/>
        <v>786.06238922571379</v>
      </c>
      <c r="AD41" s="463">
        <f t="shared" si="10"/>
        <v>846.93530162627371</v>
      </c>
      <c r="AE41" s="463">
        <f t="shared" si="10"/>
        <v>561.38510046593728</v>
      </c>
      <c r="AF41" s="462"/>
      <c r="AG41" s="463">
        <f t="shared" ref="AG41" si="11">SUM(AG38:AG40)</f>
        <v>691.97025578514535</v>
      </c>
      <c r="AH41" s="462"/>
      <c r="AI41" s="463">
        <f t="shared" ref="AI41" si="12">SUM(AI38:AI40)</f>
        <v>606.69000000000051</v>
      </c>
    </row>
    <row r="42" spans="2:35" x14ac:dyDescent="0.25"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124"/>
      <c r="AB42" s="464"/>
      <c r="AC42" s="464"/>
      <c r="AD42" s="464"/>
      <c r="AE42" s="464"/>
    </row>
  </sheetData>
  <mergeCells count="15">
    <mergeCell ref="B31:C31"/>
    <mergeCell ref="B32:C32"/>
    <mergeCell ref="B33:C33"/>
    <mergeCell ref="B9:C9"/>
    <mergeCell ref="B16:C16"/>
    <mergeCell ref="B23:C23"/>
    <mergeCell ref="B24:C24"/>
    <mergeCell ref="B25:C25"/>
    <mergeCell ref="B30:C30"/>
    <mergeCell ref="B8:C8"/>
    <mergeCell ref="B3:C3"/>
    <mergeCell ref="B4:C4"/>
    <mergeCell ref="B5:C5"/>
    <mergeCell ref="B6:C6"/>
    <mergeCell ref="B7:C7"/>
  </mergeCells>
  <conditionalFormatting sqref="F38:AE38">
    <cfRule type="top10" dxfId="3" priority="16" bottom="1" rank="1"/>
  </conditionalFormatting>
  <conditionalFormatting sqref="F39:AE39">
    <cfRule type="top10" dxfId="2" priority="15" bottom="1" rank="1"/>
  </conditionalFormatting>
  <conditionalFormatting sqref="F40:AE40">
    <cfRule type="top10" dxfId="1" priority="14" bottom="1" rank="1"/>
  </conditionalFormatting>
  <conditionalFormatting sqref="F41:AE41">
    <cfRule type="top10" dxfId="0" priority="13" bottom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Earnings Model</vt:lpstr>
      <vt:lpstr>Recon of ASRs</vt:lpstr>
      <vt:lpstr>Charts</vt:lpstr>
      <vt:lpstr>Std Dev</vt:lpstr>
      <vt:lpstr>Class</vt:lpstr>
      <vt:lpstr>'Earnings Model'!Print_Area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John Moschella</cp:lastModifiedBy>
  <cp:lastPrinted>2015-01-03T01:11:29Z</cp:lastPrinted>
  <dcterms:created xsi:type="dcterms:W3CDTF">2014-10-18T18:34:10Z</dcterms:created>
  <dcterms:modified xsi:type="dcterms:W3CDTF">2021-10-23T15:07:13Z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