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mc:AlternateContent xmlns:mc="http://schemas.openxmlformats.org/markup-compatibility/2006">
    <mc:Choice Requires="x15">
      <x15ac:absPath xmlns:x15ac="http://schemas.microsoft.com/office/spreadsheetml/2010/11/ac" url="C:\Users\Admin\Documents\Articles (2-15-2016)\ADBE\"/>
    </mc:Choice>
  </mc:AlternateContent>
  <bookViews>
    <workbookView xWindow="0" yWindow="0" windowWidth="23040" windowHeight="9672"/>
  </bookViews>
  <sheets>
    <sheet name="Earnings Model" sheetId="3" r:id="rId1"/>
  </sheets>
  <externalReferences>
    <externalReference r:id="rId2"/>
  </externalReferences>
  <definedNames>
    <definedName name="DATA">'[1]Estimates by Analyst'!$B$6:$M$50</definedName>
    <definedName name="_xlnm.Print_Area" localSheetId="0">'Earnings Model'!$A$1:$W$225</definedName>
  </definedNames>
  <calcPr calcId="162913"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P48" i="3" l="1"/>
  <c r="Q48" i="3"/>
  <c r="P52" i="3"/>
  <c r="Q52" i="3"/>
  <c r="P59" i="3"/>
  <c r="Q59" i="3"/>
  <c r="Q63" i="3"/>
  <c r="Q14" i="3"/>
  <c r="Q23" i="3"/>
  <c r="Q22" i="3"/>
  <c r="Q24" i="3"/>
  <c r="M25" i="3"/>
  <c r="O68" i="3"/>
  <c r="P68" i="3"/>
  <c r="Q68" i="3"/>
  <c r="Q25" i="3"/>
  <c r="M26" i="3"/>
  <c r="O69" i="3"/>
  <c r="P69" i="3"/>
  <c r="Q69" i="3"/>
  <c r="Q26" i="3"/>
  <c r="Q27" i="3"/>
  <c r="Q57" i="3"/>
  <c r="Q50" i="3"/>
  <c r="Q61" i="3"/>
  <c r="Q18" i="3"/>
  <c r="Q19" i="3"/>
  <c r="O82" i="3"/>
  <c r="N82" i="3"/>
  <c r="N14" i="3"/>
  <c r="N83" i="3"/>
  <c r="P83" i="3"/>
  <c r="P63" i="3"/>
  <c r="P14" i="3"/>
  <c r="P82" i="3"/>
  <c r="P80" i="3"/>
  <c r="Q83" i="3"/>
  <c r="Q82" i="3"/>
  <c r="Q80" i="3"/>
  <c r="O86" i="3"/>
  <c r="N86" i="3"/>
  <c r="P86" i="3"/>
  <c r="P84" i="3"/>
  <c r="Q86" i="3"/>
  <c r="Q84" i="3"/>
  <c r="Q20" i="3"/>
  <c r="Q21" i="3"/>
  <c r="P81" i="3"/>
  <c r="Q81" i="3"/>
  <c r="P85" i="3"/>
  <c r="Q85" i="3"/>
  <c r="P87" i="3"/>
  <c r="Q87" i="3"/>
  <c r="O88" i="3"/>
  <c r="P88" i="3"/>
  <c r="Q88" i="3"/>
  <c r="Q29" i="3"/>
  <c r="Q30" i="3"/>
  <c r="Q28" i="3"/>
  <c r="M32" i="3"/>
  <c r="O70" i="3"/>
  <c r="P70" i="3"/>
  <c r="Q70" i="3"/>
  <c r="Q32" i="3"/>
  <c r="O14" i="3"/>
  <c r="O71" i="3"/>
  <c r="P71" i="3"/>
  <c r="Q71" i="3"/>
  <c r="Q31" i="3"/>
  <c r="M33" i="3"/>
  <c r="O72" i="3"/>
  <c r="P72" i="3"/>
  <c r="Q72" i="3"/>
  <c r="Q33" i="3"/>
  <c r="Q34" i="3"/>
  <c r="Q35" i="3"/>
  <c r="P89" i="3"/>
  <c r="Q89" i="3"/>
  <c r="O91" i="3"/>
  <c r="Q91" i="3"/>
  <c r="Q90" i="3"/>
  <c r="Q37" i="3"/>
  <c r="Q38" i="3"/>
  <c r="I14" i="3"/>
  <c r="I18" i="3"/>
  <c r="I19" i="3"/>
  <c r="I27" i="3"/>
  <c r="I28" i="3"/>
  <c r="I34" i="3"/>
  <c r="I36" i="3"/>
  <c r="M11" i="3"/>
  <c r="M12" i="3"/>
  <c r="M13" i="3"/>
  <c r="M14" i="3"/>
  <c r="M15" i="3"/>
  <c r="M16" i="3"/>
  <c r="M17" i="3"/>
  <c r="M18" i="3"/>
  <c r="M19" i="3"/>
  <c r="M22" i="3"/>
  <c r="M23" i="3"/>
  <c r="M24" i="3"/>
  <c r="M27" i="3"/>
  <c r="M28" i="3"/>
  <c r="M31" i="3"/>
  <c r="M34" i="3"/>
  <c r="M35" i="3"/>
  <c r="M36" i="3"/>
  <c r="J14" i="3"/>
  <c r="J18" i="3"/>
  <c r="J19" i="3"/>
  <c r="J27" i="3"/>
  <c r="J28" i="3"/>
  <c r="J34" i="3"/>
  <c r="J36" i="3"/>
  <c r="K14" i="3"/>
  <c r="K18" i="3"/>
  <c r="K19" i="3"/>
  <c r="K27" i="3"/>
  <c r="K28" i="3"/>
  <c r="K34" i="3"/>
  <c r="K36" i="3"/>
  <c r="L14" i="3"/>
  <c r="L18" i="3"/>
  <c r="L19" i="3"/>
  <c r="L27" i="3"/>
  <c r="L28" i="3"/>
  <c r="L34" i="3"/>
  <c r="L36" i="3"/>
  <c r="M40" i="3"/>
  <c r="O94" i="3"/>
  <c r="P94" i="3"/>
  <c r="P97" i="3"/>
  <c r="P40" i="3"/>
  <c r="Q94" i="3"/>
  <c r="Q97" i="3"/>
  <c r="Q40" i="3"/>
  <c r="Q43" i="3"/>
  <c r="S48" i="3"/>
  <c r="S52" i="3"/>
  <c r="S59" i="3"/>
  <c r="S63" i="3"/>
  <c r="S14" i="3"/>
  <c r="S23" i="3"/>
  <c r="S22" i="3"/>
  <c r="N67" i="3"/>
  <c r="L67" i="3"/>
  <c r="S67" i="3"/>
  <c r="S24" i="3"/>
  <c r="S68" i="3"/>
  <c r="S25" i="3"/>
  <c r="S69" i="3"/>
  <c r="S26" i="3"/>
  <c r="S27" i="3"/>
  <c r="S57" i="3"/>
  <c r="S50" i="3"/>
  <c r="S61" i="3"/>
  <c r="S18" i="3"/>
  <c r="S19" i="3"/>
  <c r="S83" i="3"/>
  <c r="S82" i="3"/>
  <c r="S80" i="3"/>
  <c r="S86" i="3"/>
  <c r="S84" i="3"/>
  <c r="S20" i="3"/>
  <c r="S21" i="3"/>
  <c r="S81" i="3"/>
  <c r="S85" i="3"/>
  <c r="S87" i="3"/>
  <c r="S88" i="3"/>
  <c r="S29" i="3"/>
  <c r="S30" i="3"/>
  <c r="S28" i="3"/>
  <c r="S70" i="3"/>
  <c r="S32" i="3"/>
  <c r="S71" i="3"/>
  <c r="S31" i="3"/>
  <c r="S72" i="3"/>
  <c r="S33" i="3"/>
  <c r="S34" i="3"/>
  <c r="S35" i="3"/>
  <c r="S89" i="3"/>
  <c r="S91" i="3"/>
  <c r="S90" i="3"/>
  <c r="S37" i="3"/>
  <c r="S38" i="3"/>
  <c r="S94" i="3"/>
  <c r="S97" i="3"/>
  <c r="S40" i="3"/>
  <c r="S43" i="3"/>
  <c r="T52" i="3"/>
  <c r="T57" i="3"/>
  <c r="T48" i="3"/>
  <c r="T50" i="3"/>
  <c r="T59" i="3"/>
  <c r="T61" i="3"/>
  <c r="T18" i="3"/>
  <c r="T63" i="3"/>
  <c r="T14" i="3"/>
  <c r="T19" i="3"/>
  <c r="T83" i="3"/>
  <c r="T82" i="3"/>
  <c r="T80" i="3"/>
  <c r="T86" i="3"/>
  <c r="T84" i="3"/>
  <c r="T20" i="3"/>
  <c r="T21" i="3"/>
  <c r="T22" i="3"/>
  <c r="T23" i="3"/>
  <c r="J67" i="3"/>
  <c r="I67" i="3"/>
  <c r="O67" i="3"/>
  <c r="T67" i="3"/>
  <c r="T24" i="3"/>
  <c r="T68" i="3"/>
  <c r="T25" i="3"/>
  <c r="T69" i="3"/>
  <c r="T26" i="3"/>
  <c r="T27" i="3"/>
  <c r="T81" i="3"/>
  <c r="T85" i="3"/>
  <c r="T87" i="3"/>
  <c r="T88" i="3"/>
  <c r="T29" i="3"/>
  <c r="T30" i="3"/>
  <c r="T28" i="3"/>
  <c r="T70" i="3"/>
  <c r="T32" i="3"/>
  <c r="T71" i="3"/>
  <c r="T31" i="3"/>
  <c r="T72" i="3"/>
  <c r="T33" i="3"/>
  <c r="T34" i="3"/>
  <c r="T35" i="3"/>
  <c r="T89" i="3"/>
  <c r="T91" i="3"/>
  <c r="T90" i="3"/>
  <c r="T37" i="3"/>
  <c r="T38" i="3"/>
  <c r="T94" i="3"/>
  <c r="T97" i="3"/>
  <c r="T40" i="3"/>
  <c r="T43" i="3"/>
  <c r="P50" i="3"/>
  <c r="P57" i="3"/>
  <c r="P61" i="3"/>
  <c r="P18" i="3"/>
  <c r="P19" i="3"/>
  <c r="P20" i="3"/>
  <c r="P21" i="3"/>
  <c r="O65" i="3"/>
  <c r="K65" i="3"/>
  <c r="J65" i="3"/>
  <c r="P65" i="3"/>
  <c r="P22" i="3"/>
  <c r="P23" i="3"/>
  <c r="K67" i="3"/>
  <c r="P67" i="3"/>
  <c r="P24" i="3"/>
  <c r="P25" i="3"/>
  <c r="P26" i="3"/>
  <c r="P27" i="3"/>
  <c r="P29" i="3"/>
  <c r="P30" i="3"/>
  <c r="P31" i="3"/>
  <c r="P32" i="3"/>
  <c r="P33" i="3"/>
  <c r="P28" i="3"/>
  <c r="P34" i="3"/>
  <c r="P35" i="3"/>
  <c r="P90" i="3"/>
  <c r="P37" i="3"/>
  <c r="P38" i="3"/>
  <c r="P43" i="3"/>
  <c r="O191" i="3"/>
  <c r="C198" i="3"/>
  <c r="C199" i="3"/>
  <c r="M39" i="3"/>
  <c r="O93" i="3"/>
  <c r="P93" i="3"/>
  <c r="Q93" i="3"/>
  <c r="S93" i="3"/>
  <c r="T93" i="3"/>
  <c r="U93" i="3"/>
  <c r="V93" i="3"/>
  <c r="O27" i="3"/>
  <c r="O20" i="3"/>
  <c r="O21" i="3"/>
  <c r="O29" i="3"/>
  <c r="O30" i="3"/>
  <c r="O37" i="3"/>
  <c r="O38" i="3"/>
  <c r="D186" i="3"/>
  <c r="D176" i="3"/>
  <c r="D14" i="3"/>
  <c r="D18" i="3"/>
  <c r="D19" i="3"/>
  <c r="D27" i="3"/>
  <c r="D28" i="3"/>
  <c r="D34" i="3"/>
  <c r="D36" i="3"/>
  <c r="D148" i="3"/>
  <c r="D166" i="3"/>
  <c r="D187" i="3"/>
  <c r="D190" i="3"/>
  <c r="E189" i="3"/>
  <c r="E179" i="3"/>
  <c r="E180" i="3"/>
  <c r="E184" i="3"/>
  <c r="E182" i="3"/>
  <c r="E186" i="3"/>
  <c r="E169" i="3"/>
  <c r="E170" i="3"/>
  <c r="E171" i="3"/>
  <c r="E173" i="3"/>
  <c r="E174" i="3"/>
  <c r="E175" i="3"/>
  <c r="E176" i="3"/>
  <c r="E149" i="3"/>
  <c r="E150" i="3"/>
  <c r="E151" i="3"/>
  <c r="E152" i="3"/>
  <c r="E154" i="3"/>
  <c r="E159" i="3"/>
  <c r="E160" i="3"/>
  <c r="E161" i="3"/>
  <c r="E162" i="3"/>
  <c r="E163" i="3"/>
  <c r="E164" i="3"/>
  <c r="E165" i="3"/>
  <c r="E14" i="3"/>
  <c r="E18" i="3"/>
  <c r="E19" i="3"/>
  <c r="E27" i="3"/>
  <c r="E28" i="3"/>
  <c r="E34" i="3"/>
  <c r="E36" i="3"/>
  <c r="E148" i="3"/>
  <c r="E166" i="3"/>
  <c r="E187" i="3"/>
  <c r="E188" i="3"/>
  <c r="E190" i="3"/>
  <c r="F189" i="3"/>
  <c r="F179" i="3"/>
  <c r="F180" i="3"/>
  <c r="F181" i="3"/>
  <c r="F182" i="3"/>
  <c r="F183" i="3"/>
  <c r="F184" i="3"/>
  <c r="F185" i="3"/>
  <c r="F186" i="3"/>
  <c r="F169" i="3"/>
  <c r="F170" i="3"/>
  <c r="F171" i="3"/>
  <c r="F172" i="3"/>
  <c r="F173" i="3"/>
  <c r="F174" i="3"/>
  <c r="F175" i="3"/>
  <c r="F176" i="3"/>
  <c r="F149" i="3"/>
  <c r="F150" i="3"/>
  <c r="F151" i="3"/>
  <c r="F152" i="3"/>
  <c r="F153" i="3"/>
  <c r="F154" i="3"/>
  <c r="F155" i="3"/>
  <c r="F159" i="3"/>
  <c r="F160" i="3"/>
  <c r="F161" i="3"/>
  <c r="F162" i="3"/>
  <c r="F163" i="3"/>
  <c r="F164" i="3"/>
  <c r="F165" i="3"/>
  <c r="F14" i="3"/>
  <c r="F18" i="3"/>
  <c r="F19" i="3"/>
  <c r="F27" i="3"/>
  <c r="F28" i="3"/>
  <c r="F34" i="3"/>
  <c r="F36" i="3"/>
  <c r="F148" i="3"/>
  <c r="F166" i="3"/>
  <c r="F187" i="3"/>
  <c r="F188" i="3"/>
  <c r="F190" i="3"/>
  <c r="G189" i="3"/>
  <c r="G179" i="3"/>
  <c r="G180" i="3"/>
  <c r="G181" i="3"/>
  <c r="G182" i="3"/>
  <c r="G183" i="3"/>
  <c r="G184" i="3"/>
  <c r="G185" i="3"/>
  <c r="G186" i="3"/>
  <c r="G169" i="3"/>
  <c r="G170" i="3"/>
  <c r="G171" i="3"/>
  <c r="G172" i="3"/>
  <c r="G173" i="3"/>
  <c r="G174" i="3"/>
  <c r="G175" i="3"/>
  <c r="G176" i="3"/>
  <c r="G149" i="3"/>
  <c r="G150" i="3"/>
  <c r="G151" i="3"/>
  <c r="G152" i="3"/>
  <c r="G153" i="3"/>
  <c r="G154" i="3"/>
  <c r="G155" i="3"/>
  <c r="G159" i="3"/>
  <c r="G160" i="3"/>
  <c r="G161" i="3"/>
  <c r="G162" i="3"/>
  <c r="G163" i="3"/>
  <c r="G164" i="3"/>
  <c r="G165" i="3"/>
  <c r="G14" i="3"/>
  <c r="G18" i="3"/>
  <c r="G19" i="3"/>
  <c r="G27" i="3"/>
  <c r="G28" i="3"/>
  <c r="G34" i="3"/>
  <c r="G36" i="3"/>
  <c r="G148" i="3"/>
  <c r="G166" i="3"/>
  <c r="G187" i="3"/>
  <c r="G188" i="3"/>
  <c r="G190" i="3"/>
  <c r="H190" i="3"/>
  <c r="M189" i="3"/>
  <c r="J179" i="3"/>
  <c r="K179" i="3"/>
  <c r="L179" i="3"/>
  <c r="M179" i="3"/>
  <c r="J180" i="3"/>
  <c r="K180" i="3"/>
  <c r="L180" i="3"/>
  <c r="M180" i="3"/>
  <c r="J181" i="3"/>
  <c r="K181" i="3"/>
  <c r="L181" i="3"/>
  <c r="M181" i="3"/>
  <c r="J182" i="3"/>
  <c r="K182" i="3"/>
  <c r="L182" i="3"/>
  <c r="M182" i="3"/>
  <c r="J183" i="3"/>
  <c r="K183" i="3"/>
  <c r="L183" i="3"/>
  <c r="M183" i="3"/>
  <c r="J184" i="3"/>
  <c r="K184" i="3"/>
  <c r="L184" i="3"/>
  <c r="M184" i="3"/>
  <c r="J185" i="3"/>
  <c r="K185" i="3"/>
  <c r="L185" i="3"/>
  <c r="M185" i="3"/>
  <c r="M186" i="3"/>
  <c r="J169" i="3"/>
  <c r="K169" i="3"/>
  <c r="L169" i="3"/>
  <c r="M169" i="3"/>
  <c r="J170" i="3"/>
  <c r="K170" i="3"/>
  <c r="L170" i="3"/>
  <c r="M170" i="3"/>
  <c r="J171" i="3"/>
  <c r="K171" i="3"/>
  <c r="L171" i="3"/>
  <c r="M171" i="3"/>
  <c r="J172" i="3"/>
  <c r="K172" i="3"/>
  <c r="L172" i="3"/>
  <c r="M172" i="3"/>
  <c r="J173" i="3"/>
  <c r="K173" i="3"/>
  <c r="L173" i="3"/>
  <c r="M173" i="3"/>
  <c r="J174" i="3"/>
  <c r="K174" i="3"/>
  <c r="L174" i="3"/>
  <c r="M174" i="3"/>
  <c r="J175" i="3"/>
  <c r="K175" i="3"/>
  <c r="L175" i="3"/>
  <c r="M175" i="3"/>
  <c r="M176" i="3"/>
  <c r="I148" i="3"/>
  <c r="I166" i="3"/>
  <c r="J149" i="3"/>
  <c r="J150" i="3"/>
  <c r="J151" i="3"/>
  <c r="J152" i="3"/>
  <c r="J153" i="3"/>
  <c r="J154" i="3"/>
  <c r="J155" i="3"/>
  <c r="J159" i="3"/>
  <c r="J160" i="3"/>
  <c r="J161" i="3"/>
  <c r="J162" i="3"/>
  <c r="J163" i="3"/>
  <c r="J164" i="3"/>
  <c r="J165" i="3"/>
  <c r="J148" i="3"/>
  <c r="J166" i="3"/>
  <c r="K149" i="3"/>
  <c r="K150" i="3"/>
  <c r="K151" i="3"/>
  <c r="K152" i="3"/>
  <c r="K153" i="3"/>
  <c r="K154" i="3"/>
  <c r="K155" i="3"/>
  <c r="K159" i="3"/>
  <c r="K160" i="3"/>
  <c r="K161" i="3"/>
  <c r="K162" i="3"/>
  <c r="K163" i="3"/>
  <c r="K164" i="3"/>
  <c r="K165" i="3"/>
  <c r="K148" i="3"/>
  <c r="K166" i="3"/>
  <c r="L149" i="3"/>
  <c r="L150" i="3"/>
  <c r="L151" i="3"/>
  <c r="L152" i="3"/>
  <c r="L153" i="3"/>
  <c r="L154" i="3"/>
  <c r="L155" i="3"/>
  <c r="L159" i="3"/>
  <c r="L160" i="3"/>
  <c r="L161" i="3"/>
  <c r="L162" i="3"/>
  <c r="L163" i="3"/>
  <c r="L164" i="3"/>
  <c r="L165" i="3"/>
  <c r="L148" i="3"/>
  <c r="L166" i="3"/>
  <c r="M166" i="3"/>
  <c r="M187" i="3"/>
  <c r="J188" i="3"/>
  <c r="K188" i="3"/>
  <c r="L188" i="3"/>
  <c r="M188" i="3"/>
  <c r="M190" i="3"/>
  <c r="N189" i="3"/>
  <c r="N186" i="3"/>
  <c r="N176" i="3"/>
  <c r="N18" i="3"/>
  <c r="N19" i="3"/>
  <c r="N27" i="3"/>
  <c r="N28" i="3"/>
  <c r="N34" i="3"/>
  <c r="N36" i="3"/>
  <c r="N148" i="3"/>
  <c r="N166" i="3"/>
  <c r="N187" i="3"/>
  <c r="N190" i="3"/>
  <c r="O189" i="3"/>
  <c r="O186" i="3"/>
  <c r="O176" i="3"/>
  <c r="O28" i="3"/>
  <c r="O34" i="3"/>
  <c r="O36" i="3"/>
  <c r="O148" i="3"/>
  <c r="O166" i="3"/>
  <c r="O187" i="3"/>
  <c r="O190" i="3"/>
  <c r="O95" i="3"/>
  <c r="O73" i="3"/>
  <c r="O74" i="3"/>
  <c r="O75" i="3"/>
  <c r="O76" i="3"/>
  <c r="O77" i="3"/>
  <c r="O66" i="3"/>
  <c r="O62" i="3"/>
  <c r="O60" i="3"/>
  <c r="O58" i="3"/>
  <c r="O53" i="3"/>
  <c r="O51" i="3"/>
  <c r="O49" i="3"/>
  <c r="O18" i="3"/>
  <c r="O63" i="3"/>
  <c r="I189" i="3"/>
  <c r="I186" i="3"/>
  <c r="I176" i="3"/>
  <c r="I187" i="3"/>
  <c r="I190" i="3"/>
  <c r="J189" i="3"/>
  <c r="J186" i="3"/>
  <c r="J176" i="3"/>
  <c r="J187" i="3"/>
  <c r="J190" i="3"/>
  <c r="N191" i="3"/>
  <c r="O124" i="3"/>
  <c r="M120" i="3"/>
  <c r="N120" i="3"/>
  <c r="M121" i="3"/>
  <c r="N121" i="3"/>
  <c r="N124" i="3"/>
  <c r="M167" i="3"/>
  <c r="N167" i="3"/>
  <c r="O167" i="3"/>
  <c r="O109" i="3"/>
  <c r="O115" i="3"/>
  <c r="O131" i="3"/>
  <c r="O141" i="3"/>
  <c r="O142" i="3"/>
  <c r="M107" i="3"/>
  <c r="N107" i="3"/>
  <c r="N109" i="3"/>
  <c r="N115" i="3"/>
  <c r="N131" i="3"/>
  <c r="N141" i="3"/>
  <c r="N142" i="3"/>
  <c r="K86" i="3"/>
  <c r="L86" i="3"/>
  <c r="N65" i="3"/>
  <c r="I65" i="3"/>
  <c r="L65" i="3"/>
  <c r="N68" i="3"/>
  <c r="N69" i="3"/>
  <c r="N71" i="3"/>
  <c r="N70" i="3"/>
  <c r="N72" i="3"/>
  <c r="L89" i="3"/>
  <c r="O43" i="3"/>
  <c r="L191" i="3"/>
  <c r="U94" i="3"/>
  <c r="V94" i="3"/>
  <c r="S54" i="3"/>
  <c r="T54" i="3"/>
  <c r="U52" i="3"/>
  <c r="U54" i="3"/>
  <c r="V52" i="3"/>
  <c r="V54" i="3"/>
  <c r="W54" i="3"/>
  <c r="P56" i="3"/>
  <c r="P54" i="3"/>
  <c r="Q56" i="3"/>
  <c r="Q54" i="3"/>
  <c r="R54" i="3"/>
  <c r="W55" i="3"/>
  <c r="V55" i="3"/>
  <c r="U55" i="3"/>
  <c r="T55" i="3"/>
  <c r="S55" i="3"/>
  <c r="M54" i="3"/>
  <c r="R55" i="3"/>
  <c r="Q55" i="3"/>
  <c r="O55" i="3"/>
  <c r="N55" i="3"/>
  <c r="H54" i="3"/>
  <c r="M55" i="3"/>
  <c r="L55" i="3"/>
  <c r="K55" i="3"/>
  <c r="J55" i="3"/>
  <c r="I55" i="3"/>
  <c r="U59" i="3"/>
  <c r="V59" i="3"/>
  <c r="W59" i="3"/>
  <c r="W56" i="3"/>
  <c r="W52" i="3"/>
  <c r="U48" i="3"/>
  <c r="V48" i="3"/>
  <c r="W48" i="3"/>
  <c r="R59" i="3"/>
  <c r="R56" i="3"/>
  <c r="R52" i="3"/>
  <c r="R48" i="3"/>
  <c r="M48" i="3"/>
  <c r="M52" i="3"/>
  <c r="M59" i="3"/>
  <c r="H59" i="3"/>
  <c r="H52" i="3"/>
  <c r="H48" i="3"/>
  <c r="M56" i="3"/>
  <c r="H56" i="3"/>
  <c r="N97" i="3"/>
  <c r="N94" i="3"/>
  <c r="N93" i="3"/>
  <c r="R32" i="3"/>
  <c r="R31" i="3"/>
  <c r="R33" i="3"/>
  <c r="R14" i="3"/>
  <c r="R18" i="3"/>
  <c r="R19" i="3"/>
  <c r="R22" i="3"/>
  <c r="N66" i="3"/>
  <c r="J66" i="3"/>
  <c r="I66" i="3"/>
  <c r="K66" i="3"/>
  <c r="L66" i="3"/>
  <c r="R23" i="3"/>
  <c r="R24" i="3"/>
  <c r="R25" i="3"/>
  <c r="R26" i="3"/>
  <c r="R27" i="3"/>
  <c r="R28" i="3"/>
  <c r="R34" i="3"/>
  <c r="R35" i="3"/>
  <c r="R36" i="3"/>
  <c r="Q36" i="3"/>
  <c r="P36" i="3"/>
  <c r="R40" i="3"/>
  <c r="P39" i="3"/>
  <c r="Q39" i="3"/>
  <c r="R39" i="3"/>
  <c r="U72" i="3"/>
  <c r="U33" i="3"/>
  <c r="V72" i="3"/>
  <c r="V33" i="3"/>
  <c r="W33" i="3"/>
  <c r="U70" i="3"/>
  <c r="U32" i="3"/>
  <c r="V70" i="3"/>
  <c r="V32" i="3"/>
  <c r="W32" i="3"/>
  <c r="U63" i="3"/>
  <c r="U14" i="3"/>
  <c r="U71" i="3"/>
  <c r="U31" i="3"/>
  <c r="V63" i="3"/>
  <c r="V14" i="3"/>
  <c r="V71" i="3"/>
  <c r="V31" i="3"/>
  <c r="W31" i="3"/>
  <c r="N29" i="3"/>
  <c r="L82" i="3"/>
  <c r="L83" i="3"/>
  <c r="R29" i="3"/>
  <c r="W14" i="3"/>
  <c r="W71" i="3"/>
  <c r="R71" i="3"/>
  <c r="M71" i="3"/>
  <c r="L71" i="3"/>
  <c r="K71" i="3"/>
  <c r="J71" i="3"/>
  <c r="I71" i="3"/>
  <c r="H12" i="3"/>
  <c r="H13" i="3"/>
  <c r="H11" i="3"/>
  <c r="H14" i="3"/>
  <c r="H31" i="3"/>
  <c r="H71" i="3"/>
  <c r="G71" i="3"/>
  <c r="F71" i="3"/>
  <c r="E71" i="3"/>
  <c r="D71" i="3"/>
  <c r="L70" i="3"/>
  <c r="K70" i="3"/>
  <c r="J70" i="3"/>
  <c r="I70" i="3"/>
  <c r="G70" i="3"/>
  <c r="F70" i="3"/>
  <c r="E70" i="3"/>
  <c r="U69" i="3"/>
  <c r="V69" i="3"/>
  <c r="V26" i="3"/>
  <c r="U26" i="3"/>
  <c r="U68" i="3"/>
  <c r="V68" i="3"/>
  <c r="V25" i="3"/>
  <c r="U25" i="3"/>
  <c r="N76" i="3"/>
  <c r="N73" i="3"/>
  <c r="I73" i="3"/>
  <c r="L72" i="3"/>
  <c r="K72" i="3"/>
  <c r="J72" i="3"/>
  <c r="I72" i="3"/>
  <c r="E72" i="3"/>
  <c r="G72" i="3"/>
  <c r="F72" i="3"/>
  <c r="W72" i="3"/>
  <c r="R72" i="3"/>
  <c r="H72" i="3"/>
  <c r="M72" i="3"/>
  <c r="W70" i="3"/>
  <c r="W69" i="3"/>
  <c r="W68" i="3"/>
  <c r="R70" i="3"/>
  <c r="R69" i="3"/>
  <c r="R68" i="3"/>
  <c r="M70" i="3"/>
  <c r="L69" i="3"/>
  <c r="K69" i="3"/>
  <c r="J69" i="3"/>
  <c r="I69" i="3"/>
  <c r="L68" i="3"/>
  <c r="K68" i="3"/>
  <c r="J68" i="3"/>
  <c r="I68" i="3"/>
  <c r="M68" i="3"/>
  <c r="M69" i="3"/>
  <c r="G69" i="3"/>
  <c r="F69" i="3"/>
  <c r="E69" i="3"/>
  <c r="G68" i="3"/>
  <c r="F68" i="3"/>
  <c r="E68" i="3"/>
  <c r="H68" i="3"/>
  <c r="H69" i="3"/>
  <c r="H70" i="3"/>
  <c r="N60" i="3"/>
  <c r="N53" i="3"/>
  <c r="N49" i="3"/>
  <c r="U88" i="3"/>
  <c r="U83" i="3"/>
  <c r="U82" i="3"/>
  <c r="U81" i="3"/>
  <c r="U86" i="3"/>
  <c r="U85" i="3"/>
  <c r="U87" i="3"/>
  <c r="U29" i="3"/>
  <c r="V88" i="3"/>
  <c r="V83" i="3"/>
  <c r="V82" i="3"/>
  <c r="V81" i="3"/>
  <c r="V86" i="3"/>
  <c r="V85" i="3"/>
  <c r="V87" i="3"/>
  <c r="V29" i="3"/>
  <c r="W29" i="3"/>
  <c r="L29" i="3"/>
  <c r="K29" i="3"/>
  <c r="J29" i="3"/>
  <c r="I29" i="3"/>
  <c r="G29" i="3"/>
  <c r="F29" i="3"/>
  <c r="E29" i="3"/>
  <c r="D29" i="3"/>
  <c r="U91" i="3"/>
  <c r="V91" i="3"/>
  <c r="U89" i="3"/>
  <c r="V89" i="3"/>
  <c r="V90" i="3"/>
  <c r="U90" i="3"/>
  <c r="W90" i="3"/>
  <c r="W88" i="3"/>
  <c r="U80" i="3"/>
  <c r="V80" i="3"/>
  <c r="W80" i="3"/>
  <c r="W81" i="3"/>
  <c r="W82" i="3"/>
  <c r="U84" i="3"/>
  <c r="V84" i="3"/>
  <c r="W84" i="3"/>
  <c r="W85" i="3"/>
  <c r="W86" i="3"/>
  <c r="W87" i="3"/>
  <c r="W89" i="3"/>
  <c r="W91" i="3"/>
  <c r="R90" i="3"/>
  <c r="R88" i="3"/>
  <c r="R80" i="3"/>
  <c r="R81" i="3"/>
  <c r="R82" i="3"/>
  <c r="R84" i="3"/>
  <c r="R85" i="3"/>
  <c r="R86" i="3"/>
  <c r="R87" i="3"/>
  <c r="R89" i="3"/>
  <c r="R91" i="3"/>
  <c r="N91" i="3"/>
  <c r="M90" i="3"/>
  <c r="M80" i="3"/>
  <c r="M81" i="3"/>
  <c r="M82" i="3"/>
  <c r="M84" i="3"/>
  <c r="M85" i="3"/>
  <c r="M86" i="3"/>
  <c r="M87" i="3"/>
  <c r="M88" i="3"/>
  <c r="M89" i="3"/>
  <c r="M91" i="3"/>
  <c r="L91" i="3"/>
  <c r="K82" i="3"/>
  <c r="K91" i="3"/>
  <c r="J82" i="3"/>
  <c r="J86" i="3"/>
  <c r="J91" i="3"/>
  <c r="I82" i="3"/>
  <c r="I86" i="3"/>
  <c r="I91" i="3"/>
  <c r="H90" i="3"/>
  <c r="H80" i="3"/>
  <c r="H81" i="3"/>
  <c r="H82" i="3"/>
  <c r="H84" i="3"/>
  <c r="H85" i="3"/>
  <c r="H86" i="3"/>
  <c r="H87" i="3"/>
  <c r="H88" i="3"/>
  <c r="H89" i="3"/>
  <c r="H91" i="3"/>
  <c r="G82" i="3"/>
  <c r="G86" i="3"/>
  <c r="G91" i="3"/>
  <c r="F82" i="3"/>
  <c r="F86" i="3"/>
  <c r="F91" i="3"/>
  <c r="E82" i="3"/>
  <c r="E86" i="3"/>
  <c r="E91" i="3"/>
  <c r="D82" i="3"/>
  <c r="D86" i="3"/>
  <c r="D91" i="3"/>
  <c r="M83" i="3"/>
  <c r="K83" i="3"/>
  <c r="J83" i="3"/>
  <c r="I83" i="3"/>
  <c r="H83" i="3"/>
  <c r="G83" i="3"/>
  <c r="F83" i="3"/>
  <c r="E83" i="3"/>
  <c r="D83" i="3"/>
  <c r="U50" i="3"/>
  <c r="U57" i="3"/>
  <c r="U61" i="3"/>
  <c r="U18" i="3"/>
  <c r="V50" i="3"/>
  <c r="V57" i="3"/>
  <c r="V61" i="3"/>
  <c r="V18" i="3"/>
  <c r="W18" i="3"/>
  <c r="W19" i="3"/>
  <c r="G65" i="3"/>
  <c r="U65" i="3"/>
  <c r="U22" i="3"/>
  <c r="V65" i="3"/>
  <c r="V22" i="3"/>
  <c r="W22" i="3"/>
  <c r="G66" i="3"/>
  <c r="U23" i="3"/>
  <c r="V23" i="3"/>
  <c r="W23" i="3"/>
  <c r="G67" i="3"/>
  <c r="U67" i="3"/>
  <c r="U24" i="3"/>
  <c r="V67" i="3"/>
  <c r="V24" i="3"/>
  <c r="W24" i="3"/>
  <c r="W25" i="3"/>
  <c r="W26" i="3"/>
  <c r="W27" i="3"/>
  <c r="W28" i="3"/>
  <c r="W34" i="3"/>
  <c r="V19" i="3"/>
  <c r="V27" i="3"/>
  <c r="V28" i="3"/>
  <c r="V34" i="3"/>
  <c r="U19" i="3"/>
  <c r="U27" i="3"/>
  <c r="U28" i="3"/>
  <c r="U34" i="3"/>
  <c r="E192" i="3"/>
  <c r="F192" i="3"/>
  <c r="G192" i="3"/>
  <c r="H104" i="3"/>
  <c r="H192" i="3"/>
  <c r="I192" i="3"/>
  <c r="J192" i="3"/>
  <c r="K189" i="3"/>
  <c r="K186" i="3"/>
  <c r="K176" i="3"/>
  <c r="K187" i="3"/>
  <c r="K190" i="3"/>
  <c r="K192" i="3"/>
  <c r="L189" i="3"/>
  <c r="L186" i="3"/>
  <c r="L176" i="3"/>
  <c r="L187" i="3"/>
  <c r="L190" i="3"/>
  <c r="L192" i="3"/>
  <c r="M104" i="3"/>
  <c r="M192" i="3"/>
  <c r="D192" i="3"/>
  <c r="K20" i="3"/>
  <c r="K21" i="3"/>
  <c r="K30" i="3"/>
  <c r="K37" i="3"/>
  <c r="K38" i="3"/>
  <c r="J20" i="3"/>
  <c r="J21" i="3"/>
  <c r="J30" i="3"/>
  <c r="J37" i="3"/>
  <c r="J38" i="3"/>
  <c r="I20" i="3"/>
  <c r="I21" i="3"/>
  <c r="I30" i="3"/>
  <c r="I37" i="3"/>
  <c r="I38" i="3"/>
  <c r="H15" i="3"/>
  <c r="H16" i="3"/>
  <c r="H17" i="3"/>
  <c r="H18" i="3"/>
  <c r="H19" i="3"/>
  <c r="H20" i="3"/>
  <c r="H21" i="3"/>
  <c r="H22" i="3"/>
  <c r="H23" i="3"/>
  <c r="H24" i="3"/>
  <c r="H25" i="3"/>
  <c r="H26" i="3"/>
  <c r="H27" i="3"/>
  <c r="H29" i="3"/>
  <c r="H30" i="3"/>
  <c r="H32" i="3"/>
  <c r="H33" i="3"/>
  <c r="H35" i="3"/>
  <c r="H37" i="3"/>
  <c r="H38" i="3"/>
  <c r="G20" i="3"/>
  <c r="G21" i="3"/>
  <c r="G30" i="3"/>
  <c r="G37" i="3"/>
  <c r="G38" i="3"/>
  <c r="F20" i="3"/>
  <c r="F21" i="3"/>
  <c r="F30" i="3"/>
  <c r="F37" i="3"/>
  <c r="F38" i="3"/>
  <c r="E20" i="3"/>
  <c r="E21" i="3"/>
  <c r="E30" i="3"/>
  <c r="E37" i="3"/>
  <c r="E38" i="3"/>
  <c r="D20" i="3"/>
  <c r="D21" i="3"/>
  <c r="D30" i="3"/>
  <c r="D37" i="3"/>
  <c r="D38" i="3"/>
  <c r="W20" i="3"/>
  <c r="W21" i="3"/>
  <c r="W30" i="3"/>
  <c r="U35" i="3"/>
  <c r="V35" i="3"/>
  <c r="W35" i="3"/>
  <c r="W37" i="3"/>
  <c r="W38" i="3"/>
  <c r="V20" i="3"/>
  <c r="V21" i="3"/>
  <c r="V30" i="3"/>
  <c r="V37" i="3"/>
  <c r="V38" i="3"/>
  <c r="U20" i="3"/>
  <c r="U21" i="3"/>
  <c r="U30" i="3"/>
  <c r="U37" i="3"/>
  <c r="U38" i="3"/>
  <c r="R20" i="3"/>
  <c r="R21" i="3"/>
  <c r="R30" i="3"/>
  <c r="R37" i="3"/>
  <c r="R38" i="3"/>
  <c r="N20" i="3"/>
  <c r="N21" i="3"/>
  <c r="N30" i="3"/>
  <c r="N37" i="3"/>
  <c r="N38" i="3"/>
  <c r="M20" i="3"/>
  <c r="M21" i="3"/>
  <c r="M29" i="3"/>
  <c r="M30" i="3"/>
  <c r="M37" i="3"/>
  <c r="M38" i="3"/>
  <c r="L37" i="3"/>
  <c r="L20" i="3"/>
  <c r="L21" i="3"/>
  <c r="L30" i="3"/>
  <c r="L38" i="3"/>
  <c r="N75" i="3"/>
  <c r="V74" i="3"/>
  <c r="U74" i="3"/>
  <c r="T74" i="3"/>
  <c r="S74" i="3"/>
  <c r="Q74" i="3"/>
  <c r="P74" i="3"/>
  <c r="I49" i="3"/>
  <c r="N62" i="3"/>
  <c r="L62" i="3"/>
  <c r="K62" i="3"/>
  <c r="J62" i="3"/>
  <c r="I62" i="3"/>
  <c r="G62" i="3"/>
  <c r="F62" i="3"/>
  <c r="E62" i="3"/>
  <c r="D62" i="3"/>
  <c r="N58" i="3"/>
  <c r="L58" i="3"/>
  <c r="K58" i="3"/>
  <c r="J58" i="3"/>
  <c r="I58" i="3"/>
  <c r="G58" i="3"/>
  <c r="F58" i="3"/>
  <c r="E58" i="3"/>
  <c r="D58" i="3"/>
  <c r="N51" i="3"/>
  <c r="L51" i="3"/>
  <c r="K51" i="3"/>
  <c r="J51" i="3"/>
  <c r="I51" i="3"/>
  <c r="G51" i="3"/>
  <c r="F51" i="3"/>
  <c r="E51" i="3"/>
  <c r="D51" i="3"/>
  <c r="I60" i="3"/>
  <c r="I53" i="3"/>
  <c r="G49" i="3"/>
  <c r="V45" i="3"/>
  <c r="U45" i="3"/>
  <c r="T45" i="3"/>
  <c r="S45" i="3"/>
  <c r="Q45" i="3"/>
  <c r="P45" i="3"/>
  <c r="O45" i="3"/>
  <c r="N45" i="3"/>
  <c r="L45" i="3"/>
  <c r="K45" i="3"/>
  <c r="J45" i="3"/>
  <c r="I45" i="3"/>
  <c r="G45" i="3"/>
  <c r="F45" i="3"/>
  <c r="E45" i="3"/>
  <c r="D45" i="3"/>
  <c r="Q13" i="3"/>
  <c r="S13" i="3"/>
  <c r="T13" i="3"/>
  <c r="U13" i="3"/>
  <c r="V13" i="3"/>
  <c r="W13" i="3"/>
  <c r="Q12" i="3"/>
  <c r="S12" i="3"/>
  <c r="T12" i="3"/>
  <c r="U12" i="3"/>
  <c r="V12" i="3"/>
  <c r="W12" i="3"/>
  <c r="Q11" i="3"/>
  <c r="S11" i="3"/>
  <c r="T11" i="3"/>
  <c r="U11" i="3"/>
  <c r="V11" i="3"/>
  <c r="W11" i="3"/>
  <c r="P12" i="3"/>
  <c r="R12" i="3"/>
  <c r="P13" i="3"/>
  <c r="R13" i="3"/>
  <c r="P11" i="3"/>
  <c r="R11" i="3"/>
  <c r="E191" i="3"/>
  <c r="F191" i="3"/>
  <c r="G191" i="3"/>
  <c r="H28" i="3"/>
  <c r="H34" i="3"/>
  <c r="H36" i="3"/>
  <c r="H40" i="3"/>
  <c r="H105" i="3"/>
  <c r="H191" i="3"/>
  <c r="I191" i="3"/>
  <c r="J191" i="3"/>
  <c r="K191" i="3"/>
  <c r="M105" i="3"/>
  <c r="M191" i="3"/>
  <c r="D191" i="3"/>
  <c r="N63" i="3"/>
  <c r="L93" i="3"/>
  <c r="I93" i="3"/>
  <c r="J93" i="3"/>
  <c r="K93" i="3"/>
  <c r="I94" i="3"/>
  <c r="J94" i="3"/>
  <c r="K94" i="3"/>
  <c r="L94" i="3"/>
  <c r="U97" i="3"/>
  <c r="U40" i="3"/>
  <c r="U43" i="3"/>
  <c r="V97" i="3"/>
  <c r="V40" i="3"/>
  <c r="V43" i="3"/>
  <c r="S36" i="3"/>
  <c r="W36" i="3"/>
  <c r="T36" i="3"/>
  <c r="U36" i="3"/>
  <c r="V36" i="3"/>
  <c r="W40" i="3"/>
  <c r="W43" i="3"/>
  <c r="E43" i="3"/>
  <c r="F43" i="3"/>
  <c r="G43" i="3"/>
  <c r="H43" i="3"/>
  <c r="I43" i="3"/>
  <c r="J43" i="3"/>
  <c r="K43" i="3"/>
  <c r="L43" i="3"/>
  <c r="M43" i="3"/>
  <c r="D43" i="3"/>
  <c r="K60" i="3"/>
  <c r="L60" i="3"/>
  <c r="J60" i="3"/>
  <c r="K53" i="3"/>
  <c r="L53" i="3"/>
  <c r="J53" i="3"/>
  <c r="K49" i="3"/>
  <c r="L49" i="3"/>
  <c r="J49" i="3"/>
  <c r="F60" i="3"/>
  <c r="G60" i="3"/>
  <c r="E60" i="3"/>
  <c r="F53" i="3"/>
  <c r="G53" i="3"/>
  <c r="E53" i="3"/>
  <c r="F49" i="3"/>
  <c r="E49" i="3"/>
  <c r="J63" i="3"/>
  <c r="K63" i="3"/>
  <c r="L63" i="3"/>
  <c r="I63" i="3"/>
  <c r="E63" i="3"/>
  <c r="F63" i="3"/>
  <c r="G63" i="3"/>
  <c r="D63" i="3"/>
  <c r="H154" i="3"/>
  <c r="H153" i="3"/>
  <c r="M163" i="3"/>
  <c r="M164" i="3"/>
  <c r="M162" i="3"/>
  <c r="H182" i="3"/>
  <c r="H181" i="3"/>
  <c r="H163" i="3"/>
  <c r="H164" i="3"/>
  <c r="H162" i="3"/>
  <c r="M154" i="3"/>
  <c r="M153" i="3"/>
  <c r="L141" i="3"/>
  <c r="M140" i="3"/>
  <c r="M135" i="3"/>
  <c r="M136" i="3"/>
  <c r="M137" i="3"/>
  <c r="M138" i="3"/>
  <c r="M139" i="3"/>
  <c r="M141" i="3"/>
  <c r="E141" i="3"/>
  <c r="F141" i="3"/>
  <c r="K141" i="3"/>
  <c r="J141" i="3"/>
  <c r="I141" i="3"/>
  <c r="G141" i="3"/>
  <c r="G124" i="3"/>
  <c r="G131" i="3"/>
  <c r="G142" i="3"/>
  <c r="H136" i="3"/>
  <c r="H137" i="3"/>
  <c r="H138" i="3"/>
  <c r="H139" i="3"/>
  <c r="H140" i="3"/>
  <c r="H141" i="3"/>
  <c r="H124" i="3"/>
  <c r="H125" i="3"/>
  <c r="H126" i="3"/>
  <c r="H127" i="3"/>
  <c r="H128" i="3"/>
  <c r="H129" i="3"/>
  <c r="H130" i="3"/>
  <c r="H131" i="3"/>
  <c r="H142" i="3"/>
  <c r="I124" i="3"/>
  <c r="I131" i="3"/>
  <c r="I142" i="3"/>
  <c r="F124" i="3"/>
  <c r="F131" i="3"/>
  <c r="F142" i="3"/>
  <c r="F109" i="3"/>
  <c r="F115" i="3"/>
  <c r="F143" i="3"/>
  <c r="G109" i="3"/>
  <c r="G115" i="3"/>
  <c r="G143" i="3"/>
  <c r="H106" i="3"/>
  <c r="H107" i="3"/>
  <c r="H108" i="3"/>
  <c r="H109" i="3"/>
  <c r="H110" i="3"/>
  <c r="H111" i="3"/>
  <c r="H112" i="3"/>
  <c r="H113" i="3"/>
  <c r="H114" i="3"/>
  <c r="H115" i="3"/>
  <c r="H143" i="3"/>
  <c r="I109" i="3"/>
  <c r="I115" i="3"/>
  <c r="I143" i="3"/>
  <c r="J124" i="3"/>
  <c r="J131" i="3"/>
  <c r="J142" i="3"/>
  <c r="K124" i="3"/>
  <c r="K131" i="3"/>
  <c r="K142" i="3"/>
  <c r="L124" i="3"/>
  <c r="L125" i="3"/>
  <c r="L131" i="3"/>
  <c r="L142" i="3"/>
  <c r="D141" i="3"/>
  <c r="M124" i="3"/>
  <c r="M129" i="3"/>
  <c r="M128" i="3"/>
  <c r="M123" i="3"/>
  <c r="M122" i="3"/>
  <c r="H123" i="3"/>
  <c r="H122" i="3"/>
  <c r="H121" i="3"/>
  <c r="E124" i="3"/>
  <c r="D124" i="3"/>
  <c r="D131" i="3"/>
  <c r="M113" i="3"/>
  <c r="E131" i="3"/>
  <c r="E142" i="3"/>
  <c r="E109" i="3"/>
  <c r="E115" i="3"/>
  <c r="E143" i="3"/>
  <c r="H118" i="3"/>
  <c r="H119" i="3"/>
  <c r="H120" i="3"/>
  <c r="J109" i="3"/>
  <c r="J115" i="3"/>
  <c r="J143" i="3"/>
  <c r="K109" i="3"/>
  <c r="K115" i="3"/>
  <c r="K143" i="3"/>
  <c r="L109" i="3"/>
  <c r="L115" i="3"/>
  <c r="L143" i="3"/>
  <c r="M118" i="3"/>
  <c r="M119" i="3"/>
  <c r="M125" i="3"/>
  <c r="M126" i="3"/>
  <c r="M127" i="3"/>
  <c r="M130" i="3"/>
  <c r="M131" i="3"/>
  <c r="M142" i="3"/>
  <c r="M106" i="3"/>
  <c r="M108" i="3"/>
  <c r="M109" i="3"/>
  <c r="M110" i="3"/>
  <c r="M111" i="3"/>
  <c r="M112" i="3"/>
  <c r="M114" i="3"/>
  <c r="M115" i="3"/>
  <c r="M143" i="3"/>
  <c r="D142" i="3"/>
  <c r="D109" i="3"/>
  <c r="D115" i="3"/>
  <c r="D143" i="3"/>
  <c r="H151" i="3"/>
  <c r="H152" i="3"/>
  <c r="H171" i="3"/>
  <c r="H172" i="3"/>
  <c r="H173" i="3"/>
  <c r="H174" i="3"/>
  <c r="H188" i="3"/>
  <c r="M150" i="3"/>
  <c r="M151" i="3"/>
  <c r="M152" i="3"/>
  <c r="M155" i="3"/>
  <c r="E97" i="3"/>
  <c r="F97" i="3"/>
  <c r="G97" i="3"/>
  <c r="H189" i="3"/>
  <c r="H185" i="3"/>
  <c r="H184" i="3"/>
  <c r="H183" i="3"/>
  <c r="H180" i="3"/>
  <c r="H179" i="3"/>
  <c r="H175" i="3"/>
  <c r="H170" i="3"/>
  <c r="H169" i="3"/>
  <c r="M165" i="3"/>
  <c r="H165" i="3"/>
  <c r="M161" i="3"/>
  <c r="H161" i="3"/>
  <c r="M160" i="3"/>
  <c r="H160" i="3"/>
  <c r="M159" i="3"/>
  <c r="H159" i="3"/>
  <c r="H155" i="3"/>
  <c r="H150" i="3"/>
  <c r="H149" i="3"/>
  <c r="M149" i="3"/>
  <c r="H176" i="3"/>
  <c r="H186" i="3"/>
  <c r="F67" i="3"/>
  <c r="E67" i="3"/>
  <c r="F66" i="3"/>
  <c r="E66" i="3"/>
  <c r="F65" i="3"/>
  <c r="E65" i="3"/>
  <c r="D67" i="3"/>
  <c r="D66" i="3"/>
  <c r="D65" i="3"/>
  <c r="H66" i="3"/>
  <c r="H67" i="3"/>
  <c r="J74" i="3"/>
  <c r="J75" i="3"/>
  <c r="I75" i="3"/>
  <c r="I74" i="3"/>
  <c r="M66" i="3"/>
  <c r="S39" i="3"/>
  <c r="T39" i="3"/>
  <c r="U39" i="3"/>
  <c r="V39" i="3"/>
  <c r="M67" i="3"/>
  <c r="T44" i="3"/>
  <c r="U44" i="3"/>
  <c r="V44" i="3"/>
  <c r="S44" i="3"/>
  <c r="R44" i="3"/>
  <c r="M44" i="3"/>
  <c r="H44" i="3"/>
  <c r="W44" i="3"/>
  <c r="D75" i="3"/>
  <c r="D74" i="3"/>
  <c r="J77" i="3"/>
  <c r="J76" i="3"/>
  <c r="J73" i="3"/>
  <c r="J41" i="3"/>
  <c r="J42" i="3"/>
  <c r="K75" i="3"/>
  <c r="K74" i="3"/>
  <c r="K77" i="3"/>
  <c r="K76" i="3"/>
  <c r="K73" i="3"/>
  <c r="H65" i="3"/>
  <c r="K41" i="3"/>
  <c r="K42" i="3"/>
  <c r="F74" i="3"/>
  <c r="F75" i="3"/>
  <c r="F77" i="3"/>
  <c r="F76" i="3"/>
  <c r="I77" i="3"/>
  <c r="I76" i="3"/>
  <c r="D77" i="3"/>
  <c r="D76" i="3"/>
  <c r="D73" i="3"/>
  <c r="F73" i="3"/>
  <c r="F41" i="3"/>
  <c r="F42" i="3"/>
  <c r="I42" i="3"/>
  <c r="I41" i="3"/>
  <c r="D41" i="3"/>
  <c r="D42" i="3"/>
  <c r="E75" i="3"/>
  <c r="E74" i="3"/>
  <c r="H74" i="3"/>
  <c r="H75" i="3"/>
  <c r="G75" i="3"/>
  <c r="G74" i="3"/>
  <c r="G77" i="3"/>
  <c r="G76" i="3"/>
  <c r="E77" i="3"/>
  <c r="E76" i="3"/>
  <c r="H77" i="3"/>
  <c r="H76" i="3"/>
  <c r="E73" i="3"/>
  <c r="H73" i="3"/>
  <c r="G73" i="3"/>
  <c r="H148" i="3"/>
  <c r="H166" i="3"/>
  <c r="H187" i="3"/>
  <c r="E42" i="3"/>
  <c r="E41" i="3"/>
  <c r="H39" i="3"/>
  <c r="H41" i="3"/>
  <c r="H42" i="3"/>
  <c r="G41" i="3"/>
  <c r="G42" i="3"/>
  <c r="M65" i="3"/>
  <c r="L74" i="3"/>
  <c r="L75" i="3"/>
  <c r="L76" i="3"/>
  <c r="L77" i="3"/>
  <c r="M74" i="3"/>
  <c r="M75" i="3"/>
  <c r="M76" i="3"/>
  <c r="M77" i="3"/>
  <c r="R67" i="3"/>
  <c r="P75" i="3"/>
  <c r="P76" i="3"/>
  <c r="P77" i="3"/>
  <c r="Q75" i="3"/>
  <c r="R66" i="3"/>
  <c r="R65" i="3"/>
  <c r="R83" i="3"/>
  <c r="Q76" i="3"/>
  <c r="Q77" i="3"/>
  <c r="S75" i="3"/>
  <c r="T75" i="3"/>
  <c r="S76" i="3"/>
  <c r="S77" i="3"/>
  <c r="W66" i="3"/>
  <c r="W67" i="3"/>
  <c r="W83" i="3"/>
  <c r="T76" i="3"/>
  <c r="T77" i="3"/>
  <c r="U75" i="3"/>
  <c r="V75" i="3"/>
  <c r="W65" i="3"/>
  <c r="U76" i="3"/>
  <c r="V76" i="3"/>
  <c r="U77" i="3"/>
  <c r="V77" i="3"/>
  <c r="W74" i="3"/>
  <c r="W75" i="3"/>
  <c r="W76" i="3"/>
  <c r="W77" i="3"/>
  <c r="S42" i="3"/>
  <c r="U41" i="3"/>
  <c r="U42" i="3"/>
  <c r="T42" i="3"/>
  <c r="T41" i="3"/>
  <c r="S41" i="3"/>
  <c r="L73" i="3"/>
  <c r="V42" i="3"/>
  <c r="V41" i="3"/>
  <c r="W73" i="3"/>
  <c r="O41" i="3"/>
  <c r="P42" i="3"/>
  <c r="O42" i="3"/>
  <c r="L41" i="3"/>
  <c r="W42" i="3"/>
  <c r="W39" i="3"/>
  <c r="W41" i="3"/>
  <c r="M73" i="3"/>
  <c r="L42" i="3"/>
  <c r="P41" i="3"/>
  <c r="M148" i="3"/>
  <c r="Q41" i="3"/>
  <c r="Q42" i="3"/>
  <c r="M42" i="3"/>
  <c r="M41" i="3"/>
  <c r="R41" i="3"/>
  <c r="R42" i="3"/>
  <c r="R73" i="3"/>
  <c r="R76" i="3"/>
  <c r="R77" i="3"/>
  <c r="R43" i="3"/>
  <c r="N43" i="3"/>
  <c r="C206" i="3"/>
  <c r="C208" i="3"/>
  <c r="C207" i="3"/>
  <c r="C7" i="3"/>
  <c r="C6" i="3"/>
  <c r="N42" i="3"/>
  <c r="N41" i="3"/>
  <c r="R74" i="3"/>
  <c r="R75" i="3"/>
  <c r="N77" i="3"/>
  <c r="P15" i="3"/>
  <c r="Q15" i="3"/>
  <c r="R15" i="3"/>
  <c r="P16" i="3"/>
  <c r="Q16" i="3"/>
  <c r="R16" i="3"/>
  <c r="P17" i="3"/>
  <c r="Q17" i="3"/>
  <c r="R17" i="3"/>
  <c r="S15" i="3"/>
  <c r="T15" i="3"/>
  <c r="U15" i="3"/>
  <c r="V15" i="3"/>
  <c r="W15" i="3"/>
  <c r="S16" i="3"/>
  <c r="T16" i="3"/>
  <c r="U16" i="3"/>
  <c r="V16" i="3"/>
  <c r="W16" i="3"/>
  <c r="S17" i="3"/>
  <c r="T17" i="3"/>
  <c r="U17" i="3"/>
  <c r="V17" i="3"/>
  <c r="W17" i="3"/>
  <c r="N74" i="3"/>
</calcChain>
</file>

<file path=xl/comments1.xml><?xml version="1.0" encoding="utf-8"?>
<comments xmlns="http://schemas.openxmlformats.org/spreadsheetml/2006/main">
  <authors>
    <author>Microsoft Office User</author>
    <author>Admin</author>
  </authors>
  <commentList>
    <comment ref="P14" authorId="0" shapeId="0">
      <text>
        <r>
          <rPr>
            <b/>
            <sz val="10"/>
            <color indexed="81"/>
            <rFont val="Calibri"/>
            <family val="2"/>
          </rPr>
          <t xml:space="preserve">Management guided 3Q16 revenue to approximately $1.42B - $1.47B on June 21, 2016.
</t>
        </r>
      </text>
    </comment>
    <comment ref="R14" authorId="1" shapeId="0">
      <text>
        <r>
          <rPr>
            <sz val="9"/>
            <color indexed="81"/>
            <rFont val="Tahoma"/>
            <family val="2"/>
          </rPr>
          <t>Management guided revenue to approximately $5.8B on March 17, 2016.</t>
        </r>
      </text>
    </comment>
    <comment ref="P40" authorId="0" shapeId="0">
      <text>
        <r>
          <rPr>
            <b/>
            <sz val="10"/>
            <color indexed="81"/>
            <rFont val="Calibri"/>
            <family val="2"/>
          </rPr>
          <t>Management guided share count to be between 504M and 506M shares on June 21, 2016.</t>
        </r>
      </text>
    </comment>
    <comment ref="P41" authorId="0" shapeId="0">
      <text>
        <r>
          <rPr>
            <b/>
            <sz val="10"/>
            <color indexed="81"/>
            <rFont val="Calibri"/>
            <family val="2"/>
          </rPr>
          <t>Management guided GAAP EPS to $0.46 to $0.52 on June 21, 2016.</t>
        </r>
      </text>
    </comment>
    <comment ref="R42" authorId="1" shapeId="0">
      <text>
        <r>
          <rPr>
            <sz val="9"/>
            <color indexed="81"/>
            <rFont val="Tahoma"/>
            <family val="2"/>
          </rPr>
          <t>Management guided GAAP EPS to approx $2 on March 17, 2016.</t>
        </r>
      </text>
    </comment>
    <comment ref="P43" authorId="0" shapeId="0">
      <text>
        <r>
          <rPr>
            <b/>
            <sz val="10"/>
            <color indexed="81"/>
            <rFont val="Calibri"/>
            <family val="2"/>
          </rPr>
          <t>Management guided non-GAAP EPS to $0.69 to $0.75 on June 21, 2016.</t>
        </r>
      </text>
    </comment>
    <comment ref="P55" authorId="1" shapeId="0">
      <text>
        <r>
          <rPr>
            <sz val="9"/>
            <color indexed="81"/>
            <rFont val="Tahoma"/>
            <family val="2"/>
          </rPr>
          <t xml:space="preserve">Management guided 3Q16 growth of approximately 7% on June 21, 2016. 
</t>
        </r>
      </text>
    </comment>
    <comment ref="Q55" authorId="1" shapeId="0">
      <text>
        <r>
          <rPr>
            <sz val="9"/>
            <color indexed="81"/>
            <rFont val="Tahoma"/>
            <family val="2"/>
          </rPr>
          <t xml:space="preserve">Management guided growth of more than 20% on March 17, 2016. </t>
        </r>
      </text>
    </comment>
    <comment ref="R55" authorId="1" shapeId="0">
      <text>
        <r>
          <rPr>
            <sz val="9"/>
            <color indexed="81"/>
            <rFont val="Tahoma"/>
            <family val="2"/>
          </rPr>
          <t xml:space="preserve">Management's target Marketing Cloud revenue growth rate is 20% YoY, however they guided growth of less than 20% on March 17, 2016. </t>
        </r>
      </text>
    </comment>
    <comment ref="P73" authorId="0" shapeId="0">
      <text>
        <r>
          <rPr>
            <b/>
            <sz val="10"/>
            <color indexed="81"/>
            <rFont val="Calibri"/>
            <family val="2"/>
          </rPr>
          <t>Management guided 3Q16 tax rate of approximately 24% on June 21, 2016.</t>
        </r>
      </text>
    </comment>
    <comment ref="O171" authorId="0" shapeId="0">
      <text>
        <r>
          <rPr>
            <b/>
            <sz val="10"/>
            <color indexed="81"/>
            <rFont val="Calibri"/>
            <family val="2"/>
          </rPr>
          <t xml:space="preserve">ADBE consolidated these items -- see O169 and O174.
</t>
        </r>
      </text>
    </comment>
    <comment ref="O175" authorId="0" shapeId="0">
      <text>
        <r>
          <rPr>
            <sz val="10"/>
            <color indexed="81"/>
            <rFont val="Calibri"/>
            <family val="2"/>
          </rPr>
          <t xml:space="preserve">ADBE consolidated these items -- see O169 and O174.
</t>
        </r>
      </text>
    </comment>
  </commentList>
</comments>
</file>

<file path=xl/sharedStrings.xml><?xml version="1.0" encoding="utf-8"?>
<sst xmlns="http://schemas.openxmlformats.org/spreadsheetml/2006/main" count="324" uniqueCount="217">
  <si>
    <t>(Dollars in millions, except per share data)</t>
  </si>
  <si>
    <t>Multiple Valuation</t>
  </si>
  <si>
    <t>P/E used for valuation</t>
  </si>
  <si>
    <t xml:space="preserve">Segment Data &amp; Income Statement Ratios </t>
  </si>
  <si>
    <t>Basic EPS (GAAP)</t>
  </si>
  <si>
    <t>Diluted EPS (GAAP)</t>
  </si>
  <si>
    <t>Basic shares outstanding (GAAP)</t>
  </si>
  <si>
    <t>Diluted shares outstanding (GAAP)</t>
  </si>
  <si>
    <t>Diluted EPS (Non-GAAP)</t>
  </si>
  <si>
    <t>Net income (Non-GAAP)</t>
  </si>
  <si>
    <t>NTM P/E 3-month average</t>
  </si>
  <si>
    <t>NTM P/E 3-month high</t>
  </si>
  <si>
    <t>NTM P/E 3-month low</t>
  </si>
  <si>
    <t>FY 2014</t>
  </si>
  <si>
    <t>FY 2016E</t>
  </si>
  <si>
    <t>FY 2017E</t>
  </si>
  <si>
    <t xml:space="preserve">Plus net cash/(debt) per share </t>
  </si>
  <si>
    <t>Implied P/E 12-month target value</t>
  </si>
  <si>
    <t>Dividend per share</t>
  </si>
  <si>
    <t>Analysis of share count changes</t>
  </si>
  <si>
    <t>Change in basic shares  (excluding repurchases)</t>
  </si>
  <si>
    <t>Change in diluted shares  (excluding repurchases)</t>
  </si>
  <si>
    <t>Share repurchase assumptions: average price</t>
  </si>
  <si>
    <t>Share repurchase: amount in the period ($M)</t>
  </si>
  <si>
    <t>Shares repurchased (M) [repurchase details are rounded]</t>
  </si>
  <si>
    <t>1Q14</t>
  </si>
  <si>
    <t>2Q14</t>
  </si>
  <si>
    <t>3Q14</t>
  </si>
  <si>
    <t>4Q14</t>
  </si>
  <si>
    <t>1Q15</t>
  </si>
  <si>
    <t>2Q15</t>
  </si>
  <si>
    <t>3Q16E</t>
  </si>
  <si>
    <t>4Q16E</t>
  </si>
  <si>
    <t>1Q17E</t>
  </si>
  <si>
    <t>2Q17E</t>
  </si>
  <si>
    <t>3Q17E</t>
  </si>
  <si>
    <t>4Q17E</t>
  </si>
  <si>
    <t>3Q15</t>
  </si>
  <si>
    <t>General and administrative</t>
  </si>
  <si>
    <t>Income before income taxes (GAAP)</t>
  </si>
  <si>
    <t>Gross margin (GAAP)</t>
  </si>
  <si>
    <t>Effective income tax rate</t>
  </si>
  <si>
    <t>Operating Income (GAAP)</t>
  </si>
  <si>
    <t>Operating Income (Non-GAAP)</t>
  </si>
  <si>
    <t>Operating Income Margin (GAAP)</t>
  </si>
  <si>
    <t>Operating Income Margin (Non-GAAP)</t>
  </si>
  <si>
    <t>Total Operating Expenses (ex cost of revenue)</t>
  </si>
  <si>
    <t>Interest expense</t>
  </si>
  <si>
    <t>Net income (GAAP)</t>
  </si>
  <si>
    <t>($ in millions  unless otherwise noted)</t>
  </si>
  <si>
    <t>Average interest expense</t>
  </si>
  <si>
    <t>Blue cells = Gutenberg® estimates</t>
  </si>
  <si>
    <t>Research and development</t>
  </si>
  <si>
    <t>Sales and marketing</t>
  </si>
  <si>
    <t>Ratio Analysis</t>
  </si>
  <si>
    <t>Gross margin (Non-GAAP)</t>
  </si>
  <si>
    <t>EBITDA Margin (Non-GAAP)</t>
  </si>
  <si>
    <t>Research and development as a % of revenue</t>
  </si>
  <si>
    <t>Sales and marketing as a % of revenue</t>
  </si>
  <si>
    <t>General and administrative as a % of revenue</t>
  </si>
  <si>
    <t>Other income/(expense) as a % of revenue</t>
  </si>
  <si>
    <t>Gross Profit (GAAP)</t>
  </si>
  <si>
    <t>Opex adjustments (Non-GAAP)</t>
  </si>
  <si>
    <t>Cost of revenue adjustments (Non-GAAP)</t>
  </si>
  <si>
    <t>Gross Profit (Non-GAAP)</t>
  </si>
  <si>
    <t>Non-GAAP Adjustment Analysis</t>
  </si>
  <si>
    <t>Stock-based compensation (Cost of revenue)</t>
  </si>
  <si>
    <t>Amortization of intangibles (Cost of revenue)</t>
  </si>
  <si>
    <t xml:space="preserve">   Total Stock-based compensation ($M)</t>
  </si>
  <si>
    <t xml:space="preserve">   Total Stock-based compensation as a % of revenue</t>
  </si>
  <si>
    <t xml:space="preserve">   Total Amortization of intangibles ($M)</t>
  </si>
  <si>
    <t xml:space="preserve">(a) Multiples are calculated excluding the value of net cash/(debt) and are based on the 3-month average daily share price compared to the consensus EPS estimates for the next twelve month period. </t>
  </si>
  <si>
    <t>4Q15</t>
  </si>
  <si>
    <t>FY 2015</t>
  </si>
  <si>
    <t>Implied target price band</t>
  </si>
  <si>
    <t>Mean monthly return</t>
  </si>
  <si>
    <t xml:space="preserve">Standard deviation </t>
  </si>
  <si>
    <t>Implied upper bound</t>
  </si>
  <si>
    <t>Implied Lower bound</t>
  </si>
  <si>
    <t>Risk Estimation Summary (b)</t>
  </si>
  <si>
    <t>Implied P/E target value</t>
  </si>
  <si>
    <t>By obtaining this model you are deemed to have read and agreed to our Terms of Use. Visit our website for details: https://www.gutenbergresearch.com/terms-of-use.html</t>
  </si>
  <si>
    <t>GR</t>
  </si>
  <si>
    <t>Segment Breakdown</t>
  </si>
  <si>
    <t>BALANCE SHEET</t>
  </si>
  <si>
    <t>Assets</t>
  </si>
  <si>
    <t>Cash and equivalents</t>
  </si>
  <si>
    <t xml:space="preserve">Accounts receivables, net </t>
  </si>
  <si>
    <t>Prepaid expenses other current assets</t>
  </si>
  <si>
    <t>Total Current Assets</t>
  </si>
  <si>
    <t xml:space="preserve">Property, plant and equipment, net </t>
  </si>
  <si>
    <t>Total Assets</t>
  </si>
  <si>
    <t>Liabilities</t>
  </si>
  <si>
    <t>Accounts payable</t>
  </si>
  <si>
    <t>Total Current liabilities</t>
  </si>
  <si>
    <t>Other long-term liabilities</t>
  </si>
  <si>
    <t>Total liabilities</t>
  </si>
  <si>
    <t>Equity</t>
  </si>
  <si>
    <t>Total shareholders' equity</t>
  </si>
  <si>
    <t>Total liabilities and equity</t>
  </si>
  <si>
    <t>CASH FLOW STATEMENT</t>
  </si>
  <si>
    <t>Cash flows from operating activities</t>
  </si>
  <si>
    <t>Net income (loss)</t>
  </si>
  <si>
    <t xml:space="preserve">Depreciation and amortization </t>
  </si>
  <si>
    <t>Stock-based comp expense</t>
  </si>
  <si>
    <t>Change in operating assets and liabilities</t>
  </si>
  <si>
    <t>Accounts receivable</t>
  </si>
  <si>
    <t>Prepaid expenses and other current assets</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</si>
  <si>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</si>
  <si>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</si>
  <si>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</si>
  <si>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</si>
  <si>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</si>
  <si>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</si>
  <si>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Effect of exchange rate changes on cash</t>
  </si>
  <si>
    <t>Cash and equivalents at beginning of period</t>
  </si>
  <si>
    <t>Cash and equivalents at end of period</t>
  </si>
  <si>
    <t>Net cash/(debt) per diluted share (Non-GAAP)</t>
  </si>
  <si>
    <t>Short-term investments</t>
  </si>
  <si>
    <t>Intangible assets</t>
  </si>
  <si>
    <t>Goodwill</t>
  </si>
  <si>
    <t>Other assets</t>
  </si>
  <si>
    <t>Commitments and contingencies</t>
  </si>
  <si>
    <t>Preferred stock</t>
  </si>
  <si>
    <t>Additional paid-in capital</t>
  </si>
  <si>
    <t xml:space="preserve">Common stock </t>
  </si>
  <si>
    <t>Deferred income taxes</t>
  </si>
  <si>
    <t>Other adjustments</t>
  </si>
  <si>
    <t>Purchases of property and equipment</t>
  </si>
  <si>
    <t>Adobe Systems Inc Income Statement</t>
  </si>
  <si>
    <t>Subscription</t>
  </si>
  <si>
    <t>Product</t>
  </si>
  <si>
    <t>Services and support</t>
  </si>
  <si>
    <t>Total revenue</t>
  </si>
  <si>
    <t>Total cost of revenue</t>
  </si>
  <si>
    <t>Restructuring and other charges</t>
  </si>
  <si>
    <t>Amortization of purchased intangibles</t>
  </si>
  <si>
    <t>Interest and other income (expense), net</t>
  </si>
  <si>
    <t>Investment gains (losses), net</t>
  </si>
  <si>
    <t>Investment in lease receivable</t>
  </si>
  <si>
    <t>Accrued restructuring</t>
  </si>
  <si>
    <t>Income taxes payable</t>
  </si>
  <si>
    <t>Deferred revenue</t>
  </si>
  <si>
    <t>Accrued expenses</t>
  </si>
  <si>
    <t>Debt and capital lease obligations</t>
  </si>
  <si>
    <t>Retained earnings</t>
  </si>
  <si>
    <t>Accumulated other comprehensive income (loss)</t>
  </si>
  <si>
    <t>Treasury stock</t>
  </si>
  <si>
    <t>Unrealized gains on investments</t>
  </si>
  <si>
    <t>Purchases of short-term investments</t>
  </si>
  <si>
    <t>Maturities of short-term investments</t>
  </si>
  <si>
    <t>Proceeds from sales of short-term investments</t>
  </si>
  <si>
    <t>Acquisitions, net of cash acquired</t>
  </si>
  <si>
    <t>Purchases of long-term investments</t>
  </si>
  <si>
    <t>Proceeds from sales of long-term investments</t>
  </si>
  <si>
    <t>Purchases of treasury stock</t>
  </si>
  <si>
    <t>Proceeds from debt and capital lease obligations</t>
  </si>
  <si>
    <t>Repayment of debt and capital lease obligations</t>
  </si>
  <si>
    <t>Debt issuance costs</t>
  </si>
  <si>
    <t>Proceeds from issuance of treasury stock</t>
  </si>
  <si>
    <t>Cost of issuance of treasury stock</t>
  </si>
  <si>
    <t>Excess tax benefit from share-based compensation, financing activities</t>
  </si>
  <si>
    <t>Excess tax benefit from share-based compensation, operating activities</t>
  </si>
  <si>
    <t>Tax benefit realized from exercise of stock options</t>
  </si>
  <si>
    <t>Digital Media revenue</t>
  </si>
  <si>
    <t>Print &amp; Publishing revenue</t>
  </si>
  <si>
    <t>Amortization of purchased intangibles as a % of revenue</t>
  </si>
  <si>
    <t>Investment gains (losses) as a % of revenue</t>
  </si>
  <si>
    <t>Stock-based compensation (Operating expenses)</t>
  </si>
  <si>
    <t>Amortization of intangibles (Operating expenses)</t>
  </si>
  <si>
    <t>Restructuring charges (Operating expenses)</t>
  </si>
  <si>
    <t>Provision/(Benefit) for income taxes (GAAP)</t>
  </si>
  <si>
    <t>1Q16</t>
  </si>
  <si>
    <t xml:space="preserve">     Digital Media revenue growth rate (QoQ)</t>
  </si>
  <si>
    <t xml:space="preserve">     Digital Marketing revenue growth rate (QoQ)</t>
  </si>
  <si>
    <t xml:space="preserve">     Print &amp; Publishing revenue growth rate (QoQ)</t>
  </si>
  <si>
    <t xml:space="preserve">     Digital Media gross margin</t>
  </si>
  <si>
    <t xml:space="preserve">     Digital Marketing gross margin</t>
  </si>
  <si>
    <t xml:space="preserve">     Print &amp; Publishing gross margin</t>
  </si>
  <si>
    <t xml:space="preserve">     Digital Media cost of revenue</t>
  </si>
  <si>
    <t xml:space="preserve">     Digital Marketing cost of revenue</t>
  </si>
  <si>
    <t xml:space="preserve">     Print &amp; Publishing cost of revenue</t>
  </si>
  <si>
    <t>Net income adjustments (Non-GAAP)</t>
  </si>
  <si>
    <t>Feb-14</t>
  </si>
  <si>
    <t>May-14</t>
  </si>
  <si>
    <t>Aug-14</t>
  </si>
  <si>
    <t>Nov-14</t>
  </si>
  <si>
    <t>Feb-15</t>
  </si>
  <si>
    <t>May-15</t>
  </si>
  <si>
    <t>Aug-15</t>
  </si>
  <si>
    <t>Nov-15</t>
  </si>
  <si>
    <t>Feb-16</t>
  </si>
  <si>
    <t>May-16</t>
  </si>
  <si>
    <t>Aug-16</t>
  </si>
  <si>
    <t>Nov-16</t>
  </si>
  <si>
    <t>Feb-17</t>
  </si>
  <si>
    <t>May-17</t>
  </si>
  <si>
    <t>Aug-17</t>
  </si>
  <si>
    <t>Nov-17</t>
  </si>
  <si>
    <t>Loss contingency (net income)</t>
  </si>
  <si>
    <t>Non-operating income (expense) (net income)</t>
  </si>
  <si>
    <t>Income tax adjustments (net income)</t>
  </si>
  <si>
    <t xml:space="preserve">   Income tax adjustments to total adjustments</t>
  </si>
  <si>
    <t>Restructuring and other charges (average)</t>
  </si>
  <si>
    <t>Total Digital Marketing revenue</t>
  </si>
  <si>
    <t>Adobe Marketing Cloud revenue</t>
  </si>
  <si>
    <t>LiveCycle and Web Conferencing revenue</t>
  </si>
  <si>
    <t>Adobe Marketing Cloud revenue YoY growth rate</t>
  </si>
  <si>
    <t>Purple cells = Company guidance (last update 6/21/2016)</t>
  </si>
  <si>
    <t xml:space="preserve"> Feb-16 </t>
  </si>
  <si>
    <t xml:space="preserve"> May-16 </t>
  </si>
  <si>
    <t xml:space="preserve"> 1Q16 </t>
  </si>
  <si>
    <t>2Q16</t>
  </si>
  <si>
    <t xml:space="preserve"> 2Q16</t>
  </si>
  <si>
    <t>Orange cells = Consensus estimates (last update 6/25/2016)</t>
  </si>
  <si>
    <r>
      <rPr>
        <b/>
        <sz val="11"/>
        <color theme="1"/>
        <rFont val="Calibri"/>
        <family val="2"/>
        <scheme val="minor"/>
      </rPr>
      <t>NOTE:</t>
    </r>
    <r>
      <rPr>
        <sz val="11"/>
        <color theme="1"/>
        <rFont val="Calibri"/>
        <family val="2"/>
        <scheme val="minor"/>
      </rPr>
      <t xml:space="preserve"> There are many different multiples which could be applied to various earnings metrics, each of which result in different valuations. This calculation is for demonstration only. Please refer to our disclosures for important details.  Our Multiple valuation metrics are kept constant at certain points during each quarter to isolate the impact from changes in earnings estimates.   </t>
    </r>
    <r>
      <rPr>
        <b/>
        <sz val="11"/>
        <color theme="3"/>
        <rFont val="Calibri"/>
        <family val="2"/>
        <scheme val="minor"/>
      </rPr>
      <t xml:space="preserve">The multiple  in this section was last updated on 6/25/2016. </t>
    </r>
  </si>
  <si>
    <r>
      <t xml:space="preserve">(b) 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on our website GutenbergResearch.com. </t>
    </r>
    <r>
      <rPr>
        <b/>
        <sz val="11"/>
        <color theme="4" tint="-0.499984740745262"/>
        <rFont val="Calibri"/>
        <family val="2"/>
        <scheme val="minor"/>
      </rPr>
      <t xml:space="preserve">The mean &amp; standard deviation in this section were last updated on 6/25/2016.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</si>
</sst>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9">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0.0\x"/>
    <numFmt numFmtId="168" formatCode="_(* #,##0.000_);_(* \(#,##0.000\);_(* &quot;-&quot;??_);_(@_)"/>
    <numFmt numFmtId="169" formatCode="#,##0.0_);\(#,##0.0\)"/>
    <numFmt numFmtId="170" formatCode="#,##0.0\ ;\(#,##0.0\)"/>
    <numFmt numFmtId="171" formatCode="#,##0\ ;\(#,##0.0\)"/>
    <numFmt numFmtId="172" formatCode="&quot;$&quot;0.00_)"/>
    <numFmt numFmtId="173" formatCode="#,##0&quot;%&quot;"/>
    <numFmt numFmtId="174" formatCode="#,##0___);\(#,##0.00\)"/>
    <numFmt numFmtId="175" formatCode="0%;\(0%\)"/>
    <numFmt numFmtId="176" formatCode="_(* #,##0,,_);_(* \(#,##0,,\);_(* &quot;-&quot;_)"/>
    <numFmt numFmtId="177" formatCode="_(* #,##0_);[Red]_(* \(#,##0\);_(* &quot;&quot;&quot;&quot;&quot;&quot;&quot;&quot;\ \-\ &quot;&quot;&quot;&quot;&quot;&quot;&quot;&quot;_);_(@_)"/>
    <numFmt numFmtId="178" formatCode="_(* #,##0,_);[Red]_(* \(#,##0,\);_(* &quot;&quot;&quot;&quot;&quot;&quot;&quot;&quot;\ \-\ &quot;&quot;&quot;&quot;&quot;&quot;&quot;&quot;_);_(@_)"/>
    <numFmt numFmtId="179" formatCode="0%;\(0%\);;"/>
    <numFmt numFmtId="180" formatCode="0%;\(0%\);&quot;-&quot;"/>
    <numFmt numFmtId="181" formatCode="#,##0_);[Red]\(#,##0\);&quot;-&quot;"/>
    <numFmt numFmtId="182" formatCode="*-"/>
    <numFmt numFmtId="183" formatCode="#,##0;\-#,##0;&quot;-&quot;"/>
    <numFmt numFmtId="184" formatCode="_._.&quot;$&quot;* \(#,##0\)_%;_._.&quot;$&quot;* #,##0_)_%;_._.&quot;$&quot;* 0_)_%;_._.@_)_%"/>
    <numFmt numFmtId="185" formatCode="_._.* \(#,##0\)_%;_._.* #,##0_)_%;_._.* 0_)_%;_._.@_)_%"/>
    <numFmt numFmtId="186" formatCode="&quot;$&quot;#,##0;\-&quot;$&quot;#,##0"/>
    <numFmt numFmtId="187" formatCode="_-&quot;$&quot;* #,##0_-;\-&quot;$&quot;* #,##0_-;_-&quot;$&quot;* &quot;-&quot;_-;_-@_-"/>
    <numFmt numFmtId="188" formatCode="_-&quot;$&quot;* #,##0.00_-;\-&quot;$&quot;* #,##0.00_-;_-&quot;$&quot;* &quot;-&quot;??_-;_-@_-"/>
    <numFmt numFmtId="189" formatCode="#,##0;\(#,##0\)"/>
    <numFmt numFmtId="190" formatCode="&quot;SFr.&quot;\ #,##0.00;&quot;SFr.&quot;\ \-#,##0.00"/>
    <numFmt numFmtId="191" formatCode="#,##0.00;\-#,##0.00;&quot;-&quot;"/>
    <numFmt numFmtId="192" formatCode="* #,##0.00_);\(#,##0.00\)"/>
    <numFmt numFmtId="193" formatCode="_([$€-2]* #,##0.00_);_([$€-2]* \(#,##0.00\);_([$€-2]* &quot;-&quot;??_)"/>
    <numFmt numFmtId="194" formatCode="0.0_)\%;\(0.0\)\%;0.0_)\%;@_)_%"/>
    <numFmt numFmtId="195" formatCode="#,##0.0_)_%;\(#,##0.0\)_%;0.0_)_%;@_)_%"/>
    <numFmt numFmtId="196" formatCode="#,##0.0_);\(#,##0.0\);#,##0.0_);@_)"/>
    <numFmt numFmtId="197" formatCode="&quot;$&quot;_(#,##0.00_);&quot;$&quot;\(#,##0.00\);&quot;$&quot;_(0.00_);@_)"/>
    <numFmt numFmtId="198" formatCode="#,##0.00_);\(#,##0.00\);0.00_);@_)"/>
    <numFmt numFmtId="199" formatCode="\€_(#,##0.00_);\€\(#,##0.00\);\€_(0.00_);@_)"/>
    <numFmt numFmtId="200" formatCode="#,##0_)\x;\(#,##0\)\x;0_)\x;@_)_x"/>
    <numFmt numFmtId="201" formatCode="#,##0_)_x;\(#,##0\)_x;0_)_x;@_)_x"/>
    <numFmt numFmtId="202" formatCode="#,##0.0000;\-#,##0.0000"/>
    <numFmt numFmtId="203" formatCode="#,##0.000000;\-#,##0.000000"/>
    <numFmt numFmtId="204" formatCode="#,##0.0;\-#,##0.0"/>
    <numFmt numFmtId="205" formatCode="#,##0.000;\-#,##0.000"/>
    <numFmt numFmtId="206" formatCode="#,##0.00000;\-#,##0.00000"/>
    <numFmt numFmtId="207" formatCode="#,##0.0000000;\-#,##0.0000000"/>
    <numFmt numFmtId="208" formatCode="#,##0.00000000;\-#,##0.00000000"/>
    <numFmt numFmtId="209" formatCode="#,##0.000000000;\-#,##0.000000000"/>
    <numFmt numFmtId="210" formatCode="#,##0.0000000000;\-#,##0.0000000000"/>
    <numFmt numFmtId="211" formatCode="_-* #,##0\ _D_M_-;\-* #,##0\ _D_M_-;_-* &quot;-&quot;\ _D_M_-;_-@_-"/>
    <numFmt numFmtId="212" formatCode="_-* #,##0.00\ _D_M_-;\-* #,##0.00\ _D_M_-;_-* &quot;-&quot;??\ _D_M_-;_-@_-"/>
    <numFmt numFmtId="213" formatCode="_-* #,##0\ &quot;DM&quot;_-;\-* #,##0\ &quot;DM&quot;_-;_-* &quot;-&quot;\ &quot;DM&quot;_-;_-@_-"/>
    <numFmt numFmtId="214" formatCode="_-* #,##0.00\ &quot;DM&quot;_-;\-* #,##0.00\ &quot;DM&quot;_-;_-* &quot;-&quot;??\ &quot;DM&quot;_-;_-@_-"/>
    <numFmt numFmtId="215" formatCode="0.0"/>
    <numFmt numFmtId="216" formatCode="0.000000"/>
    <numFmt numFmtId="217" formatCode="&quot;£&quot;#,##0;[Red]\-&quot;£&quot;#,##0"/>
    <numFmt numFmtId="218" formatCode="0.00_);[Red]\(0.00\)"/>
    <numFmt numFmtId="219" formatCode="&quot;£&quot;#,##0.00;[Red]\-&quot;£&quot;#,##0.00"/>
    <numFmt numFmtId="220" formatCode="_(* #,##0.000_);_(* \(#,##0.000\);_(* &quot;-&quot;_);_(@_)"/>
    <numFmt numFmtId="221" formatCode="_-&quot;£&quot;* #,##0_-;\-&quot;£&quot;* #,##0_-;_-&quot;£&quot;* &quot;-&quot;_-;_-@_-"/>
    <numFmt numFmtId="222" formatCode="_(&quot;$&quot;* #,##0,_);_(&quot;$&quot;* \(#,##0,\);_(&quot;$&quot;* &quot;-&quot;_);_(@_)"/>
    <numFmt numFmtId="223" formatCode="&quot;SFr.&quot;#,##0;[Red]&quot;SFr.&quot;\-#,##0"/>
    <numFmt numFmtId="224" formatCode="_-&quot;£&quot;* #,##0.00_-;\-&quot;£&quot;* #,##0.00_-;_-&quot;£&quot;* &quot;-&quot;??_-;_-@_-"/>
    <numFmt numFmtId="225" formatCode="#,##0;[Red]\(#,##0\)"/>
    <numFmt numFmtId="226" formatCode="0\x"/>
  </numFmts>
  <fonts count="77" x14ac:knownFonts="1">
    <font>
      <sz val="11"/>
      <color theme="1"/>
      <name val="Calibri"/>
      <family val="2"/>
      <scheme val="minor"/>
    </font>
    <font>
      <sz val="11"/>
      <color theme="1"/>
      <name val="Calibri"/>
      <family val="2"/>
      <scheme val="minor"/>
    </font>
    <font>
      <b/>
      <sz val="11"/>
      <color theme="1"/>
      <name val="Calibri"/>
      <family val="2"/>
      <scheme val="minor"/>
    </font>
    <font>
      <b/>
      <u val="singleAccounting"/>
      <sz val="11"/>
      <color theme="1"/>
      <name val="Calibri"/>
      <family val="2"/>
      <scheme val="minor"/>
    </font>
    <font>
      <u val="singleAccounting"/>
      <sz val="11"/>
      <color theme="1"/>
      <name val="Calibri"/>
      <family val="2"/>
      <scheme val="minor"/>
    </font>
    <font>
      <sz val="11"/>
      <color rgb="FF7030A0"/>
      <name val="Calibri"/>
      <family val="2"/>
      <scheme val="minor"/>
    </font>
    <font>
      <sz val="11"/>
      <color theme="3"/>
      <name val="Calibri"/>
      <family val="2"/>
      <scheme val="minor"/>
    </font>
    <font>
      <sz val="11"/>
      <color theme="9" tint="-0.499984740745262"/>
      <name val="Calibri"/>
      <family val="2"/>
      <scheme val="minor"/>
    </font>
    <font>
      <b/>
      <u/>
      <sz val="11"/>
      <color theme="1"/>
      <name val="Calibri"/>
      <family val="2"/>
      <scheme val="minor"/>
    </font>
    <font>
      <sz val="10"/>
      <name val="Arial"/>
      <family val="2"/>
    </font>
    <font>
      <sz val="11"/>
      <name val="Calibri"/>
      <family val="2"/>
      <scheme val="minor"/>
    </font>
    <font>
      <u val="singleAccounting"/>
      <sz val="11"/>
      <name val="Calibri"/>
      <family val="2"/>
      <scheme val="minor"/>
    </font>
    <font>
      <b/>
      <sz val="11"/>
      <name val="Calibri"/>
      <family val="2"/>
      <scheme val="minor"/>
    </font>
    <font>
      <sz val="11"/>
      <color rgb="FFFF0000"/>
      <name val="Calibri"/>
      <family val="2"/>
      <scheme val="minor"/>
    </font>
    <font>
      <sz val="11"/>
      <name val="Calibri"/>
      <family val="2"/>
    </font>
    <font>
      <b/>
      <u/>
      <sz val="12"/>
      <color theme="0" tint="-0.14999847407452621"/>
      <name val="Calibri"/>
      <family val="2"/>
      <scheme val="minor"/>
    </font>
    <font>
      <b/>
      <sz val="11"/>
      <color theme="0" tint="-0.14999847407452621"/>
      <name val="Calibri"/>
      <family val="2"/>
      <scheme val="minor"/>
    </font>
    <font>
      <sz val="10"/>
      <color theme="0" tint="-0.14999847407452621"/>
      <name val="Calibri"/>
      <family val="2"/>
      <scheme val="minor"/>
    </font>
    <font>
      <b/>
      <u val="singleAccounting"/>
      <sz val="11"/>
      <color theme="0" tint="-0.14999847407452621"/>
      <name val="Calibri"/>
      <family val="2"/>
      <scheme val="minor"/>
    </font>
    <font>
      <b/>
      <u val="singleAccounting"/>
      <sz val="11"/>
      <name val="Calibri"/>
      <family val="2"/>
      <scheme val="minor"/>
    </font>
    <font>
      <b/>
      <sz val="11"/>
      <color theme="3"/>
      <name val="Calibri"/>
      <family val="2"/>
      <scheme val="minor"/>
    </font>
    <font>
      <sz val="10"/>
      <name val="Tms Rmn"/>
    </font>
    <font>
      <sz val="10"/>
      <name val="Helv"/>
    </font>
    <font>
      <sz val="10"/>
      <color indexed="8"/>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8"/>
      <name val="Helv"/>
    </font>
    <font>
      <b/>
      <sz val="12"/>
      <name val="Tms Rmn"/>
    </font>
    <font>
      <b/>
      <i/>
      <sz val="12"/>
      <name val="Tms Rmn"/>
    </font>
    <font>
      <b/>
      <sz val="10"/>
      <name val="MS Sans Serif"/>
      <family val="2"/>
    </font>
    <font>
      <b/>
      <sz val="11"/>
      <name val="Arial"/>
      <family val="2"/>
    </font>
    <font>
      <b/>
      <sz val="10"/>
      <name val="Arial"/>
      <family val="2"/>
    </font>
    <font>
      <sz val="10"/>
      <name val="MS Sans Serif"/>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sz val="10"/>
      <color indexed="14"/>
      <name val="Arial"/>
      <family val="2"/>
    </font>
    <font>
      <sz val="10"/>
      <color indexed="10"/>
      <name val="Arial"/>
      <family val="2"/>
    </font>
    <font>
      <b/>
      <sz val="10"/>
      <color indexed="10"/>
      <name val="Arial"/>
      <family val="2"/>
    </font>
    <font>
      <sz val="8"/>
      <name val="Tms Rmn"/>
    </font>
    <font>
      <sz val="12"/>
      <name val="Times New Roman"/>
      <family val="1"/>
    </font>
    <font>
      <sz val="7"/>
      <name val="Small Fonts"/>
      <family val="2"/>
    </font>
    <font>
      <b/>
      <u/>
      <sz val="26"/>
      <color indexed="9"/>
      <name val="Arial"/>
      <family val="2"/>
    </font>
    <font>
      <sz val="12"/>
      <name val="Helv"/>
    </font>
    <font>
      <sz val="10"/>
      <color theme="1"/>
      <name val="Arial"/>
      <family val="2"/>
    </font>
    <font>
      <sz val="10"/>
      <name val="Helv"/>
      <family val="2"/>
    </font>
    <font>
      <u/>
      <sz val="11"/>
      <color theme="10"/>
      <name val="Calibri"/>
      <family val="2"/>
    </font>
    <font>
      <u/>
      <sz val="10"/>
      <color theme="10"/>
      <name val="Trebuchet MS"/>
      <family val="2"/>
    </font>
    <font>
      <sz val="12"/>
      <name val="Helv"/>
      <family val="2"/>
    </font>
    <font>
      <sz val="10"/>
      <name val="Trebuchet MS"/>
      <family val="2"/>
    </font>
    <font>
      <sz val="10"/>
      <name val="Tms Rmn"/>
      <family val="1"/>
    </font>
    <font>
      <sz val="11"/>
      <color indexed="8"/>
      <name val="Calibri"/>
      <family val="2"/>
    </font>
    <font>
      <u/>
      <sz val="10"/>
      <color indexed="12"/>
      <name val="Arial"/>
      <family val="2"/>
    </font>
    <font>
      <b/>
      <sz val="10"/>
      <color rgb="FF404040"/>
      <name val="Segoe UI"/>
      <family val="2"/>
    </font>
    <font>
      <sz val="10"/>
      <color rgb="FF404040"/>
      <name val="Segoe UI"/>
      <family val="2"/>
    </font>
    <font>
      <b/>
      <sz val="11"/>
      <color theme="1" tint="0.14999847407452621"/>
      <name val="Calibri"/>
      <family val="2"/>
      <scheme val="minor"/>
    </font>
    <font>
      <b/>
      <u val="singleAccounting"/>
      <sz val="11"/>
      <color theme="1" tint="0.14999847407452621"/>
      <name val="Calibri"/>
      <family val="2"/>
      <scheme val="minor"/>
    </font>
    <font>
      <u/>
      <sz val="11"/>
      <color theme="1"/>
      <name val="Calibri"/>
      <family val="2"/>
      <scheme val="minor"/>
    </font>
    <font>
      <b/>
      <sz val="11"/>
      <color theme="4" tint="-0.499984740745262"/>
      <name val="Calibri"/>
      <family val="2"/>
      <scheme val="minor"/>
    </font>
    <font>
      <sz val="11"/>
      <color theme="0"/>
      <name val="Calibri"/>
      <family val="2"/>
      <scheme val="minor"/>
    </font>
    <font>
      <sz val="10"/>
      <color indexed="81"/>
      <name val="Calibri"/>
      <family val="2"/>
    </font>
    <font>
      <b/>
      <sz val="10"/>
      <color indexed="81"/>
      <name val="Calibri"/>
      <family val="2"/>
    </font>
    <font>
      <u/>
      <sz val="11"/>
      <color theme="10"/>
      <name val="Calibri"/>
      <family val="2"/>
      <scheme val="minor"/>
    </font>
    <font>
      <u/>
      <sz val="11"/>
      <color theme="11"/>
      <name val="Calibri"/>
      <family val="2"/>
      <scheme val="minor"/>
    </font>
    <font>
      <sz val="9"/>
      <color indexed="81"/>
      <name val="Tahoma"/>
      <family val="2"/>
    </font>
    <font>
      <b/>
      <sz val="11"/>
      <color rgb="FFD9D9D9"/>
      <name val="Calibri"/>
      <family val="2"/>
      <scheme val="minor"/>
    </font>
    <font>
      <b/>
      <u val="singleAccounting"/>
      <sz val="11"/>
      <color rgb="FFD9D9D9"/>
      <name val="Calibri"/>
      <family val="2"/>
      <scheme val="minor"/>
    </font>
  </fonts>
  <fills count="17">
    <fill>
      <patternFill patternType="none"/>
    </fill>
    <fill>
      <patternFill patternType="gray125"/>
    </fill>
    <fill>
      <patternFill patternType="solid">
        <fgColor theme="4" tint="0.39997558519241921"/>
        <bgColor indexed="64"/>
      </patternFill>
    </fill>
    <fill>
      <patternFill patternType="solid">
        <fgColor theme="1" tint="0.3499862666707357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7" tint="0.39997558519241921"/>
        <bgColor indexed="64"/>
      </patternFill>
    </fill>
    <fill>
      <patternFill patternType="solid">
        <fgColor rgb="FF95B3D8"/>
        <bgColor indexed="64"/>
      </patternFill>
    </fill>
    <fill>
      <patternFill patternType="solid">
        <fgColor rgb="FFB1A1C8"/>
        <bgColor indexed="64"/>
      </patternFill>
    </fill>
    <fill>
      <patternFill patternType="solid">
        <fgColor rgb="FF595959"/>
        <bgColor indexed="64"/>
      </patternFill>
    </fill>
    <fill>
      <patternFill patternType="solid">
        <fgColor rgb="FF595959"/>
        <bgColor rgb="FF000000"/>
      </patternFill>
    </fill>
    <fill>
      <patternFill patternType="solid">
        <fgColor rgb="FFFBC08E"/>
        <bgColor indexed="64"/>
      </patternFill>
    </fill>
  </fills>
  <borders count="37">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right/>
      <top style="hair">
        <color indexed="8"/>
      </top>
      <bottom style="hair">
        <color indexed="8"/>
      </bottom>
      <diagonal/>
    </border>
    <border>
      <left/>
      <right/>
      <top/>
      <bottom style="medium">
        <color indexed="18"/>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top style="thin">
        <color auto="1"/>
      </top>
      <bottom style="double">
        <color auto="1"/>
      </bottom>
      <diagonal/>
    </border>
    <border>
      <left/>
      <right/>
      <top/>
      <bottom style="double">
        <color auto="1"/>
      </bottom>
      <diagonal/>
    </border>
    <border>
      <left style="thin">
        <color auto="1"/>
      </left>
      <right style="thin">
        <color auto="1"/>
      </right>
      <top/>
      <bottom style="dotted">
        <color auto="1"/>
      </bottom>
      <diagonal/>
    </border>
    <border>
      <left style="thin">
        <color auto="1"/>
      </left>
      <right/>
      <top/>
      <bottom style="dotted">
        <color auto="1"/>
      </bottom>
      <diagonal/>
    </border>
    <border>
      <left/>
      <right style="thin">
        <color auto="1"/>
      </right>
      <top/>
      <bottom style="dotted">
        <color auto="1"/>
      </bottom>
      <diagonal/>
    </border>
    <border>
      <left/>
      <right/>
      <top/>
      <bottom style="dotted">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dotted">
        <color auto="1"/>
      </top>
      <bottom/>
      <diagonal/>
    </border>
    <border>
      <left style="thin">
        <color auto="1"/>
      </left>
      <right/>
      <top style="dotted">
        <color auto="1"/>
      </top>
      <bottom/>
      <diagonal/>
    </border>
    <border>
      <left/>
      <right style="thin">
        <color auto="1"/>
      </right>
      <top style="dotted">
        <color auto="1"/>
      </top>
      <bottom/>
      <diagonal/>
    </border>
    <border>
      <left/>
      <right/>
      <top style="dotted">
        <color auto="1"/>
      </top>
      <bottom/>
      <diagonal/>
    </border>
  </borders>
  <cellStyleXfs count="343">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lignment vertical="top"/>
    </xf>
    <xf numFmtId="0" fontId="14" fillId="0" borderId="0"/>
    <xf numFmtId="43" fontId="14" fillId="0" borderId="0" applyFont="0" applyFill="0" applyBorder="0" applyAlignment="0" applyProtection="0"/>
    <xf numFmtId="37" fontId="21" fillId="0" borderId="0"/>
    <xf numFmtId="194" fontId="9" fillId="0" borderId="0" applyFont="0" applyFill="0" applyBorder="0" applyAlignment="0" applyProtection="0"/>
    <xf numFmtId="195" fontId="9" fillId="0" borderId="0" applyFont="0" applyFill="0" applyBorder="0" applyAlignment="0" applyProtection="0"/>
    <xf numFmtId="196" fontId="9" fillId="0" borderId="0" applyFont="0" applyFill="0" applyBorder="0" applyAlignment="0" applyProtection="0"/>
    <xf numFmtId="197" fontId="9" fillId="0" borderId="0" applyFont="0" applyFill="0" applyBorder="0" applyAlignment="0" applyProtection="0"/>
    <xf numFmtId="198" fontId="9" fillId="0" borderId="0" applyFont="0" applyFill="0" applyBorder="0" applyAlignment="0" applyProtection="0"/>
    <xf numFmtId="199" fontId="9"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9" fillId="6" borderId="0" applyNumberFormat="0" applyFont="0" applyAlignment="0" applyProtection="0"/>
    <xf numFmtId="200" fontId="9" fillId="0" borderId="0" applyFont="0" applyFill="0" applyBorder="0" applyAlignment="0" applyProtection="0"/>
    <xf numFmtId="201" fontId="9" fillId="0" borderId="0" applyFont="0" applyFill="0" applyBorder="0" applyProtection="0">
      <alignment horizontal="right"/>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6" fillId="0" borderId="18" applyNumberFormat="0" applyFill="0" applyAlignment="0" applyProtection="0"/>
    <xf numFmtId="0" fontId="27" fillId="0" borderId="19" applyNumberFormat="0" applyFill="0" applyProtection="0">
      <alignment horizontal="center"/>
    </xf>
    <xf numFmtId="0" fontId="27" fillId="0" borderId="0" applyNumberFormat="0" applyFill="0" applyBorder="0" applyProtection="0">
      <alignment horizontal="left"/>
    </xf>
    <xf numFmtId="0" fontId="28" fillId="0" borderId="0" applyNumberFormat="0" applyFill="0" applyBorder="0" applyProtection="0">
      <alignment horizontal="centerContinuous"/>
    </xf>
    <xf numFmtId="0" fontId="50" fillId="0" borderId="0" applyNumberFormat="0" applyFill="0" applyBorder="0" applyAlignment="0" applyProtection="0"/>
    <xf numFmtId="192" fontId="29" fillId="0" borderId="0">
      <alignment horizontal="center"/>
    </xf>
    <xf numFmtId="37" fontId="30" fillId="0" borderId="0"/>
    <xf numFmtId="37" fontId="31" fillId="0" borderId="0"/>
    <xf numFmtId="186" fontId="32" fillId="0" borderId="2"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32" fillId="0" borderId="2"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32" fillId="0" borderId="2"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32" fillId="0" borderId="2" applyAlignment="0" applyProtection="0"/>
    <xf numFmtId="186" fontId="1" fillId="0" borderId="0" applyAlignment="0" applyProtection="0"/>
    <xf numFmtId="186" fontId="1" fillId="0" borderId="0" applyAlignment="0" applyProtection="0"/>
    <xf numFmtId="186" fontId="1" fillId="0" borderId="0" applyAlignment="0" applyProtection="0"/>
    <xf numFmtId="186" fontId="32" fillId="0" borderId="2" applyAlignment="0" applyProtection="0"/>
    <xf numFmtId="186" fontId="32" fillId="0" borderId="2" applyAlignment="0" applyProtection="0"/>
    <xf numFmtId="186" fontId="32" fillId="0" borderId="2" applyAlignment="0" applyProtection="0"/>
    <xf numFmtId="186" fontId="32" fillId="0" borderId="2" applyAlignment="0" applyProtection="0"/>
    <xf numFmtId="186" fontId="1" fillId="0" borderId="0" applyAlignment="0" applyProtection="0"/>
    <xf numFmtId="183" fontId="23" fillId="0" borderId="0" applyFill="0" applyBorder="0" applyAlignment="0"/>
    <xf numFmtId="176" fontId="9" fillId="0" borderId="0" applyFill="0" applyBorder="0" applyAlignment="0"/>
    <xf numFmtId="177" fontId="9" fillId="0" borderId="0" applyFill="0" applyBorder="0" applyAlignment="0"/>
    <xf numFmtId="178" fontId="9" fillId="0" borderId="0" applyFill="0" applyBorder="0" applyAlignment="0"/>
    <xf numFmtId="179" fontId="9" fillId="0" borderId="0" applyFill="0" applyBorder="0" applyAlignment="0"/>
    <xf numFmtId="183" fontId="23" fillId="0" borderId="0" applyFill="0" applyBorder="0" applyAlignment="0"/>
    <xf numFmtId="180" fontId="9" fillId="0" borderId="0" applyFill="0" applyBorder="0" applyAlignment="0"/>
    <xf numFmtId="176" fontId="9" fillId="0" borderId="0" applyFill="0" applyBorder="0" applyAlignment="0"/>
    <xf numFmtId="0" fontId="33" fillId="0" borderId="0" applyFill="0" applyBorder="0" applyProtection="0">
      <alignment horizontal="center"/>
      <protection locked="0"/>
    </xf>
    <xf numFmtId="0" fontId="22" fillId="0" borderId="0"/>
    <xf numFmtId="171" fontId="22" fillId="0" borderId="7"/>
    <xf numFmtId="215" fontId="1" fillId="0" borderId="0"/>
    <xf numFmtId="215" fontId="1" fillId="0" borderId="0"/>
    <xf numFmtId="183" fontId="9" fillId="0" borderId="0" applyFont="0" applyFill="0" applyBorder="0" applyAlignment="0" applyProtection="0"/>
    <xf numFmtId="4" fontId="22" fillId="0" borderId="0" applyFont="0" applyFill="0" applyBorder="0" applyAlignment="0" applyProtection="0"/>
    <xf numFmtId="43" fontId="9" fillId="0" borderId="0" applyFont="0" applyFill="0" applyBorder="0" applyAlignment="0" applyProtection="0">
      <alignment wrapText="1"/>
    </xf>
    <xf numFmtId="43" fontId="9" fillId="0" borderId="0" applyFont="0" applyFill="0" applyBorder="0" applyAlignment="0" applyProtection="0">
      <alignment wrapText="1"/>
    </xf>
    <xf numFmtId="43" fontId="9" fillId="0" borderId="0" applyFont="0" applyFill="0" applyBorder="0" applyAlignment="0" applyProtection="0">
      <alignment wrapText="1"/>
    </xf>
    <xf numFmtId="4" fontId="22" fillId="0" borderId="0" applyFont="0" applyFill="0" applyBorder="0" applyAlignment="0" applyProtection="0"/>
    <xf numFmtId="4" fontId="1" fillId="0" borderId="0" applyFont="0" applyFill="0" applyBorder="0" applyAlignment="0" applyProtection="0"/>
    <xf numFmtId="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36" fillId="0" borderId="0" applyNumberFormat="0" applyFill="0" applyBorder="0" applyAlignment="0" applyProtection="0"/>
    <xf numFmtId="0" fontId="37" fillId="0" borderId="0" applyFill="0" applyBorder="0" applyAlignment="0" applyProtection="0">
      <protection locked="0"/>
    </xf>
    <xf numFmtId="191" fontId="9" fillId="0" borderId="0">
      <alignment horizontal="center"/>
    </xf>
    <xf numFmtId="185" fontId="38" fillId="0" borderId="0" applyFill="0" applyBorder="0" applyProtection="0"/>
    <xf numFmtId="184" fontId="39" fillId="0" borderId="0" applyFont="0" applyFill="0" applyBorder="0" applyAlignment="0" applyProtection="0"/>
    <xf numFmtId="172" fontId="40" fillId="0" borderId="20">
      <protection hidden="1"/>
    </xf>
    <xf numFmtId="176" fontId="9" fillId="0" borderId="0" applyFont="0" applyFill="0" applyBorder="0" applyAlignment="0" applyProtection="0"/>
    <xf numFmtId="8" fontId="1" fillId="0" borderId="0" applyFont="0" applyFill="0" applyBorder="0" applyAlignment="0" applyProtection="0"/>
    <xf numFmtId="44" fontId="9" fillId="0" borderId="0" applyFont="0" applyFill="0" applyBorder="0" applyAlignment="0" applyProtection="0"/>
    <xf numFmtId="0" fontId="36" fillId="0" borderId="0" applyNumberFormat="0" applyFill="0" applyBorder="0" applyAlignment="0" applyProtection="0"/>
    <xf numFmtId="1" fontId="29" fillId="0" borderId="0"/>
    <xf numFmtId="14" fontId="41" fillId="0" borderId="0">
      <alignment horizontal="center"/>
    </xf>
    <xf numFmtId="14" fontId="23" fillId="0" borderId="0" applyFill="0" applyBorder="0" applyAlignment="0"/>
    <xf numFmtId="15" fontId="42" fillId="7" borderId="0" applyNumberFormat="0" applyFont="0" applyFill="0" applyBorder="0" applyAlignment="0">
      <alignment horizontal="center" wrapText="1"/>
    </xf>
    <xf numFmtId="0" fontId="23" fillId="0" borderId="21" applyNumberFormat="0" applyFill="0" applyBorder="0" applyAlignment="0" applyProtection="0"/>
    <xf numFmtId="190" fontId="22" fillId="0" borderId="0" applyFont="0" applyFill="0" applyBorder="0" applyAlignment="0" applyProtection="0"/>
    <xf numFmtId="189" fontId="39" fillId="0" borderId="0" applyFont="0" applyFill="0" applyBorder="0" applyAlignment="0" applyProtection="0"/>
    <xf numFmtId="183" fontId="43" fillId="0" borderId="0" applyFill="0" applyBorder="0" applyAlignment="0"/>
    <xf numFmtId="176" fontId="9" fillId="0" borderId="0" applyFill="0" applyBorder="0" applyAlignment="0"/>
    <xf numFmtId="183" fontId="43" fillId="0" borderId="0" applyFill="0" applyBorder="0" applyAlignment="0"/>
    <xf numFmtId="180" fontId="9" fillId="0" borderId="0" applyFill="0" applyBorder="0" applyAlignment="0"/>
    <xf numFmtId="176" fontId="9" fillId="0" borderId="0" applyFill="0" applyBorder="0" applyAlignment="0"/>
    <xf numFmtId="172" fontId="40" fillId="0" borderId="20">
      <protection hidden="1"/>
    </xf>
    <xf numFmtId="193" fontId="9" fillId="0" borderId="0" applyFont="0" applyFill="0" applyBorder="0" applyAlignment="0" applyProtection="0"/>
    <xf numFmtId="38" fontId="44" fillId="7" borderId="0" applyNumberFormat="0" applyBorder="0" applyAlignment="0" applyProtection="0"/>
    <xf numFmtId="0" fontId="45" fillId="0" borderId="22" applyNumberFormat="0" applyAlignment="0" applyProtection="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45" fillId="0" borderId="9">
      <alignment horizontal="left" vertical="center"/>
    </xf>
    <xf numFmtId="0" fontId="45" fillId="0" borderId="9">
      <alignment horizontal="left" vertical="center"/>
    </xf>
    <xf numFmtId="0" fontId="45" fillId="0" borderId="9">
      <alignment horizontal="left" vertical="center"/>
    </xf>
    <xf numFmtId="0" fontId="1" fillId="0" borderId="0">
      <alignment horizontal="left" vertical="center"/>
    </xf>
    <xf numFmtId="14" fontId="34" fillId="8" borderId="20">
      <alignment horizontal="center" vertical="center" wrapText="1"/>
    </xf>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3" fillId="0" borderId="0" applyFill="0" applyAlignment="0" applyProtection="0">
      <protection locked="0"/>
    </xf>
    <xf numFmtId="0" fontId="33" fillId="0" borderId="7" applyFill="0" applyAlignment="0" applyProtection="0">
      <protection locked="0"/>
    </xf>
    <xf numFmtId="10" fontId="44" fillId="9" borderId="21" applyNumberFormat="0" applyBorder="0" applyAlignment="0" applyProtection="0"/>
    <xf numFmtId="183" fontId="46" fillId="0" borderId="0" applyFill="0" applyBorder="0" applyAlignment="0"/>
    <xf numFmtId="176" fontId="9" fillId="0" borderId="0" applyFill="0" applyBorder="0" applyAlignment="0"/>
    <xf numFmtId="183" fontId="46" fillId="0" borderId="0" applyFill="0" applyBorder="0" applyAlignment="0"/>
    <xf numFmtId="180" fontId="9" fillId="0" borderId="0" applyFill="0" applyBorder="0" applyAlignment="0"/>
    <xf numFmtId="176" fontId="9" fillId="0" borderId="0" applyFill="0" applyBorder="0" applyAlignment="0"/>
    <xf numFmtId="211" fontId="9" fillId="0" borderId="0" applyFont="0" applyFill="0" applyBorder="0" applyAlignment="0" applyProtection="0"/>
    <xf numFmtId="212" fontId="9" fillId="0" borderId="0" applyFont="0" applyFill="0" applyBorder="0" applyAlignment="0" applyProtection="0"/>
    <xf numFmtId="38" fontId="35" fillId="0" borderId="0" applyFont="0" applyFill="0" applyBorder="0" applyAlignment="0" applyProtection="0"/>
    <xf numFmtId="40" fontId="35" fillId="0" borderId="0" applyFont="0" applyFill="0" applyBorder="0" applyAlignment="0" applyProtection="0"/>
    <xf numFmtId="213" fontId="9" fillId="0" borderId="0" applyFont="0" applyFill="0" applyBorder="0" applyAlignment="0" applyProtection="0"/>
    <xf numFmtId="214" fontId="9" fillId="0" borderId="0" applyFont="0" applyFill="0" applyBorder="0" applyAlignment="0" applyProtection="0"/>
    <xf numFmtId="6" fontId="35" fillId="0" borderId="0" applyFont="0" applyFill="0" applyBorder="0" applyAlignment="0" applyProtection="0"/>
    <xf numFmtId="8" fontId="35" fillId="0" borderId="0" applyFont="0" applyFill="0" applyBorder="0" applyAlignment="0" applyProtection="0"/>
    <xf numFmtId="169" fontId="29" fillId="0" borderId="7"/>
    <xf numFmtId="37" fontId="51" fillId="0" borderId="0"/>
    <xf numFmtId="170" fontId="22" fillId="0" borderId="0"/>
    <xf numFmtId="170" fontId="1" fillId="0" borderId="0"/>
    <xf numFmtId="175" fontId="9" fillId="0" borderId="0"/>
    <xf numFmtId="37" fontId="21" fillId="0" borderId="0"/>
    <xf numFmtId="0" fontId="9" fillId="0" borderId="0"/>
    <xf numFmtId="0" fontId="1" fillId="0" borderId="0"/>
    <xf numFmtId="0" fontId="9" fillId="0" borderId="0"/>
    <xf numFmtId="0" fontId="9" fillId="0" borderId="0"/>
    <xf numFmtId="0" fontId="9" fillId="0" borderId="0">
      <alignment wrapText="1"/>
    </xf>
    <xf numFmtId="0" fontId="9" fillId="0" borderId="0"/>
    <xf numFmtId="37" fontId="21" fillId="0" borderId="0"/>
    <xf numFmtId="37" fontId="1" fillId="0" borderId="0"/>
    <xf numFmtId="37" fontId="1" fillId="0" borderId="0"/>
    <xf numFmtId="37" fontId="9" fillId="0" borderId="0"/>
    <xf numFmtId="210" fontId="9" fillId="0" borderId="0"/>
    <xf numFmtId="204" fontId="9" fillId="0" borderId="0"/>
    <xf numFmtId="39" fontId="9" fillId="0" borderId="0"/>
    <xf numFmtId="205" fontId="9" fillId="0" borderId="0"/>
    <xf numFmtId="202" fontId="9" fillId="0" borderId="0"/>
    <xf numFmtId="206" fontId="9" fillId="0" borderId="0"/>
    <xf numFmtId="203" fontId="9" fillId="0" borderId="0"/>
    <xf numFmtId="207" fontId="9" fillId="0" borderId="0"/>
    <xf numFmtId="208" fontId="9" fillId="0" borderId="0"/>
    <xf numFmtId="209" fontId="9" fillId="0" borderId="0"/>
    <xf numFmtId="174" fontId="35" fillId="0" borderId="0"/>
    <xf numFmtId="173" fontId="40" fillId="0" borderId="0">
      <protection hidden="1"/>
    </xf>
    <xf numFmtId="179" fontId="9" fillId="0" borderId="0" applyFont="0" applyFill="0" applyBorder="0" applyAlignment="0" applyProtection="0"/>
    <xf numFmtId="175" fontId="9" fillId="0" borderId="0" applyFont="0" applyFill="0" applyBorder="0" applyAlignment="0" applyProtection="0"/>
    <xf numFmtId="10" fontId="9"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5" fillId="0" borderId="23" applyNumberFormat="0" applyBorder="0"/>
    <xf numFmtId="169" fontId="29" fillId="0" borderId="0"/>
    <xf numFmtId="0" fontId="52" fillId="10" borderId="24" applyNumberFormat="0" applyFont="0" applyFill="0" applyAlignment="0">
      <alignment horizontal="center" vertical="center"/>
    </xf>
    <xf numFmtId="183" fontId="47" fillId="0" borderId="0" applyFill="0" applyBorder="0" applyAlignment="0"/>
    <xf numFmtId="176" fontId="9" fillId="0" borderId="0" applyFill="0" applyBorder="0" applyAlignment="0"/>
    <xf numFmtId="183" fontId="47" fillId="0" borderId="0" applyFill="0" applyBorder="0" applyAlignment="0"/>
    <xf numFmtId="180" fontId="9" fillId="0" borderId="0" applyFill="0" applyBorder="0" applyAlignment="0"/>
    <xf numFmtId="176" fontId="9" fillId="0" borderId="0" applyFill="0" applyBorder="0" applyAlignment="0"/>
    <xf numFmtId="37" fontId="21" fillId="0" borderId="25"/>
    <xf numFmtId="0" fontId="53" fillId="0" borderId="0"/>
    <xf numFmtId="0" fontId="22" fillId="0" borderId="0"/>
    <xf numFmtId="0" fontId="35" fillId="0" borderId="0"/>
    <xf numFmtId="49" fontId="23" fillId="0" borderId="0" applyFill="0" applyBorder="0" applyAlignment="0"/>
    <xf numFmtId="181" fontId="9" fillId="0" borderId="0" applyFill="0" applyBorder="0" applyAlignment="0"/>
    <xf numFmtId="182" fontId="9" fillId="0" borderId="0" applyFill="0" applyBorder="0" applyAlignment="0"/>
    <xf numFmtId="49" fontId="9" fillId="0" borderId="0"/>
    <xf numFmtId="0" fontId="48" fillId="0" borderId="0" applyFill="0" applyBorder="0" applyProtection="0">
      <alignment horizontal="left" vertical="top"/>
    </xf>
    <xf numFmtId="40" fontId="49"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37" fontId="21" fillId="0" borderId="7"/>
    <xf numFmtId="37" fontId="21" fillId="0" borderId="26"/>
    <xf numFmtId="187" fontId="9" fillId="0" borderId="0" applyFont="0" applyFill="0" applyBorder="0" applyAlignment="0" applyProtection="0"/>
    <xf numFmtId="188" fontId="9" fillId="0" borderId="0" applyFont="0" applyFill="0" applyBorder="0" applyAlignment="0" applyProtection="0"/>
    <xf numFmtId="0" fontId="9" fillId="0" borderId="0"/>
    <xf numFmtId="0" fontId="9" fillId="0" borderId="0"/>
    <xf numFmtId="37" fontId="9" fillId="0" borderId="0"/>
    <xf numFmtId="39" fontId="9" fillId="0" borderId="0"/>
    <xf numFmtId="0" fontId="55" fillId="0" borderId="0"/>
    <xf numFmtId="216" fontId="9" fillId="0" borderId="0" applyFill="0" applyBorder="0" applyAlignment="0"/>
    <xf numFmtId="164" fontId="9" fillId="0" borderId="0" applyFill="0" applyBorder="0" applyAlignment="0"/>
    <xf numFmtId="217" fontId="9" fillId="0" borderId="0" applyFill="0" applyBorder="0" applyAlignment="0"/>
    <xf numFmtId="218" fontId="9" fillId="0" borderId="0" applyFill="0" applyBorder="0" applyAlignment="0"/>
    <xf numFmtId="219" fontId="9" fillId="0" borderId="0" applyFill="0" applyBorder="0" applyAlignment="0"/>
    <xf numFmtId="220" fontId="9" fillId="0" borderId="0" applyFill="0" applyBorder="0" applyAlignment="0"/>
    <xf numFmtId="221" fontId="9" fillId="0" borderId="0" applyFill="0" applyBorder="0" applyAlignment="0"/>
    <xf numFmtId="164" fontId="9" fillId="0" borderId="0" applyFill="0" applyBorder="0" applyAlignment="0"/>
    <xf numFmtId="222" fontId="9" fillId="0" borderId="0"/>
    <xf numFmtId="222" fontId="9" fillId="0" borderId="0"/>
    <xf numFmtId="222" fontId="9" fillId="0" borderId="0"/>
    <xf numFmtId="222" fontId="9" fillId="0" borderId="0"/>
    <xf numFmtId="222" fontId="9" fillId="0" borderId="0"/>
    <xf numFmtId="222" fontId="9" fillId="0" borderId="0"/>
    <xf numFmtId="222" fontId="9" fillId="0" borderId="0"/>
    <xf numFmtId="222" fontId="9" fillId="0" borderId="0"/>
    <xf numFmtId="0" fontId="55" fillId="0" borderId="7"/>
    <xf numFmtId="220"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164" fontId="9" fillId="0" borderId="0" applyFont="0" applyFill="0" applyBorder="0" applyAlignment="0" applyProtection="0"/>
    <xf numFmtId="220" fontId="9" fillId="0" borderId="0" applyFill="0" applyBorder="0" applyAlignment="0"/>
    <xf numFmtId="164" fontId="9" fillId="0" borderId="0" applyFill="0" applyBorder="0" applyAlignment="0"/>
    <xf numFmtId="220" fontId="9" fillId="0" borderId="0" applyFill="0" applyBorder="0" applyAlignment="0"/>
    <xf numFmtId="221" fontId="9" fillId="0" borderId="0" applyFill="0" applyBorder="0" applyAlignment="0"/>
    <xf numFmtId="164" fontId="9" fillId="0" borderId="0" applyFill="0" applyBorder="0" applyAlignment="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220" fontId="9" fillId="0" borderId="0" applyFill="0" applyBorder="0" applyAlignment="0"/>
    <xf numFmtId="164" fontId="9" fillId="0" borderId="0" applyFill="0" applyBorder="0" applyAlignment="0"/>
    <xf numFmtId="220" fontId="9" fillId="0" borderId="0" applyFill="0" applyBorder="0" applyAlignment="0"/>
    <xf numFmtId="221" fontId="9" fillId="0" borderId="0" applyFill="0" applyBorder="0" applyAlignment="0"/>
    <xf numFmtId="164" fontId="9" fillId="0" borderId="0" applyFill="0" applyBorder="0" applyAlignment="0"/>
    <xf numFmtId="223" fontId="9" fillId="0" borderId="0"/>
    <xf numFmtId="0" fontId="58" fillId="0" borderId="0"/>
    <xf numFmtId="0" fontId="58" fillId="0" borderId="0"/>
    <xf numFmtId="0" fontId="58" fillId="0" borderId="0"/>
    <xf numFmtId="0" fontId="58" fillId="0" borderId="0"/>
    <xf numFmtId="0" fontId="9" fillId="0" borderId="0">
      <alignment wrapText="1"/>
    </xf>
    <xf numFmtId="0" fontId="59" fillId="0" borderId="0"/>
    <xf numFmtId="0" fontId="1" fillId="0" borderId="0"/>
    <xf numFmtId="0" fontId="1" fillId="0" borderId="0"/>
    <xf numFmtId="0" fontId="9" fillId="0" borderId="0"/>
    <xf numFmtId="0" fontId="1" fillId="0" borderId="0"/>
    <xf numFmtId="0" fontId="54" fillId="0" borderId="0"/>
    <xf numFmtId="0" fontId="1" fillId="0" borderId="0"/>
    <xf numFmtId="0" fontId="9" fillId="0" borderId="0">
      <alignment wrapText="1"/>
    </xf>
    <xf numFmtId="219" fontId="9" fillId="0" borderId="0" applyFont="0" applyFill="0" applyBorder="0" applyAlignment="0" applyProtection="0"/>
    <xf numFmtId="223" fontId="9"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220" fontId="9" fillId="0" borderId="0" applyFill="0" applyBorder="0" applyAlignment="0"/>
    <xf numFmtId="164" fontId="9" fillId="0" borderId="0" applyFill="0" applyBorder="0" applyAlignment="0"/>
    <xf numFmtId="220" fontId="9" fillId="0" borderId="0" applyFill="0" applyBorder="0" applyAlignment="0"/>
    <xf numFmtId="221" fontId="9" fillId="0" borderId="0" applyFill="0" applyBorder="0" applyAlignment="0"/>
    <xf numFmtId="164" fontId="9" fillId="0" borderId="0" applyFill="0" applyBorder="0" applyAlignment="0"/>
    <xf numFmtId="224" fontId="9" fillId="0" borderId="0" applyFill="0" applyBorder="0" applyAlignment="0"/>
    <xf numFmtId="225" fontId="9" fillId="0" borderId="0" applyFill="0" applyBorder="0" applyAlignment="0"/>
    <xf numFmtId="37" fontId="60" fillId="0" borderId="0"/>
    <xf numFmtId="4" fontId="55" fillId="0" borderId="0" applyFont="0" applyFill="0" applyBorder="0" applyAlignment="0" applyProtection="0"/>
    <xf numFmtId="9" fontId="61" fillId="0" borderId="0" applyFont="0" applyFill="0" applyBorder="0" applyAlignment="0" applyProtection="0"/>
    <xf numFmtId="0" fontId="56"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9" fontId="61" fillId="0" borderId="0" applyFont="0" applyFill="0" applyBorder="0" applyAlignment="0" applyProtection="0"/>
    <xf numFmtId="37" fontId="64" fillId="0" borderId="20">
      <alignment horizontal="right"/>
      <protection locked="0"/>
    </xf>
    <xf numFmtId="37" fontId="63" fillId="0" borderId="20">
      <alignment horizontal="right"/>
      <protection locked="0"/>
    </xf>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cellStyleXfs>
  <cellXfs count="383">
    <xf numFmtId="0" fontId="0" fillId="0" borderId="0" xfId="0"/>
    <xf numFmtId="164" fontId="0" fillId="0" borderId="0" xfId="1" applyNumberFormat="1" applyFont="1" applyAlignment="1">
      <alignment horizontal="right"/>
    </xf>
    <xf numFmtId="164" fontId="3" fillId="0" borderId="0" xfId="1" quotePrefix="1" applyNumberFormat="1" applyFont="1" applyFill="1" applyBorder="1" applyAlignment="1">
      <alignment horizontal="right"/>
    </xf>
    <xf numFmtId="0" fontId="0" fillId="0" borderId="0" xfId="0" applyAlignment="1">
      <alignment horizontal="right"/>
    </xf>
    <xf numFmtId="0" fontId="0" fillId="0" borderId="3" xfId="0" applyFont="1" applyBorder="1"/>
    <xf numFmtId="9" fontId="6" fillId="0" borderId="0" xfId="2" applyFont="1" applyBorder="1" applyAlignment="1">
      <alignment horizontal="right"/>
    </xf>
    <xf numFmtId="9" fontId="0" fillId="0" borderId="0" xfId="2" applyFont="1" applyBorder="1" applyAlignment="1">
      <alignment horizontal="right"/>
    </xf>
    <xf numFmtId="9" fontId="5" fillId="0" borderId="0" xfId="2" applyFont="1" applyBorder="1" applyAlignment="1">
      <alignment horizontal="right"/>
    </xf>
    <xf numFmtId="9" fontId="7" fillId="0" borderId="0" xfId="2" applyFont="1" applyBorder="1" applyAlignment="1">
      <alignment horizontal="right"/>
    </xf>
    <xf numFmtId="164" fontId="0" fillId="0" borderId="0" xfId="1" applyNumberFormat="1" applyFont="1" applyFill="1" applyAlignment="1">
      <alignment horizontal="right"/>
    </xf>
    <xf numFmtId="164" fontId="3" fillId="0" borderId="5" xfId="1" quotePrefix="1" applyNumberFormat="1" applyFont="1" applyFill="1" applyBorder="1" applyAlignment="1">
      <alignment horizontal="right"/>
    </xf>
    <xf numFmtId="0" fontId="0" fillId="0" borderId="0" xfId="0" applyFont="1"/>
    <xf numFmtId="43" fontId="0" fillId="0" borderId="0" xfId="1" applyFont="1" applyAlignment="1">
      <alignment horizontal="right"/>
    </xf>
    <xf numFmtId="164" fontId="2" fillId="0" borderId="0" xfId="1" quotePrefix="1" applyNumberFormat="1" applyFont="1" applyFill="1" applyBorder="1" applyAlignment="1">
      <alignment horizontal="right"/>
    </xf>
    <xf numFmtId="0" fontId="2" fillId="0" borderId="3" xfId="0" applyFont="1" applyFill="1" applyBorder="1"/>
    <xf numFmtId="43" fontId="0" fillId="0" borderId="0" xfId="1" applyFont="1" applyFill="1"/>
    <xf numFmtId="165" fontId="0" fillId="0" borderId="0" xfId="0" applyNumberFormat="1" applyFill="1"/>
    <xf numFmtId="43" fontId="0" fillId="0" borderId="0" xfId="1" applyFont="1" applyFill="1" applyAlignment="1">
      <alignment horizontal="right"/>
    </xf>
    <xf numFmtId="0" fontId="2" fillId="0" borderId="0" xfId="0" applyFont="1"/>
    <xf numFmtId="0" fontId="13" fillId="0" borderId="0" xfId="0" applyFont="1"/>
    <xf numFmtId="0" fontId="0" fillId="0" borderId="0" xfId="0" applyAlignment="1">
      <alignment horizontal="left"/>
    </xf>
    <xf numFmtId="164" fontId="0" fillId="0" borderId="0" xfId="1" applyNumberFormat="1" applyFont="1" applyBorder="1" applyAlignment="1">
      <alignment horizontal="right"/>
    </xf>
    <xf numFmtId="0" fontId="0" fillId="0" borderId="0" xfId="0" applyBorder="1" applyAlignment="1">
      <alignment horizontal="right"/>
    </xf>
    <xf numFmtId="0" fontId="2" fillId="0" borderId="0" xfId="0" applyFont="1" applyFill="1" applyBorder="1" applyAlignment="1">
      <alignment horizontal="left"/>
    </xf>
    <xf numFmtId="0" fontId="0" fillId="0" borderId="0" xfId="0"/>
    <xf numFmtId="0" fontId="0" fillId="0" borderId="3" xfId="0" applyFont="1" applyFill="1" applyBorder="1"/>
    <xf numFmtId="0" fontId="2" fillId="0" borderId="3" xfId="0" applyFont="1" applyBorder="1" applyAlignment="1">
      <alignment horizontal="left"/>
    </xf>
    <xf numFmtId="0" fontId="0" fillId="0" borderId="0" xfId="0"/>
    <xf numFmtId="168" fontId="0" fillId="0" borderId="0" xfId="1" applyNumberFormat="1" applyFont="1" applyBorder="1" applyAlignment="1">
      <alignment horizontal="right"/>
    </xf>
    <xf numFmtId="0" fontId="8" fillId="0" borderId="10" xfId="0" applyFont="1" applyFill="1" applyBorder="1" applyAlignment="1">
      <alignment horizontal="left"/>
    </xf>
    <xf numFmtId="166" fontId="1" fillId="0" borderId="0" xfId="2" quotePrefix="1" applyNumberFormat="1" applyFont="1" applyFill="1" applyBorder="1" applyAlignment="1">
      <alignment horizontal="right"/>
    </xf>
    <xf numFmtId="165" fontId="1" fillId="0" borderId="5" xfId="1" quotePrefix="1" applyNumberFormat="1" applyFont="1" applyFill="1" applyBorder="1" applyAlignment="1">
      <alignment horizontal="right"/>
    </xf>
    <xf numFmtId="166" fontId="1" fillId="2" borderId="0" xfId="2" quotePrefix="1" applyNumberFormat="1" applyFont="1" applyFill="1" applyBorder="1" applyAlignment="1">
      <alignment horizontal="right"/>
    </xf>
    <xf numFmtId="164" fontId="0" fillId="0" borderId="0" xfId="1" applyNumberFormat="1" applyFont="1" applyFill="1" applyBorder="1" applyAlignment="1">
      <alignment horizontal="right"/>
    </xf>
    <xf numFmtId="43" fontId="0" fillId="0" borderId="4" xfId="1" applyFont="1" applyFill="1" applyBorder="1" applyAlignment="1">
      <alignment horizontal="right"/>
    </xf>
    <xf numFmtId="0" fontId="0" fillId="0" borderId="6" xfId="0" applyFont="1" applyFill="1" applyBorder="1" applyAlignment="1">
      <alignment horizontal="left"/>
    </xf>
    <xf numFmtId="43" fontId="1" fillId="0" borderId="0" xfId="1" applyNumberFormat="1" applyFont="1" applyFill="1" applyBorder="1" applyAlignment="1">
      <alignment horizontal="right"/>
    </xf>
    <xf numFmtId="43" fontId="10" fillId="0" borderId="0" xfId="1" applyNumberFormat="1" applyFont="1" applyFill="1" applyBorder="1" applyAlignment="1">
      <alignment horizontal="right"/>
    </xf>
    <xf numFmtId="43" fontId="1" fillId="0" borderId="4" xfId="1" applyNumberFormat="1" applyFont="1" applyFill="1" applyBorder="1" applyAlignment="1">
      <alignment horizontal="right"/>
    </xf>
    <xf numFmtId="43" fontId="1" fillId="0" borderId="5" xfId="1" applyNumberFormat="1" applyFont="1" applyFill="1" applyBorder="1" applyAlignment="1">
      <alignment horizontal="right"/>
    </xf>
    <xf numFmtId="165" fontId="3" fillId="0" borderId="5" xfId="1" quotePrefix="1" applyNumberFormat="1" applyFont="1" applyFill="1" applyBorder="1" applyAlignment="1">
      <alignment horizontal="right"/>
    </xf>
    <xf numFmtId="166" fontId="1" fillId="0" borderId="5" xfId="2" quotePrefix="1" applyNumberFormat="1" applyFont="1" applyFill="1" applyBorder="1" applyAlignment="1">
      <alignment horizontal="right"/>
    </xf>
    <xf numFmtId="43" fontId="1" fillId="0" borderId="0" xfId="1" applyNumberFormat="1" applyFont="1" applyFill="1" applyBorder="1" applyAlignment="1">
      <alignment horizontal="right"/>
    </xf>
    <xf numFmtId="165" fontId="1" fillId="0" borderId="0" xfId="1" quotePrefix="1" applyNumberFormat="1" applyFont="1" applyFill="1" applyBorder="1" applyAlignment="1">
      <alignment horizontal="right"/>
    </xf>
    <xf numFmtId="165" fontId="0" fillId="0" borderId="0" xfId="0" applyNumberFormat="1"/>
    <xf numFmtId="0" fontId="8" fillId="0" borderId="4" xfId="0" applyFont="1" applyFill="1" applyBorder="1" applyAlignment="1">
      <alignment horizontal="left"/>
    </xf>
    <xf numFmtId="166" fontId="1" fillId="0" borderId="3" xfId="2" quotePrefix="1" applyNumberFormat="1" applyFont="1" applyFill="1" applyBorder="1" applyAlignment="1">
      <alignment horizontal="right"/>
    </xf>
    <xf numFmtId="166" fontId="1" fillId="0" borderId="4" xfId="2" quotePrefix="1" applyNumberFormat="1" applyFont="1" applyFill="1" applyBorder="1" applyAlignment="1">
      <alignment horizontal="right"/>
    </xf>
    <xf numFmtId="165" fontId="1" fillId="0" borderId="28" xfId="1" quotePrefix="1" applyNumberFormat="1" applyFont="1" applyFill="1" applyBorder="1" applyAlignment="1">
      <alignment horizontal="right"/>
    </xf>
    <xf numFmtId="165" fontId="1" fillId="0" borderId="27" xfId="1" quotePrefix="1" applyNumberFormat="1" applyFont="1" applyFill="1" applyBorder="1" applyAlignment="1">
      <alignment horizontal="right"/>
    </xf>
    <xf numFmtId="164" fontId="18" fillId="3" borderId="0" xfId="1" quotePrefix="1" applyNumberFormat="1" applyFont="1" applyFill="1" applyBorder="1" applyAlignment="1">
      <alignment horizontal="right"/>
    </xf>
    <xf numFmtId="164" fontId="66" fillId="5" borderId="0" xfId="1" quotePrefix="1" applyNumberFormat="1" applyFont="1" applyFill="1" applyBorder="1" applyAlignment="1">
      <alignment horizontal="right"/>
    </xf>
    <xf numFmtId="0" fontId="0" fillId="0" borderId="0" xfId="0"/>
    <xf numFmtId="0" fontId="0" fillId="0" borderId="0" xfId="0"/>
    <xf numFmtId="165" fontId="1" fillId="0" borderId="29" xfId="1" quotePrefix="1" applyNumberFormat="1" applyFont="1" applyFill="1" applyBorder="1" applyAlignment="1">
      <alignment horizontal="right"/>
    </xf>
    <xf numFmtId="165" fontId="1" fillId="0" borderId="30" xfId="1" quotePrefix="1" applyNumberFormat="1" applyFont="1" applyFill="1" applyBorder="1" applyAlignment="1">
      <alignment horizontal="right"/>
    </xf>
    <xf numFmtId="166" fontId="1" fillId="0" borderId="30" xfId="2" quotePrefix="1" applyNumberFormat="1" applyFont="1" applyFill="1" applyBorder="1" applyAlignment="1">
      <alignment horizontal="right"/>
    </xf>
    <xf numFmtId="168" fontId="2" fillId="0" borderId="0" xfId="1" quotePrefix="1" applyNumberFormat="1" applyFont="1" applyFill="1" applyBorder="1" applyAlignment="1">
      <alignment horizontal="right"/>
    </xf>
    <xf numFmtId="0" fontId="0" fillId="0" borderId="0" xfId="0"/>
    <xf numFmtId="0" fontId="0" fillId="0" borderId="0" xfId="0" applyFont="1"/>
    <xf numFmtId="0" fontId="2" fillId="0" borderId="0" xfId="0" applyFont="1"/>
    <xf numFmtId="164" fontId="16" fillId="3" borderId="2" xfId="1" quotePrefix="1" applyNumberFormat="1" applyFont="1" applyFill="1" applyBorder="1" applyAlignment="1">
      <alignment horizontal="right"/>
    </xf>
    <xf numFmtId="164" fontId="18" fillId="3" borderId="0" xfId="1" quotePrefix="1" applyNumberFormat="1" applyFont="1" applyFill="1" applyBorder="1" applyAlignment="1">
      <alignment horizontal="right"/>
    </xf>
    <xf numFmtId="164" fontId="65" fillId="5" borderId="2" xfId="1" quotePrefix="1" applyNumberFormat="1" applyFont="1" applyFill="1" applyBorder="1" applyAlignment="1">
      <alignment horizontal="right"/>
    </xf>
    <xf numFmtId="164" fontId="66" fillId="5" borderId="0" xfId="1" quotePrefix="1" applyNumberFormat="1" applyFont="1" applyFill="1" applyBorder="1" applyAlignment="1">
      <alignment horizontal="right"/>
    </xf>
    <xf numFmtId="0" fontId="0" fillId="0" borderId="3" xfId="0" applyFont="1" applyBorder="1" applyAlignment="1">
      <alignment horizontal="left"/>
    </xf>
    <xf numFmtId="0" fontId="0" fillId="0" borderId="4" xfId="0" applyFont="1" applyBorder="1" applyAlignment="1">
      <alignment horizontal="left"/>
    </xf>
    <xf numFmtId="0" fontId="2" fillId="0" borderId="6" xfId="0" applyFont="1" applyFill="1" applyBorder="1" applyAlignment="1">
      <alignment horizontal="left"/>
    </xf>
    <xf numFmtId="166" fontId="1" fillId="2" borderId="4" xfId="2" quotePrefix="1" applyNumberFormat="1" applyFont="1" applyFill="1" applyBorder="1" applyAlignment="1">
      <alignment horizontal="right"/>
    </xf>
    <xf numFmtId="165" fontId="2" fillId="0" borderId="9" xfId="1" applyNumberFormat="1" applyFont="1" applyFill="1" applyBorder="1" applyAlignment="1">
      <alignment horizontal="right"/>
    </xf>
    <xf numFmtId="166" fontId="1" fillId="2" borderId="3" xfId="2" quotePrefix="1" applyNumberFormat="1" applyFont="1" applyFill="1" applyBorder="1" applyAlignment="1">
      <alignment horizontal="right"/>
    </xf>
    <xf numFmtId="164" fontId="65" fillId="5" borderId="11" xfId="1" quotePrefix="1" applyNumberFormat="1" applyFont="1" applyFill="1" applyBorder="1" applyAlignment="1">
      <alignment horizontal="right"/>
    </xf>
    <xf numFmtId="164" fontId="66" fillId="5" borderId="4" xfId="1" quotePrefix="1" applyNumberFormat="1" applyFont="1" applyFill="1" applyBorder="1" applyAlignment="1">
      <alignment horizontal="right"/>
    </xf>
    <xf numFmtId="0" fontId="0" fillId="0" borderId="3" xfId="0" applyFont="1" applyBorder="1" applyAlignment="1">
      <alignment horizontal="left"/>
    </xf>
    <xf numFmtId="0" fontId="0" fillId="0" borderId="3" xfId="0" applyFont="1" applyBorder="1" applyAlignment="1">
      <alignment horizontal="left"/>
    </xf>
    <xf numFmtId="0" fontId="0" fillId="0" borderId="0" xfId="0" applyFill="1"/>
    <xf numFmtId="165" fontId="2" fillId="0" borderId="27" xfId="1" quotePrefix="1" applyNumberFormat="1" applyFont="1" applyBorder="1" applyAlignment="1">
      <alignment horizontal="right"/>
    </xf>
    <xf numFmtId="165" fontId="2" fillId="0" borderId="30" xfId="1" quotePrefix="1" applyNumberFormat="1" applyFont="1" applyFill="1" applyBorder="1" applyAlignment="1">
      <alignment horizontal="right"/>
    </xf>
    <xf numFmtId="0" fontId="0" fillId="0" borderId="3" xfId="0" applyFont="1" applyBorder="1" applyAlignment="1">
      <alignment horizontal="left"/>
    </xf>
    <xf numFmtId="0" fontId="0" fillId="0" borderId="4" xfId="0" applyFont="1" applyBorder="1" applyAlignment="1">
      <alignment horizontal="left"/>
    </xf>
    <xf numFmtId="0" fontId="0" fillId="0" borderId="3" xfId="0" applyFont="1" applyFill="1" applyBorder="1" applyAlignment="1">
      <alignment horizontal="left"/>
    </xf>
    <xf numFmtId="0" fontId="2" fillId="0" borderId="3" xfId="0" applyFont="1" applyFill="1" applyBorder="1" applyAlignment="1">
      <alignment horizontal="left"/>
    </xf>
    <xf numFmtId="165" fontId="2" fillId="0" borderId="0" xfId="0" applyNumberFormat="1" applyFont="1"/>
    <xf numFmtId="43" fontId="1" fillId="0" borderId="5" xfId="1" quotePrefix="1" applyFont="1" applyFill="1" applyBorder="1" applyAlignment="1">
      <alignment horizontal="right"/>
    </xf>
    <xf numFmtId="43" fontId="1" fillId="0" borderId="3" xfId="1" applyNumberFormat="1" applyFont="1" applyFill="1" applyBorder="1" applyAlignment="1">
      <alignment horizontal="right"/>
    </xf>
    <xf numFmtId="43" fontId="2" fillId="0" borderId="0" xfId="1" applyNumberFormat="1" applyFont="1" applyFill="1" applyBorder="1" applyAlignment="1">
      <alignment horizontal="right"/>
    </xf>
    <xf numFmtId="43" fontId="2" fillId="0" borderId="4" xfId="1" applyNumberFormat="1" applyFont="1" applyFill="1" applyBorder="1" applyAlignment="1">
      <alignment horizontal="right"/>
    </xf>
    <xf numFmtId="43" fontId="2" fillId="0" borderId="3" xfId="1" applyNumberFormat="1" applyFont="1" applyFill="1" applyBorder="1" applyAlignment="1">
      <alignment horizontal="right"/>
    </xf>
    <xf numFmtId="165" fontId="0" fillId="0" borderId="0" xfId="1" applyNumberFormat="1" applyFont="1"/>
    <xf numFmtId="166" fontId="1" fillId="0" borderId="27" xfId="2" quotePrefix="1" applyNumberFormat="1" applyFont="1" applyFill="1" applyBorder="1" applyAlignment="1">
      <alignment horizontal="right"/>
    </xf>
    <xf numFmtId="168" fontId="1" fillId="0" borderId="0" xfId="1" quotePrefix="1" applyNumberFormat="1" applyFont="1" applyFill="1" applyBorder="1" applyAlignment="1">
      <alignment horizontal="right"/>
    </xf>
    <xf numFmtId="168" fontId="0" fillId="0" borderId="0" xfId="1" applyNumberFormat="1" applyFont="1"/>
    <xf numFmtId="0" fontId="4" fillId="0" borderId="0" xfId="0" applyFont="1"/>
    <xf numFmtId="168" fontId="1" fillId="0" borderId="4" xfId="1" quotePrefix="1" applyNumberFormat="1" applyFont="1" applyFill="1" applyBorder="1" applyAlignment="1">
      <alignment horizontal="right"/>
    </xf>
    <xf numFmtId="168" fontId="1" fillId="0" borderId="3" xfId="1" quotePrefix="1" applyNumberFormat="1" applyFont="1" applyFill="1" applyBorder="1" applyAlignment="1">
      <alignment horizontal="right"/>
    </xf>
    <xf numFmtId="0" fontId="67" fillId="0" borderId="4" xfId="0" applyFont="1" applyFill="1" applyBorder="1" applyAlignment="1">
      <alignment horizontal="left"/>
    </xf>
    <xf numFmtId="226" fontId="0" fillId="0" borderId="4" xfId="2" applyNumberFormat="1" applyFont="1" applyFill="1" applyBorder="1" applyAlignment="1">
      <alignment horizontal="right"/>
    </xf>
    <xf numFmtId="226" fontId="0" fillId="0" borderId="4" xfId="1" applyNumberFormat="1" applyFont="1" applyFill="1" applyBorder="1" applyAlignment="1">
      <alignment horizontal="right"/>
    </xf>
    <xf numFmtId="226" fontId="0" fillId="2" borderId="4" xfId="1" applyNumberFormat="1" applyFont="1" applyFill="1" applyBorder="1" applyAlignment="1">
      <alignment horizontal="right"/>
    </xf>
    <xf numFmtId="6" fontId="2" fillId="0" borderId="10" xfId="1" applyNumberFormat="1" applyFont="1" applyBorder="1" applyAlignment="1">
      <alignment horizontal="right"/>
    </xf>
    <xf numFmtId="166" fontId="0" fillId="0" borderId="0" xfId="2" applyNumberFormat="1" applyFont="1" applyAlignment="1">
      <alignment horizontal="right"/>
    </xf>
    <xf numFmtId="10" fontId="0" fillId="0" borderId="0" xfId="2" applyNumberFormat="1" applyFont="1" applyAlignment="1">
      <alignment horizontal="right"/>
    </xf>
    <xf numFmtId="0" fontId="0" fillId="0" borderId="1" xfId="0" applyFont="1" applyBorder="1"/>
    <xf numFmtId="5" fontId="0" fillId="0" borderId="4" xfId="1" applyNumberFormat="1" applyFont="1" applyFill="1" applyBorder="1" applyAlignment="1">
      <alignment horizontal="right"/>
    </xf>
    <xf numFmtId="0" fontId="0" fillId="0" borderId="31" xfId="0" applyFont="1" applyFill="1" applyBorder="1"/>
    <xf numFmtId="6" fontId="0" fillId="0" borderId="32" xfId="0" applyNumberFormat="1" applyFont="1" applyBorder="1"/>
    <xf numFmtId="0" fontId="2" fillId="0" borderId="1" xfId="0" applyFont="1" applyFill="1" applyBorder="1" applyAlignment="1">
      <alignment horizontal="left"/>
    </xf>
    <xf numFmtId="167" fontId="0" fillId="0" borderId="0" xfId="2" applyNumberFormat="1" applyFont="1" applyFill="1" applyBorder="1" applyAlignment="1">
      <alignment horizontal="right"/>
    </xf>
    <xf numFmtId="167" fontId="0" fillId="0" borderId="0" xfId="1" applyNumberFormat="1" applyFont="1" applyFill="1" applyBorder="1" applyAlignment="1">
      <alignment horizontal="right"/>
    </xf>
    <xf numFmtId="7" fontId="2" fillId="0" borderId="0" xfId="1" applyNumberFormat="1" applyFont="1" applyFill="1" applyBorder="1" applyAlignment="1">
      <alignment horizontal="right"/>
    </xf>
    <xf numFmtId="166" fontId="0" fillId="0" borderId="0" xfId="1" applyNumberFormat="1" applyFont="1" applyAlignment="1">
      <alignment horizontal="right"/>
    </xf>
    <xf numFmtId="9" fontId="0" fillId="2" borderId="11" xfId="1" applyNumberFormat="1" applyFont="1" applyFill="1" applyBorder="1" applyAlignment="1">
      <alignment horizontal="right"/>
    </xf>
    <xf numFmtId="9" fontId="0" fillId="2" borderId="4" xfId="2" applyFont="1" applyFill="1" applyBorder="1" applyAlignment="1">
      <alignment horizontal="right"/>
    </xf>
    <xf numFmtId="0" fontId="69" fillId="0" borderId="0" xfId="0" applyFont="1"/>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165" fontId="2" fillId="0" borderId="9" xfId="1" applyNumberFormat="1" applyFont="1" applyFill="1" applyBorder="1" applyAlignment="1">
      <alignment horizontal="left"/>
    </xf>
    <xf numFmtId="0" fontId="8" fillId="0" borderId="0" xfId="0" applyFont="1" applyFill="1" applyBorder="1" applyAlignment="1">
      <alignment horizontal="left"/>
    </xf>
    <xf numFmtId="164" fontId="13" fillId="0" borderId="0" xfId="1" applyNumberFormat="1" applyFont="1" applyAlignment="1">
      <alignment horizontal="right"/>
    </xf>
    <xf numFmtId="165" fontId="13" fillId="0" borderId="4" xfId="1" applyNumberFormat="1" applyFont="1" applyBorder="1" applyAlignment="1">
      <alignment horizontal="right"/>
    </xf>
    <xf numFmtId="165" fontId="13" fillId="0" borderId="5" xfId="1" applyNumberFormat="1" applyFont="1" applyBorder="1" applyAlignment="1">
      <alignment horizontal="right"/>
    </xf>
    <xf numFmtId="165" fontId="6" fillId="0" borderId="0" xfId="1" applyNumberFormat="1" applyFont="1" applyBorder="1" applyAlignment="1">
      <alignment horizontal="right"/>
    </xf>
    <xf numFmtId="165" fontId="7" fillId="0" borderId="5" xfId="1" applyNumberFormat="1" applyFont="1" applyBorder="1" applyAlignment="1">
      <alignment horizontal="right"/>
    </xf>
    <xf numFmtId="165" fontId="7" fillId="0" borderId="0" xfId="1" applyNumberFormat="1" applyFont="1" applyBorder="1" applyAlignment="1">
      <alignment horizontal="right"/>
    </xf>
    <xf numFmtId="0" fontId="0" fillId="0" borderId="0" xfId="0" applyFont="1" applyAlignment="1">
      <alignment horizontal="left"/>
    </xf>
    <xf numFmtId="165" fontId="0" fillId="0" borderId="3" xfId="1" applyNumberFormat="1" applyFont="1" applyFill="1" applyBorder="1" applyAlignment="1">
      <alignment horizontal="right"/>
    </xf>
    <xf numFmtId="165" fontId="0" fillId="0" borderId="0" xfId="1" applyNumberFormat="1" applyFont="1" applyBorder="1" applyAlignment="1">
      <alignment horizontal="right"/>
    </xf>
    <xf numFmtId="165" fontId="0" fillId="0" borderId="4" xfId="1" applyNumberFormat="1" applyFont="1" applyBorder="1" applyAlignment="1">
      <alignment horizontal="right"/>
    </xf>
    <xf numFmtId="165" fontId="0" fillId="0" borderId="5" xfId="1" applyNumberFormat="1" applyFont="1" applyBorder="1" applyAlignment="1">
      <alignment horizontal="right"/>
    </xf>
    <xf numFmtId="165" fontId="5" fillId="0" borderId="3" xfId="1" applyNumberFormat="1" applyFont="1" applyBorder="1" applyAlignment="1">
      <alignment horizontal="right"/>
    </xf>
    <xf numFmtId="0" fontId="0" fillId="0" borderId="4" xfId="0" applyFont="1" applyBorder="1" applyAlignment="1"/>
    <xf numFmtId="164" fontId="3" fillId="0" borderId="7" xfId="1" quotePrefix="1" applyNumberFormat="1" applyFont="1" applyFill="1" applyBorder="1" applyAlignment="1">
      <alignment horizontal="right"/>
    </xf>
    <xf numFmtId="164" fontId="3" fillId="0" borderId="8" xfId="1" quotePrefix="1" applyNumberFormat="1" applyFont="1" applyFill="1" applyBorder="1" applyAlignment="1">
      <alignment horizontal="right"/>
    </xf>
    <xf numFmtId="165" fontId="0" fillId="0" borderId="0" xfId="1" applyNumberFormat="1" applyFont="1" applyFill="1" applyBorder="1" applyAlignment="1">
      <alignment horizontal="right"/>
    </xf>
    <xf numFmtId="165" fontId="1" fillId="2" borderId="0" xfId="1" quotePrefix="1" applyNumberFormat="1" applyFont="1" applyFill="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10" fontId="1" fillId="0" borderId="0" xfId="2" quotePrefix="1" applyNumberFormat="1" applyFont="1" applyFill="1" applyBorder="1" applyAlignment="1">
      <alignment horizontal="right"/>
    </xf>
    <xf numFmtId="165" fontId="13" fillId="0" borderId="0" xfId="1" quotePrefix="1" applyNumberFormat="1" applyFont="1" applyFill="1" applyBorder="1" applyAlignment="1">
      <alignment horizontal="right"/>
    </xf>
    <xf numFmtId="0" fontId="0" fillId="0" borderId="3" xfId="0" applyFont="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165" fontId="10" fillId="0" borderId="0" xfId="1" applyNumberFormat="1" applyFont="1" applyFill="1" applyBorder="1" applyAlignment="1">
      <alignment horizontal="right"/>
    </xf>
    <xf numFmtId="165" fontId="12" fillId="0" borderId="0" xfId="1" applyNumberFormat="1" applyFont="1" applyFill="1" applyBorder="1" applyAlignment="1">
      <alignment horizontal="right"/>
    </xf>
    <xf numFmtId="165" fontId="1" fillId="0" borderId="5" xfId="1" applyNumberFormat="1" applyFont="1" applyFill="1" applyBorder="1" applyAlignment="1">
      <alignment horizontal="right"/>
    </xf>
    <xf numFmtId="165" fontId="2" fillId="0" borderId="5" xfId="1" applyNumberFormat="1" applyFont="1" applyFill="1" applyBorder="1" applyAlignment="1">
      <alignment horizontal="right"/>
    </xf>
    <xf numFmtId="0" fontId="0" fillId="0" borderId="3" xfId="0" applyFont="1" applyBorder="1" applyAlignment="1">
      <alignment horizontal="left"/>
    </xf>
    <xf numFmtId="0" fontId="0" fillId="0" borderId="4" xfId="0"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10" fillId="0" borderId="3" xfId="3" applyFont="1" applyFill="1" applyBorder="1" applyAlignment="1">
      <alignment horizontal="left" vertical="top"/>
    </xf>
    <xf numFmtId="0" fontId="10" fillId="0" borderId="4" xfId="3" applyFont="1" applyFill="1" applyBorder="1" applyAlignment="1">
      <alignment horizontal="left" vertical="top"/>
    </xf>
    <xf numFmtId="168" fontId="13" fillId="0" borderId="3" xfId="1" applyNumberFormat="1" applyFont="1" applyFill="1" applyBorder="1" applyAlignment="1">
      <alignment horizontal="right"/>
    </xf>
    <xf numFmtId="168" fontId="13" fillId="0" borderId="0" xfId="1" applyNumberFormat="1" applyFont="1" applyBorder="1" applyAlignment="1">
      <alignment horizontal="right"/>
    </xf>
    <xf numFmtId="168" fontId="5" fillId="0" borderId="0" xfId="1" applyNumberFormat="1" applyFont="1" applyBorder="1" applyAlignment="1">
      <alignment horizontal="right"/>
    </xf>
    <xf numFmtId="168" fontId="7" fillId="0" borderId="0" xfId="1" applyNumberFormat="1" applyFont="1" applyFill="1" applyBorder="1" applyAlignment="1">
      <alignment horizontal="right"/>
    </xf>
    <xf numFmtId="168" fontId="6" fillId="0" borderId="0" xfId="1" applyNumberFormat="1" applyFont="1" applyBorder="1" applyAlignment="1">
      <alignment horizontal="right"/>
    </xf>
    <xf numFmtId="168" fontId="7" fillId="0" borderId="5" xfId="1" applyNumberFormat="1" applyFont="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164" fontId="1" fillId="0" borderId="0" xfId="1" quotePrefix="1" applyNumberFormat="1" applyFont="1" applyFill="1" applyBorder="1" applyAlignment="1">
      <alignment horizontal="right"/>
    </xf>
    <xf numFmtId="164" fontId="2" fillId="0" borderId="30" xfId="1" quotePrefix="1" applyNumberFormat="1" applyFont="1" applyBorder="1" applyAlignment="1">
      <alignment horizontal="right"/>
    </xf>
    <xf numFmtId="164" fontId="1" fillId="0" borderId="5" xfId="1" quotePrefix="1" applyNumberFormat="1" applyFont="1" applyFill="1" applyBorder="1" applyAlignment="1">
      <alignment horizontal="right"/>
    </xf>
    <xf numFmtId="164" fontId="2" fillId="0" borderId="27" xfId="1" quotePrefix="1" applyNumberFormat="1" applyFont="1" applyBorder="1" applyAlignment="1">
      <alignment horizontal="right"/>
    </xf>
    <xf numFmtId="164" fontId="2" fillId="0" borderId="30" xfId="1" quotePrefix="1" applyNumberFormat="1" applyFont="1" applyFill="1" applyBorder="1" applyAlignment="1">
      <alignment horizontal="right"/>
    </xf>
    <xf numFmtId="166" fontId="1" fillId="0" borderId="0" xfId="1" quotePrefix="1" applyNumberFormat="1" applyFont="1" applyFill="1" applyBorder="1" applyAlignment="1">
      <alignment horizontal="right"/>
    </xf>
    <xf numFmtId="166" fontId="1" fillId="0" borderId="5" xfId="1" quotePrefix="1" applyNumberFormat="1" applyFont="1" applyFill="1" applyBorder="1" applyAlignment="1">
      <alignment horizontal="right"/>
    </xf>
    <xf numFmtId="166" fontId="1" fillId="12" borderId="0" xfId="1" quotePrefix="1" applyNumberFormat="1" applyFont="1" applyFill="1" applyBorder="1" applyAlignment="1">
      <alignment horizontal="right"/>
    </xf>
    <xf numFmtId="166" fontId="1" fillId="12" borderId="0" xfId="2" quotePrefix="1" applyNumberFormat="1" applyFont="1" applyFill="1" applyBorder="1" applyAlignment="1">
      <alignment horizontal="right"/>
    </xf>
    <xf numFmtId="0" fontId="0" fillId="0" borderId="3" xfId="0" applyFont="1" applyFill="1" applyBorder="1" applyAlignment="1">
      <alignment horizontal="left"/>
    </xf>
    <xf numFmtId="164" fontId="1" fillId="0" borderId="4" xfId="1" quotePrefix="1" applyNumberFormat="1" applyFont="1" applyFill="1" applyBorder="1" applyAlignment="1">
      <alignment horizontal="right"/>
    </xf>
    <xf numFmtId="164" fontId="1" fillId="0" borderId="3" xfId="1" quotePrefix="1" applyNumberFormat="1" applyFont="1" applyFill="1" applyBorder="1" applyAlignment="1">
      <alignment horizontal="right"/>
    </xf>
    <xf numFmtId="164" fontId="2" fillId="0" borderId="4" xfId="1" quotePrefix="1" applyNumberFormat="1" applyFont="1" applyFill="1" applyBorder="1" applyAlignment="1">
      <alignment horizontal="right"/>
    </xf>
    <xf numFmtId="164" fontId="2" fillId="0" borderId="5" xfId="1" quotePrefix="1" applyNumberFormat="1" applyFont="1" applyFill="1" applyBorder="1" applyAlignment="1">
      <alignment horizontal="right"/>
    </xf>
    <xf numFmtId="164" fontId="2" fillId="0" borderId="3" xfId="1" quotePrefix="1" applyNumberFormat="1" applyFont="1" applyFill="1" applyBorder="1" applyAlignment="1">
      <alignment horizontal="right"/>
    </xf>
    <xf numFmtId="0" fontId="0" fillId="0" borderId="0" xfId="0" applyFont="1" applyBorder="1" applyAlignment="1">
      <alignment horizontal="left"/>
    </xf>
    <xf numFmtId="0" fontId="2" fillId="0" borderId="0" xfId="0" applyFont="1" applyBorder="1" applyAlignment="1">
      <alignment horizontal="left"/>
    </xf>
    <xf numFmtId="43" fontId="1" fillId="0" borderId="0" xfId="1" quotePrefix="1" applyNumberFormat="1" applyFont="1" applyFill="1" applyBorder="1" applyAlignment="1">
      <alignment horizontal="right"/>
    </xf>
    <xf numFmtId="43" fontId="0" fillId="0" borderId="0" xfId="1" applyNumberFormat="1" applyFont="1" applyFill="1" applyBorder="1" applyAlignment="1">
      <alignment horizontal="right"/>
    </xf>
    <xf numFmtId="165" fontId="2" fillId="0" borderId="5" xfId="1" quotePrefix="1" applyNumberFormat="1" applyFont="1" applyFill="1" applyBorder="1" applyAlignment="1">
      <alignment horizontal="right"/>
    </xf>
    <xf numFmtId="2" fontId="2" fillId="0" borderId="4" xfId="1" applyNumberFormat="1" applyFont="1" applyBorder="1" applyAlignment="1">
      <alignment horizontal="right"/>
    </xf>
    <xf numFmtId="7" fontId="2" fillId="0" borderId="11" xfId="1" applyNumberFormat="1" applyFont="1" applyBorder="1" applyAlignment="1">
      <alignment horizontal="right"/>
    </xf>
    <xf numFmtId="0" fontId="0" fillId="0" borderId="3" xfId="0" applyFont="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2" fillId="0" borderId="4" xfId="0" applyFont="1" applyFill="1" applyBorder="1" applyAlignment="1">
      <alignment horizontal="left"/>
    </xf>
    <xf numFmtId="0" fontId="2" fillId="0" borderId="0" xfId="0" applyFont="1" applyBorder="1" applyAlignment="1">
      <alignment horizontal="left"/>
    </xf>
    <xf numFmtId="0" fontId="0" fillId="0" borderId="7" xfId="0" applyFont="1" applyFill="1" applyBorder="1" applyAlignment="1">
      <alignment horizontal="left"/>
    </xf>
    <xf numFmtId="43" fontId="1" fillId="0" borderId="6" xfId="1" applyNumberFormat="1" applyFont="1" applyFill="1" applyBorder="1" applyAlignment="1">
      <alignment horizontal="right"/>
    </xf>
    <xf numFmtId="43" fontId="0" fillId="0" borderId="0" xfId="1" applyNumberFormat="1" applyFont="1" applyAlignment="1">
      <alignment horizontal="right"/>
    </xf>
    <xf numFmtId="43" fontId="0" fillId="0" borderId="0" xfId="1" applyNumberFormat="1" applyFont="1" applyFill="1" applyAlignment="1">
      <alignment horizontal="right"/>
    </xf>
    <xf numFmtId="0" fontId="2" fillId="0" borderId="0" xfId="0" applyFont="1" applyFill="1" applyBorder="1"/>
    <xf numFmtId="164" fontId="10" fillId="0" borderId="0" xfId="1" applyNumberFormat="1" applyFont="1" applyFill="1" applyBorder="1" applyAlignment="1">
      <alignment horizontal="right"/>
    </xf>
    <xf numFmtId="164" fontId="2" fillId="0" borderId="0" xfId="1" applyNumberFormat="1" applyFont="1" applyFill="1" applyBorder="1" applyAlignment="1">
      <alignment horizontal="right"/>
    </xf>
    <xf numFmtId="164" fontId="2" fillId="0" borderId="4" xfId="1" applyNumberFormat="1" applyFont="1" applyFill="1" applyBorder="1" applyAlignment="1">
      <alignment horizontal="right"/>
    </xf>
    <xf numFmtId="164" fontId="2" fillId="0" borderId="5" xfId="1" applyNumberFormat="1" applyFont="1" applyFill="1" applyBorder="1" applyAlignment="1">
      <alignment horizontal="right"/>
    </xf>
    <xf numFmtId="164" fontId="12" fillId="0" borderId="0" xfId="1" applyNumberFormat="1" applyFont="1" applyFill="1" applyBorder="1" applyAlignment="1">
      <alignment horizontal="right"/>
    </xf>
    <xf numFmtId="164" fontId="1" fillId="0" borderId="3" xfId="1" applyNumberFormat="1" applyFont="1" applyFill="1" applyBorder="1" applyAlignment="1">
      <alignment horizontal="right"/>
    </xf>
    <xf numFmtId="164" fontId="1" fillId="0" borderId="0" xfId="1" applyNumberFormat="1" applyFont="1" applyFill="1" applyBorder="1" applyAlignment="1">
      <alignment horizontal="right"/>
    </xf>
    <xf numFmtId="164" fontId="1" fillId="0" borderId="4" xfId="1" applyNumberFormat="1" applyFont="1" applyFill="1" applyBorder="1" applyAlignment="1">
      <alignment horizontal="right"/>
    </xf>
    <xf numFmtId="164" fontId="1" fillId="0" borderId="5" xfId="1" applyNumberFormat="1" applyFont="1" applyFill="1" applyBorder="1" applyAlignment="1">
      <alignment horizontal="right"/>
    </xf>
    <xf numFmtId="164" fontId="2" fillId="0" borderId="3" xfId="1" applyNumberFormat="1" applyFont="1" applyFill="1" applyBorder="1" applyAlignment="1">
      <alignment horizontal="right"/>
    </xf>
    <xf numFmtId="164" fontId="4" fillId="0" borderId="3" xfId="1" applyNumberFormat="1" applyFont="1" applyFill="1" applyBorder="1" applyAlignment="1">
      <alignment horizontal="right"/>
    </xf>
    <xf numFmtId="164" fontId="4" fillId="0" borderId="0" xfId="1" applyNumberFormat="1" applyFont="1" applyFill="1" applyBorder="1" applyAlignment="1">
      <alignment horizontal="right"/>
    </xf>
    <xf numFmtId="164" fontId="4" fillId="0" borderId="4" xfId="1" applyNumberFormat="1" applyFont="1" applyFill="1" applyBorder="1" applyAlignment="1">
      <alignment horizontal="right"/>
    </xf>
    <xf numFmtId="164" fontId="4" fillId="0" borderId="5" xfId="1" applyNumberFormat="1" applyFont="1" applyFill="1" applyBorder="1" applyAlignment="1">
      <alignment horizontal="right"/>
    </xf>
    <xf numFmtId="165" fontId="0" fillId="0" borderId="4" xfId="1" applyNumberFormat="1" applyFont="1" applyFill="1" applyBorder="1" applyAlignment="1">
      <alignment horizontal="right"/>
    </xf>
    <xf numFmtId="165" fontId="0" fillId="0" borderId="5" xfId="1" applyNumberFormat="1" applyFont="1" applyFill="1" applyBorder="1" applyAlignment="1">
      <alignment horizontal="right"/>
    </xf>
    <xf numFmtId="165" fontId="10" fillId="0" borderId="0" xfId="1" applyNumberFormat="1" applyFont="1" applyBorder="1" applyAlignment="1">
      <alignment horizontal="right"/>
    </xf>
    <xf numFmtId="165" fontId="2" fillId="0" borderId="0" xfId="1" applyNumberFormat="1" applyFont="1" applyFill="1" applyBorder="1" applyAlignment="1">
      <alignment horizontal="right"/>
    </xf>
    <xf numFmtId="165" fontId="2" fillId="0" borderId="4" xfId="1" applyNumberFormat="1" applyFont="1" applyFill="1" applyBorder="1" applyAlignment="1">
      <alignment horizontal="right"/>
    </xf>
    <xf numFmtId="165" fontId="2" fillId="0" borderId="5" xfId="1" applyNumberFormat="1" applyFont="1" applyBorder="1" applyAlignment="1">
      <alignment horizontal="right"/>
    </xf>
    <xf numFmtId="165" fontId="1" fillId="0" borderId="3" xfId="1" applyNumberFormat="1" applyFont="1" applyFill="1" applyBorder="1" applyAlignment="1">
      <alignment horizontal="right"/>
    </xf>
    <xf numFmtId="165" fontId="1" fillId="0" borderId="0" xfId="1" applyNumberFormat="1" applyFont="1" applyFill="1" applyBorder="1" applyAlignment="1">
      <alignment horizontal="right"/>
    </xf>
    <xf numFmtId="165" fontId="1" fillId="0" borderId="4" xfId="1" applyNumberFormat="1" applyFont="1" applyFill="1" applyBorder="1" applyAlignment="1">
      <alignment horizontal="right"/>
    </xf>
    <xf numFmtId="165" fontId="1" fillId="0" borderId="5" xfId="1" applyNumberFormat="1" applyFont="1" applyBorder="1" applyAlignment="1">
      <alignment horizontal="right"/>
    </xf>
    <xf numFmtId="165" fontId="10" fillId="0" borderId="0" xfId="3" applyNumberFormat="1" applyFont="1" applyFill="1">
      <alignment vertical="top"/>
    </xf>
    <xf numFmtId="165" fontId="12" fillId="0" borderId="0" xfId="1" applyNumberFormat="1" applyFont="1" applyBorder="1" applyAlignment="1">
      <alignment horizontal="right"/>
    </xf>
    <xf numFmtId="165" fontId="2" fillId="0" borderId="0" xfId="1" applyNumberFormat="1" applyFont="1" applyBorder="1" applyAlignment="1">
      <alignment horizontal="right"/>
    </xf>
    <xf numFmtId="165" fontId="2" fillId="0" borderId="7" xfId="1" applyNumberFormat="1" applyFont="1" applyFill="1" applyBorder="1" applyAlignment="1">
      <alignment horizontal="right"/>
    </xf>
    <xf numFmtId="165" fontId="2" fillId="0" borderId="10" xfId="1" applyNumberFormat="1" applyFont="1" applyFill="1" applyBorder="1" applyAlignment="1">
      <alignment horizontal="right"/>
    </xf>
    <xf numFmtId="165" fontId="2" fillId="0" borderId="8" xfId="1" applyNumberFormat="1" applyFont="1" applyFill="1" applyBorder="1" applyAlignment="1">
      <alignment horizontal="right"/>
    </xf>
    <xf numFmtId="165" fontId="2" fillId="0" borderId="7" xfId="1" applyNumberFormat="1" applyFont="1" applyBorder="1" applyAlignment="1">
      <alignment horizontal="right"/>
    </xf>
    <xf numFmtId="165" fontId="2" fillId="0" borderId="8" xfId="1" applyNumberFormat="1" applyFont="1" applyBorder="1" applyAlignment="1">
      <alignment horizontal="right"/>
    </xf>
    <xf numFmtId="165" fontId="0" fillId="0" borderId="0" xfId="1" applyNumberFormat="1" applyFont="1" applyAlignment="1">
      <alignment horizontal="right"/>
    </xf>
    <xf numFmtId="165" fontId="0" fillId="0" borderId="0" xfId="1" applyNumberFormat="1" applyFont="1" applyFill="1" applyAlignment="1">
      <alignment horizontal="right"/>
    </xf>
    <xf numFmtId="165" fontId="0" fillId="0" borderId="0" xfId="0" applyNumberFormat="1" applyAlignment="1">
      <alignment horizontal="right"/>
    </xf>
    <xf numFmtId="165" fontId="10" fillId="0" borderId="5" xfId="1" applyNumberFormat="1" applyFont="1" applyFill="1" applyBorder="1" applyAlignment="1">
      <alignment horizontal="right"/>
    </xf>
    <xf numFmtId="165" fontId="0" fillId="0" borderId="3" xfId="1" applyNumberFormat="1" applyFont="1" applyBorder="1" applyAlignment="1">
      <alignment horizontal="right"/>
    </xf>
    <xf numFmtId="165" fontId="2" fillId="0" borderId="3" xfId="1" applyNumberFormat="1" applyFont="1" applyFill="1" applyBorder="1" applyAlignment="1">
      <alignment horizontal="right"/>
    </xf>
    <xf numFmtId="165" fontId="12" fillId="0" borderId="5" xfId="1" applyNumberFormat="1" applyFont="1" applyFill="1" applyBorder="1" applyAlignment="1">
      <alignment horizontal="right"/>
    </xf>
    <xf numFmtId="165" fontId="4" fillId="0" borderId="3" xfId="1" applyNumberFormat="1" applyFont="1" applyFill="1" applyBorder="1" applyAlignment="1">
      <alignment horizontal="right"/>
    </xf>
    <xf numFmtId="165" fontId="4" fillId="0" borderId="0" xfId="1" applyNumberFormat="1" applyFont="1" applyFill="1" applyBorder="1" applyAlignment="1">
      <alignment horizontal="right"/>
    </xf>
    <xf numFmtId="165" fontId="4" fillId="0" borderId="4" xfId="1" applyNumberFormat="1" applyFont="1" applyFill="1" applyBorder="1" applyAlignment="1">
      <alignment horizontal="right"/>
    </xf>
    <xf numFmtId="165" fontId="4" fillId="0" borderId="5" xfId="1" applyNumberFormat="1" applyFont="1" applyFill="1" applyBorder="1" applyAlignment="1">
      <alignment horizontal="right"/>
    </xf>
    <xf numFmtId="165" fontId="2" fillId="0" borderId="4" xfId="1" applyNumberFormat="1" applyFont="1" applyBorder="1" applyAlignment="1">
      <alignment horizontal="right"/>
    </xf>
    <xf numFmtId="165" fontId="2" fillId="0" borderId="3" xfId="1" applyNumberFormat="1" applyFont="1" applyBorder="1" applyAlignment="1">
      <alignment horizontal="right"/>
    </xf>
    <xf numFmtId="165" fontId="1" fillId="0" borderId="0" xfId="1" applyNumberFormat="1" applyFont="1" applyBorder="1" applyAlignment="1">
      <alignment horizontal="right"/>
    </xf>
    <xf numFmtId="165" fontId="1" fillId="0" borderId="4" xfId="1" applyNumberFormat="1" applyFont="1" applyBorder="1" applyAlignment="1">
      <alignment horizontal="right"/>
    </xf>
    <xf numFmtId="165" fontId="1" fillId="0" borderId="3" xfId="1" applyNumberFormat="1" applyFont="1" applyBorder="1" applyAlignment="1">
      <alignment horizontal="right"/>
    </xf>
    <xf numFmtId="165" fontId="1" fillId="0" borderId="6" xfId="1" applyNumberFormat="1" applyFont="1" applyFill="1" applyBorder="1" applyAlignment="1">
      <alignment horizontal="right"/>
    </xf>
    <xf numFmtId="165" fontId="1" fillId="0" borderId="7" xfId="1" applyNumberFormat="1" applyFont="1" applyFill="1" applyBorder="1" applyAlignment="1">
      <alignment horizontal="right"/>
    </xf>
    <xf numFmtId="165" fontId="1" fillId="0" borderId="8" xfId="1" applyNumberFormat="1" applyFont="1" applyFill="1" applyBorder="1" applyAlignment="1">
      <alignment horizontal="right"/>
    </xf>
    <xf numFmtId="10" fontId="1" fillId="0" borderId="30" xfId="2" quotePrefix="1" applyNumberFormat="1" applyFont="1" applyFill="1" applyBorder="1" applyAlignment="1">
      <alignment horizontal="right"/>
    </xf>
    <xf numFmtId="164" fontId="1" fillId="12" borderId="0" xfId="1" quotePrefix="1" applyNumberFormat="1" applyFont="1" applyFill="1" applyBorder="1" applyAlignment="1">
      <alignment horizontal="right"/>
    </xf>
    <xf numFmtId="166" fontId="0" fillId="0" borderId="0" xfId="0" applyNumberFormat="1" applyFill="1"/>
    <xf numFmtId="164" fontId="11" fillId="0" borderId="0" xfId="1" applyNumberFormat="1" applyFont="1" applyFill="1" applyBorder="1" applyAlignment="1">
      <alignment horizontal="right"/>
    </xf>
    <xf numFmtId="164" fontId="3" fillId="0" borderId="3" xfId="1" applyNumberFormat="1" applyFont="1" applyFill="1" applyBorder="1" applyAlignment="1">
      <alignment horizontal="right"/>
    </xf>
    <xf numFmtId="164" fontId="3" fillId="0" borderId="0" xfId="1" applyNumberFormat="1" applyFont="1" applyFill="1" applyBorder="1" applyAlignment="1">
      <alignment horizontal="right"/>
    </xf>
    <xf numFmtId="164" fontId="3" fillId="0" borderId="4" xfId="1" applyNumberFormat="1" applyFont="1" applyFill="1" applyBorder="1" applyAlignment="1">
      <alignment horizontal="right"/>
    </xf>
    <xf numFmtId="164" fontId="3" fillId="0" borderId="5" xfId="1" applyNumberFormat="1" applyFont="1" applyFill="1" applyBorder="1" applyAlignment="1">
      <alignment horizontal="right"/>
    </xf>
    <xf numFmtId="164" fontId="19" fillId="0" borderId="0" xfId="1" applyNumberFormat="1" applyFont="1" applyFill="1" applyBorder="1" applyAlignment="1">
      <alignment horizontal="right"/>
    </xf>
    <xf numFmtId="164" fontId="11" fillId="0" borderId="4" xfId="1" applyNumberFormat="1" applyFont="1" applyFill="1" applyBorder="1" applyAlignment="1">
      <alignment horizontal="right"/>
    </xf>
    <xf numFmtId="164" fontId="10" fillId="0" borderId="4" xfId="1" applyNumberFormat="1" applyFont="1" applyFill="1" applyBorder="1" applyAlignment="1">
      <alignment horizontal="right"/>
    </xf>
    <xf numFmtId="164" fontId="10" fillId="0" borderId="3" xfId="1" applyNumberFormat="1" applyFont="1" applyFill="1" applyBorder="1" applyAlignment="1">
      <alignment horizontal="right"/>
    </xf>
    <xf numFmtId="164" fontId="19" fillId="0" borderId="4" xfId="1" applyNumberFormat="1" applyFont="1" applyFill="1" applyBorder="1" applyAlignment="1">
      <alignment horizontal="right"/>
    </xf>
    <xf numFmtId="164" fontId="19" fillId="0" borderId="3" xfId="1" applyNumberFormat="1" applyFont="1" applyFill="1" applyBorder="1" applyAlignment="1">
      <alignment horizontal="right"/>
    </xf>
    <xf numFmtId="164" fontId="12" fillId="0" borderId="4" xfId="1" applyNumberFormat="1" applyFont="1" applyFill="1" applyBorder="1" applyAlignment="1">
      <alignment horizontal="right"/>
    </xf>
    <xf numFmtId="164" fontId="12" fillId="0" borderId="3" xfId="1" applyNumberFormat="1" applyFont="1" applyFill="1" applyBorder="1" applyAlignment="1">
      <alignment horizontal="right"/>
    </xf>
    <xf numFmtId="164" fontId="11" fillId="0" borderId="5" xfId="1" applyNumberFormat="1" applyFont="1" applyFill="1" applyBorder="1" applyAlignment="1">
      <alignment horizontal="right"/>
    </xf>
    <xf numFmtId="164" fontId="10" fillId="13" borderId="0" xfId="1" applyNumberFormat="1" applyFont="1" applyFill="1" applyBorder="1" applyAlignment="1">
      <alignment horizontal="right"/>
    </xf>
    <xf numFmtId="164" fontId="67" fillId="0" borderId="0" xfId="1" quotePrefix="1" applyNumberFormat="1" applyFont="1" applyFill="1" applyBorder="1" applyAlignment="1">
      <alignment horizontal="right"/>
    </xf>
    <xf numFmtId="164" fontId="67" fillId="0" borderId="4" xfId="1" quotePrefix="1" applyNumberFormat="1" applyFont="1" applyFill="1" applyBorder="1" applyAlignment="1">
      <alignment horizontal="right"/>
    </xf>
    <xf numFmtId="164" fontId="67" fillId="0" borderId="5" xfId="1" quotePrefix="1" applyNumberFormat="1" applyFont="1" applyFill="1" applyBorder="1" applyAlignment="1">
      <alignment horizontal="right"/>
    </xf>
    <xf numFmtId="164" fontId="67" fillId="0" borderId="3" xfId="1" quotePrefix="1" applyNumberFormat="1" applyFont="1" applyFill="1" applyBorder="1" applyAlignment="1">
      <alignment horizontal="right"/>
    </xf>
    <xf numFmtId="164" fontId="4" fillId="0" borderId="0" xfId="1" quotePrefix="1" applyNumberFormat="1" applyFont="1" applyFill="1" applyBorder="1" applyAlignment="1">
      <alignment horizontal="right"/>
    </xf>
    <xf numFmtId="164" fontId="4" fillId="0" borderId="4" xfId="1" quotePrefix="1" applyNumberFormat="1" applyFont="1" applyFill="1" applyBorder="1" applyAlignment="1">
      <alignment horizontal="right"/>
    </xf>
    <xf numFmtId="164" fontId="4" fillId="0" borderId="5" xfId="1" quotePrefix="1" applyNumberFormat="1" applyFont="1" applyFill="1" applyBorder="1" applyAlignment="1">
      <alignment horizontal="right"/>
    </xf>
    <xf numFmtId="164" fontId="4" fillId="0" borderId="3" xfId="1" quotePrefix="1" applyNumberFormat="1" applyFont="1" applyFill="1" applyBorder="1" applyAlignment="1">
      <alignment horizontal="right"/>
    </xf>
    <xf numFmtId="43" fontId="1" fillId="2" borderId="0" xfId="1" quotePrefix="1" applyNumberFormat="1" applyFont="1" applyFill="1" applyBorder="1" applyAlignment="1">
      <alignment horizontal="right"/>
    </xf>
    <xf numFmtId="164" fontId="2" fillId="2" borderId="3" xfId="1" quotePrefix="1" applyNumberFormat="1" applyFont="1" applyFill="1" applyBorder="1" applyAlignment="1">
      <alignment horizontal="right"/>
    </xf>
    <xf numFmtId="164" fontId="2" fillId="2" borderId="0" xfId="1" quotePrefix="1" applyNumberFormat="1" applyFont="1" applyFill="1" applyBorder="1" applyAlignment="1">
      <alignment horizontal="right"/>
    </xf>
    <xf numFmtId="164" fontId="2" fillId="2" borderId="4" xfId="1" quotePrefix="1" applyNumberFormat="1" applyFont="1" applyFill="1" applyBorder="1" applyAlignment="1">
      <alignment horizontal="right"/>
    </xf>
    <xf numFmtId="164" fontId="1" fillId="2" borderId="3" xfId="1" quotePrefix="1" applyNumberFormat="1" applyFont="1" applyFill="1" applyBorder="1" applyAlignment="1">
      <alignment horizontal="right"/>
    </xf>
    <xf numFmtId="164" fontId="1" fillId="2" borderId="0" xfId="1" quotePrefix="1" applyNumberFormat="1" applyFont="1" applyFill="1" applyBorder="1" applyAlignment="1">
      <alignment horizontal="right"/>
    </xf>
    <xf numFmtId="164" fontId="1" fillId="2" borderId="4" xfId="1" quotePrefix="1" applyNumberFormat="1" applyFont="1" applyFill="1" applyBorder="1" applyAlignment="1">
      <alignment horizontal="right"/>
    </xf>
    <xf numFmtId="166" fontId="1" fillId="2" borderId="0" xfId="1" quotePrefix="1" applyNumberFormat="1" applyFont="1" applyFill="1" applyBorder="1" applyAlignment="1">
      <alignment horizontal="right"/>
    </xf>
    <xf numFmtId="164" fontId="0" fillId="0" borderId="0" xfId="1" quotePrefix="1" applyNumberFormat="1" applyFont="1" applyFill="1" applyBorder="1" applyAlignment="1">
      <alignment horizontal="right"/>
    </xf>
    <xf numFmtId="43" fontId="3" fillId="0" borderId="5" xfId="1" quotePrefix="1" applyNumberFormat="1" applyFont="1" applyFill="1" applyBorder="1" applyAlignment="1">
      <alignment horizontal="right"/>
    </xf>
    <xf numFmtId="164" fontId="2" fillId="0" borderId="36" xfId="1" quotePrefix="1" applyNumberFormat="1" applyFont="1" applyFill="1" applyBorder="1" applyAlignment="1">
      <alignment horizontal="right"/>
    </xf>
    <xf numFmtId="164" fontId="2" fillId="0" borderId="36" xfId="2" quotePrefix="1" applyNumberFormat="1" applyFont="1" applyFill="1" applyBorder="1" applyAlignment="1">
      <alignment horizontal="right"/>
    </xf>
    <xf numFmtId="164" fontId="2" fillId="0" borderId="33" xfId="1" quotePrefix="1" applyNumberFormat="1" applyFont="1" applyFill="1" applyBorder="1" applyAlignment="1">
      <alignment horizontal="right"/>
    </xf>
    <xf numFmtId="215" fontId="2" fillId="0" borderId="36" xfId="2" quotePrefix="1" applyNumberFormat="1" applyFont="1" applyFill="1" applyBorder="1" applyAlignment="1">
      <alignment horizontal="right"/>
    </xf>
    <xf numFmtId="0" fontId="2" fillId="0" borderId="0" xfId="0" applyFont="1" applyFill="1"/>
    <xf numFmtId="0" fontId="2" fillId="0" borderId="34" xfId="0" applyFont="1" applyFill="1" applyBorder="1" applyAlignment="1">
      <alignment horizontal="left"/>
    </xf>
    <xf numFmtId="0" fontId="2" fillId="0" borderId="35" xfId="0" applyFont="1" applyFill="1" applyBorder="1" applyAlignment="1">
      <alignment horizontal="left"/>
    </xf>
    <xf numFmtId="166" fontId="1" fillId="11" borderId="0" xfId="2" quotePrefix="1" applyNumberFormat="1" applyFont="1" applyFill="1" applyBorder="1" applyAlignment="1">
      <alignment horizontal="right"/>
    </xf>
    <xf numFmtId="166" fontId="1" fillId="11" borderId="5" xfId="2" quotePrefix="1" applyNumberFormat="1" applyFont="1" applyFill="1" applyBorder="1" applyAlignment="1">
      <alignment horizontal="right"/>
    </xf>
    <xf numFmtId="166" fontId="3" fillId="0" borderId="5" xfId="1" quotePrefix="1" applyNumberFormat="1" applyFont="1" applyFill="1" applyBorder="1" applyAlignment="1">
      <alignment horizontal="right"/>
    </xf>
    <xf numFmtId="43" fontId="1" fillId="11" borderId="5" xfId="1" applyNumberFormat="1" applyFont="1" applyFill="1" applyBorder="1" applyAlignment="1">
      <alignment horizontal="right"/>
    </xf>
    <xf numFmtId="164" fontId="75" fillId="14" borderId="2" xfId="1" quotePrefix="1" applyNumberFormat="1" applyFont="1" applyFill="1" applyBorder="1" applyAlignment="1">
      <alignment horizontal="right"/>
    </xf>
    <xf numFmtId="164" fontId="76" fillId="14" borderId="0" xfId="1" quotePrefix="1" applyNumberFormat="1" applyFont="1" applyFill="1" applyBorder="1" applyAlignment="1">
      <alignment horizontal="right"/>
    </xf>
    <xf numFmtId="43" fontId="2" fillId="0" borderId="5" xfId="1" applyNumberFormat="1" applyFont="1" applyFill="1" applyBorder="1" applyAlignment="1">
      <alignment horizontal="right"/>
    </xf>
    <xf numFmtId="164" fontId="75" fillId="15" borderId="2" xfId="0" applyNumberFormat="1" applyFont="1" applyFill="1" applyBorder="1" applyAlignment="1">
      <alignment horizontal="right"/>
    </xf>
    <xf numFmtId="164" fontId="76" fillId="15" borderId="0" xfId="0" applyNumberFormat="1" applyFont="1" applyFill="1" applyAlignment="1">
      <alignment horizontal="right"/>
    </xf>
    <xf numFmtId="168" fontId="7" fillId="0" borderId="3" xfId="1" applyNumberFormat="1" applyFont="1" applyBorder="1" applyAlignment="1">
      <alignment horizontal="right"/>
    </xf>
    <xf numFmtId="165" fontId="2" fillId="0" borderId="6" xfId="1" applyNumberFormat="1" applyFont="1" applyBorder="1" applyAlignment="1">
      <alignment horizontal="right"/>
    </xf>
    <xf numFmtId="165" fontId="7" fillId="0" borderId="3" xfId="1" applyNumberFormat="1" applyFont="1" applyBorder="1" applyAlignment="1">
      <alignment horizontal="right"/>
    </xf>
    <xf numFmtId="165" fontId="10" fillId="0" borderId="3" xfId="1" applyNumberFormat="1" applyFont="1" applyFill="1" applyBorder="1" applyAlignment="1">
      <alignment horizontal="right"/>
    </xf>
    <xf numFmtId="165" fontId="12" fillId="0" borderId="3" xfId="1" applyNumberFormat="1" applyFont="1" applyFill="1" applyBorder="1" applyAlignment="1">
      <alignment horizontal="right"/>
    </xf>
    <xf numFmtId="164" fontId="75" fillId="15" borderId="0" xfId="0" applyNumberFormat="1" applyFont="1" applyFill="1" applyBorder="1" applyAlignment="1">
      <alignment horizontal="right"/>
    </xf>
    <xf numFmtId="164" fontId="76" fillId="15" borderId="0" xfId="0" applyNumberFormat="1" applyFont="1" applyFill="1" applyBorder="1" applyAlignment="1">
      <alignment horizontal="right"/>
    </xf>
    <xf numFmtId="164" fontId="75" fillId="14" borderId="0" xfId="1" quotePrefix="1" applyNumberFormat="1" applyFont="1" applyFill="1" applyBorder="1" applyAlignment="1">
      <alignment horizontal="right"/>
    </xf>
    <xf numFmtId="166" fontId="1" fillId="13" borderId="0" xfId="2" quotePrefix="1" applyNumberFormat="1" applyFont="1" applyFill="1" applyBorder="1" applyAlignment="1">
      <alignment horizontal="right"/>
    </xf>
    <xf numFmtId="43" fontId="10" fillId="13" borderId="0" xfId="1" applyNumberFormat="1" applyFont="1" applyFill="1" applyBorder="1" applyAlignment="1">
      <alignment horizontal="right"/>
    </xf>
    <xf numFmtId="168" fontId="7" fillId="0" borderId="11" xfId="1" applyNumberFormat="1" applyFont="1" applyBorder="1" applyAlignment="1">
      <alignment horizontal="right"/>
    </xf>
    <xf numFmtId="165" fontId="2" fillId="0" borderId="10" xfId="1" applyNumberFormat="1" applyFont="1" applyBorder="1" applyAlignment="1">
      <alignment horizontal="right"/>
    </xf>
    <xf numFmtId="165" fontId="7" fillId="0" borderId="11" xfId="1" applyNumberFormat="1" applyFont="1" applyBorder="1" applyAlignment="1">
      <alignment horizontal="right"/>
    </xf>
    <xf numFmtId="165" fontId="10" fillId="0" borderId="4" xfId="1" applyNumberFormat="1" applyFont="1" applyFill="1" applyBorder="1" applyAlignment="1">
      <alignment horizontal="right"/>
    </xf>
    <xf numFmtId="165" fontId="12" fillId="0" borderId="4" xfId="1" applyNumberFormat="1" applyFont="1" applyFill="1" applyBorder="1" applyAlignment="1">
      <alignment horizontal="right"/>
    </xf>
    <xf numFmtId="165" fontId="1" fillId="0" borderId="10" xfId="1" applyNumberFormat="1" applyFont="1" applyFill="1" applyBorder="1" applyAlignment="1">
      <alignment horizontal="right"/>
    </xf>
    <xf numFmtId="164" fontId="10" fillId="0" borderId="2" xfId="1" applyNumberFormat="1" applyFont="1" applyFill="1" applyBorder="1" applyAlignment="1">
      <alignment horizontal="right"/>
    </xf>
    <xf numFmtId="43" fontId="10" fillId="0" borderId="7" xfId="1" applyNumberFormat="1" applyFont="1" applyFill="1" applyBorder="1" applyAlignment="1">
      <alignment horizontal="right"/>
    </xf>
    <xf numFmtId="43" fontId="0" fillId="0" borderId="0" xfId="0" applyNumberFormat="1"/>
    <xf numFmtId="164" fontId="12" fillId="16" borderId="0" xfId="1" applyNumberFormat="1" applyFont="1" applyFill="1" applyBorder="1" applyAlignment="1">
      <alignment horizontal="right"/>
    </xf>
    <xf numFmtId="164" fontId="2" fillId="16" borderId="5" xfId="1" applyNumberFormat="1" applyFont="1" applyFill="1" applyBorder="1" applyAlignment="1">
      <alignment horizontal="right"/>
    </xf>
    <xf numFmtId="43" fontId="2" fillId="16" borderId="0" xfId="1" applyNumberFormat="1" applyFont="1" applyFill="1" applyBorder="1" applyAlignment="1">
      <alignment horizontal="right"/>
    </xf>
    <xf numFmtId="43" fontId="2" fillId="16" borderId="4" xfId="1" applyNumberFormat="1" applyFont="1" applyFill="1" applyBorder="1" applyAlignment="1">
      <alignment horizontal="right"/>
    </xf>
    <xf numFmtId="0" fontId="0" fillId="0" borderId="3" xfId="0" applyFont="1" applyBorder="1" applyAlignment="1">
      <alignment horizontal="left"/>
    </xf>
    <xf numFmtId="0" fontId="0" fillId="0" borderId="0" xfId="0" applyFont="1" applyBorder="1" applyAlignment="1">
      <alignment horizontal="left"/>
    </xf>
    <xf numFmtId="0" fontId="15" fillId="3" borderId="12" xfId="0" applyFont="1" applyFill="1" applyBorder="1" applyAlignment="1">
      <alignment horizontal="left"/>
    </xf>
    <xf numFmtId="0" fontId="15" fillId="3" borderId="13" xfId="0" applyFont="1" applyFill="1" applyBorder="1" applyAlignment="1">
      <alignment horizontal="left"/>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3" xfId="0" applyFont="1" applyFill="1" applyBorder="1" applyAlignment="1">
      <alignment horizontal="left"/>
    </xf>
    <xf numFmtId="0" fontId="0" fillId="0" borderId="0"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15" fillId="3" borderId="1" xfId="0" applyFont="1" applyFill="1" applyBorder="1" applyAlignment="1">
      <alignment horizontal="left"/>
    </xf>
    <xf numFmtId="0" fontId="15" fillId="3" borderId="2" xfId="0" applyFont="1" applyFill="1" applyBorder="1" applyAlignment="1">
      <alignment horizontal="left"/>
    </xf>
    <xf numFmtId="0" fontId="2" fillId="0" borderId="0" xfId="0" applyFont="1" applyFill="1" applyBorder="1" applyAlignment="1">
      <alignment horizontal="left"/>
    </xf>
    <xf numFmtId="0" fontId="2" fillId="0" borderId="28" xfId="0" applyFont="1" applyFill="1" applyBorder="1" applyAlignment="1">
      <alignment horizontal="left"/>
    </xf>
    <xf numFmtId="0" fontId="2" fillId="0" borderId="29" xfId="0" applyFont="1" applyFill="1" applyBorder="1" applyAlignment="1">
      <alignment horizontal="left"/>
    </xf>
    <xf numFmtId="0" fontId="0" fillId="0" borderId="4" xfId="0" applyFont="1" applyFill="1" applyBorder="1" applyAlignment="1">
      <alignment horizontal="left"/>
    </xf>
    <xf numFmtId="0" fontId="17" fillId="3" borderId="3" xfId="0" applyFont="1" applyFill="1" applyBorder="1" applyAlignment="1">
      <alignment horizontal="left"/>
    </xf>
    <xf numFmtId="0" fontId="17" fillId="3" borderId="0" xfId="0" applyFont="1" applyFill="1" applyBorder="1" applyAlignment="1">
      <alignment horizontal="left"/>
    </xf>
    <xf numFmtId="0" fontId="8" fillId="0" borderId="3" xfId="0" applyFont="1" applyBorder="1" applyAlignment="1">
      <alignment horizontal="left"/>
    </xf>
    <xf numFmtId="0" fontId="8" fillId="0" borderId="4"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2" fillId="0" borderId="28" xfId="0" applyFont="1" applyBorder="1" applyAlignment="1">
      <alignment horizontal="left"/>
    </xf>
    <xf numFmtId="0" fontId="2" fillId="0" borderId="29" xfId="0" applyFont="1" applyBorder="1" applyAlignment="1">
      <alignment horizontal="left"/>
    </xf>
    <xf numFmtId="0" fontId="0" fillId="0" borderId="4" xfId="0" applyFont="1" applyBorder="1" applyAlignment="1">
      <alignment horizontal="left"/>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2" borderId="1" xfId="0" applyFont="1" applyFill="1" applyBorder="1" applyAlignment="1">
      <alignment horizontal="left"/>
    </xf>
    <xf numFmtId="0" fontId="0" fillId="2" borderId="11" xfId="0" applyFont="1" applyFill="1" applyBorder="1" applyAlignment="1">
      <alignment horizontal="left"/>
    </xf>
    <xf numFmtId="0" fontId="0" fillId="11" borderId="3" xfId="0" applyFont="1" applyFill="1" applyBorder="1" applyAlignment="1">
      <alignment horizontal="left"/>
    </xf>
    <xf numFmtId="0" fontId="0" fillId="11" borderId="4" xfId="0" applyFont="1" applyFill="1" applyBorder="1" applyAlignment="1">
      <alignment horizontal="left"/>
    </xf>
    <xf numFmtId="0" fontId="0" fillId="4" borderId="6" xfId="0" applyFont="1" applyFill="1" applyBorder="1" applyAlignment="1">
      <alignment horizontal="left"/>
    </xf>
    <xf numFmtId="0" fontId="0" fillId="4" borderId="10" xfId="0" applyFont="1" applyFill="1" applyBorder="1" applyAlignment="1">
      <alignment horizontal="left"/>
    </xf>
    <xf numFmtId="0" fontId="2" fillId="0" borderId="0" xfId="0" applyFont="1" applyBorder="1" applyAlignment="1">
      <alignment horizontal="left"/>
    </xf>
    <xf numFmtId="0" fontId="2" fillId="0" borderId="34" xfId="0" applyFont="1" applyFill="1" applyBorder="1" applyAlignment="1">
      <alignment horizontal="left"/>
    </xf>
    <xf numFmtId="0" fontId="2" fillId="0" borderId="35" xfId="0" applyFont="1" applyFill="1" applyBorder="1" applyAlignment="1">
      <alignment horizontal="left"/>
    </xf>
    <xf numFmtId="0" fontId="2" fillId="0" borderId="6" xfId="0" applyFont="1" applyBorder="1" applyAlignment="1">
      <alignment horizontal="left"/>
    </xf>
    <xf numFmtId="0" fontId="2" fillId="0" borderId="10" xfId="0" applyFont="1" applyBorder="1" applyAlignment="1">
      <alignment horizontal="left"/>
    </xf>
    <xf numFmtId="0" fontId="10" fillId="0" borderId="3" xfId="3" applyFont="1" applyFill="1" applyBorder="1" applyAlignment="1">
      <alignment horizontal="left" vertical="top"/>
    </xf>
    <xf numFmtId="0" fontId="10" fillId="0" borderId="4" xfId="3" applyFont="1" applyFill="1" applyBorder="1" applyAlignment="1">
      <alignment horizontal="left" vertical="top"/>
    </xf>
    <xf numFmtId="0" fontId="0" fillId="0" borderId="6" xfId="0" applyFont="1" applyBorder="1" applyAlignment="1">
      <alignment horizontal="left"/>
    </xf>
    <xf numFmtId="0" fontId="0" fillId="0" borderId="10" xfId="0" applyFont="1" applyBorder="1" applyAlignment="1">
      <alignment horizontal="left"/>
    </xf>
    <xf numFmtId="43" fontId="2" fillId="4" borderId="4" xfId="1" applyNumberFormat="1" applyFont="1" applyFill="1" applyBorder="1" applyAlignment="1">
      <alignment horizontal="right"/>
    </xf>
    <xf numFmtId="43" fontId="2" fillId="4" borderId="0" xfId="1" applyNumberFormat="1" applyFont="1" applyFill="1" applyBorder="1" applyAlignment="1">
      <alignment horizontal="right"/>
    </xf>
    <xf numFmtId="164" fontId="12" fillId="4" borderId="0" xfId="1" applyNumberFormat="1" applyFont="1" applyFill="1" applyBorder="1" applyAlignment="1">
      <alignment horizontal="right"/>
    </xf>
  </cellXfs>
  <cellStyles count="343">
    <cellStyle name="_%(SignOnly)" xfId="7"/>
    <cellStyle name="_%(SignSpaceOnly)" xfId="8"/>
    <cellStyle name="_Comma" xfId="9"/>
    <cellStyle name="_Currency" xfId="10"/>
    <cellStyle name="_CurrencySpace" xfId="11"/>
    <cellStyle name="_Euro" xfId="12"/>
    <cellStyle name="_Heading" xfId="13"/>
    <cellStyle name="_Heading_prestemp" xfId="14"/>
    <cellStyle name="_Heading_prestemp_1st Qtr PL FY07" xfId="15"/>
    <cellStyle name="_Heading_prestemp_Financial Statements" xfId="16"/>
    <cellStyle name="_Heading_prestemp_Financial Statementsvs1" xfId="17"/>
    <cellStyle name="_Highlight" xfId="18"/>
    <cellStyle name="_Multiple" xfId="19"/>
    <cellStyle name="_MultipleSpace" xfId="20"/>
    <cellStyle name="_SubHeading" xfId="21"/>
    <cellStyle name="_SubHeading_prestemp" xfId="22"/>
    <cellStyle name="_SubHeading_prestemp_1st Qtr PL FY07" xfId="23"/>
    <cellStyle name="_SubHeading_prestemp_Financial Statements" xfId="24"/>
    <cellStyle name="_SubHeading_prestemp_Financial Statementsvs1" xfId="25"/>
    <cellStyle name="_Table" xfId="26"/>
    <cellStyle name="_TableHead" xfId="27"/>
    <cellStyle name="_TableRowHead" xfId="28"/>
    <cellStyle name="_TableSuperHead" xfId="29"/>
    <cellStyle name="=C:\WINNT\SYSTEM32\COMMAND.COM" xfId="30"/>
    <cellStyle name="=C:\WINNT\SYSTEM32\COMMAND.COM 2" xfId="255"/>
    <cellStyle name="6-0" xfId="31"/>
    <cellStyle name="Bold12" xfId="32"/>
    <cellStyle name="BoldItal12" xfId="33"/>
    <cellStyle name="Border" xfId="34"/>
    <cellStyle name="Border 10" xfId="35"/>
    <cellStyle name="Border 11" xfId="36"/>
    <cellStyle name="Border 12" xfId="37"/>
    <cellStyle name="Border 13" xfId="38"/>
    <cellStyle name="Border 14" xfId="39"/>
    <cellStyle name="Border 15" xfId="40"/>
    <cellStyle name="Border 16" xfId="41"/>
    <cellStyle name="Border 17" xfId="42"/>
    <cellStyle name="Border 18" xfId="43"/>
    <cellStyle name="Border 19" xfId="44"/>
    <cellStyle name="Border 2" xfId="45"/>
    <cellStyle name="Border 20" xfId="46"/>
    <cellStyle name="Border 21" xfId="47"/>
    <cellStyle name="Border 22" xfId="48"/>
    <cellStyle name="Border 23" xfId="49"/>
    <cellStyle name="Border 24" xfId="50"/>
    <cellStyle name="Border 25" xfId="51"/>
    <cellStyle name="Border 26" xfId="52"/>
    <cellStyle name="Border 27" xfId="53"/>
    <cellStyle name="Border 28" xfId="54"/>
    <cellStyle name="Border 29" xfId="55"/>
    <cellStyle name="Border 3" xfId="56"/>
    <cellStyle name="Border 30" xfId="57"/>
    <cellStyle name="Border 31" xfId="58"/>
    <cellStyle name="Border 32" xfId="59"/>
    <cellStyle name="Border 33" xfId="60"/>
    <cellStyle name="Border 34" xfId="61"/>
    <cellStyle name="Border 35" xfId="62"/>
    <cellStyle name="Border 36" xfId="63"/>
    <cellStyle name="Border 37" xfId="64"/>
    <cellStyle name="Border 38" xfId="65"/>
    <cellStyle name="Border 39" xfId="66"/>
    <cellStyle name="Border 4" xfId="67"/>
    <cellStyle name="Border 40" xfId="68"/>
    <cellStyle name="Border 41" xfId="69"/>
    <cellStyle name="Border 42" xfId="70"/>
    <cellStyle name="Border 5" xfId="71"/>
    <cellStyle name="Border 6" xfId="72"/>
    <cellStyle name="Border 7" xfId="73"/>
    <cellStyle name="Border 8" xfId="74"/>
    <cellStyle name="Border 9" xfId="75"/>
    <cellStyle name="Calc Currency (0)" xfId="76"/>
    <cellStyle name="Calc Currency (0) 2" xfId="256"/>
    <cellStyle name="Calc Currency (2)" xfId="77"/>
    <cellStyle name="Calc Currency (2) 2" xfId="257"/>
    <cellStyle name="Calc Percent (0)" xfId="78"/>
    <cellStyle name="Calc Percent (0) 2" xfId="258"/>
    <cellStyle name="Calc Percent (1)" xfId="79"/>
    <cellStyle name="Calc Percent (1) 2" xfId="259"/>
    <cellStyle name="Calc Percent (2)" xfId="80"/>
    <cellStyle name="Calc Percent (2) 2" xfId="260"/>
    <cellStyle name="Calc Units (0)" xfId="81"/>
    <cellStyle name="Calc Units (0) 2" xfId="261"/>
    <cellStyle name="Calc Units (1)" xfId="82"/>
    <cellStyle name="Calc Units (1) 2" xfId="262"/>
    <cellStyle name="Calc Units (2)" xfId="83"/>
    <cellStyle name="Calc Units (2) 2" xfId="263"/>
    <cellStyle name="Centered Heading" xfId="84"/>
    <cellStyle name="columns" xfId="85"/>
    <cellStyle name="Comma" xfId="1" builtinId="3"/>
    <cellStyle name="Comma  - Style1" xfId="264"/>
    <cellStyle name="Comma  - Style2" xfId="265"/>
    <cellStyle name="Comma  - Style3" xfId="266"/>
    <cellStyle name="Comma  - Style4" xfId="267"/>
    <cellStyle name="Comma  - Style5" xfId="268"/>
    <cellStyle name="Comma  - Style6" xfId="269"/>
    <cellStyle name="Comma  - Style7" xfId="270"/>
    <cellStyle name="Comma  - Style8" xfId="271"/>
    <cellStyle name="comma (0)" xfId="86"/>
    <cellStyle name="comma (0) 2" xfId="87"/>
    <cellStyle name="comma (0) 2 2" xfId="272"/>
    <cellStyle name="comma (0) 3" xfId="88"/>
    <cellStyle name="Comma [00]" xfId="89"/>
    <cellStyle name="Comma [00] 2" xfId="273"/>
    <cellStyle name="Comma 2" xfId="5"/>
    <cellStyle name="Comma 2 2" xfId="91"/>
    <cellStyle name="Comma 2 2 2" xfId="274"/>
    <cellStyle name="Comma 2 3" xfId="92"/>
    <cellStyle name="Comma 2 4" xfId="93"/>
    <cellStyle name="Comma 2 5" xfId="275"/>
    <cellStyle name="Comma 2 6" xfId="90"/>
    <cellStyle name="Comma 3" xfId="94"/>
    <cellStyle name="Comma 3 2" xfId="276"/>
    <cellStyle name="Comma 4" xfId="95"/>
    <cellStyle name="Comma 4 2" xfId="277"/>
    <cellStyle name="Comma 5" xfId="96"/>
    <cellStyle name="Comma 5 2" xfId="317"/>
    <cellStyle name="Comma Acctg" xfId="97"/>
    <cellStyle name="Comma Acctg 2" xfId="98"/>
    <cellStyle name="Comma0" xfId="99"/>
    <cellStyle name="Company Name" xfId="100"/>
    <cellStyle name="Contracts" xfId="101"/>
    <cellStyle name="CR Comma" xfId="102"/>
    <cellStyle name="CR Currency" xfId="103"/>
    <cellStyle name="curr" xfId="104"/>
    <cellStyle name="Currency [00]" xfId="105"/>
    <cellStyle name="Currency [00] 2" xfId="278"/>
    <cellStyle name="Currency 2" xfId="106"/>
    <cellStyle name="Currency Acctg" xfId="107"/>
    <cellStyle name="Currency0" xfId="108"/>
    <cellStyle name="Data" xfId="109"/>
    <cellStyle name="Date" xfId="110"/>
    <cellStyle name="Date Short" xfId="111"/>
    <cellStyle name="DateJoel" xfId="112"/>
    <cellStyle name="debbie" xfId="113"/>
    <cellStyle name="Dezimal [0]_laroux" xfId="114"/>
    <cellStyle name="Dezimal_laroux" xfId="115"/>
    <cellStyle name="Enter Currency (0)" xfId="116"/>
    <cellStyle name="Enter Currency (0) 2" xfId="279"/>
    <cellStyle name="Enter Currency (2)" xfId="117"/>
    <cellStyle name="Enter Currency (2) 2" xfId="280"/>
    <cellStyle name="Enter Units (0)" xfId="118"/>
    <cellStyle name="Enter Units (0) 2" xfId="281"/>
    <cellStyle name="Enter Units (1)" xfId="119"/>
    <cellStyle name="Enter Units (1) 2" xfId="282"/>
    <cellStyle name="Enter Units (2)" xfId="120"/>
    <cellStyle name="Enter Units (2) 2" xfId="283"/>
    <cellStyle name="eps" xfId="121"/>
    <cellStyle name="Euro" xfId="122"/>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Grey" xfId="123"/>
    <cellStyle name="Header1" xfId="124"/>
    <cellStyle name="Header2" xfId="125"/>
    <cellStyle name="Header2 10" xfId="126"/>
    <cellStyle name="Header2 11" xfId="127"/>
    <cellStyle name="Header2 12" xfId="128"/>
    <cellStyle name="Header2 13" xfId="129"/>
    <cellStyle name="Header2 14" xfId="130"/>
    <cellStyle name="Header2 15" xfId="131"/>
    <cellStyle name="Header2 16" xfId="132"/>
    <cellStyle name="Header2 17" xfId="133"/>
    <cellStyle name="Header2 18" xfId="134"/>
    <cellStyle name="Header2 19" xfId="135"/>
    <cellStyle name="Header2 2" xfId="136"/>
    <cellStyle name="Header2 20" xfId="137"/>
    <cellStyle name="Header2 21" xfId="138"/>
    <cellStyle name="Header2 22" xfId="139"/>
    <cellStyle name="Header2 23" xfId="140"/>
    <cellStyle name="Header2 24" xfId="141"/>
    <cellStyle name="Header2 25" xfId="142"/>
    <cellStyle name="Header2 26" xfId="143"/>
    <cellStyle name="Header2 27" xfId="144"/>
    <cellStyle name="Header2 28" xfId="145"/>
    <cellStyle name="Header2 29" xfId="146"/>
    <cellStyle name="Header2 3" xfId="147"/>
    <cellStyle name="Header2 30" xfId="148"/>
    <cellStyle name="Header2 31" xfId="149"/>
    <cellStyle name="Header2 32" xfId="150"/>
    <cellStyle name="Header2 33" xfId="151"/>
    <cellStyle name="Header2 34" xfId="152"/>
    <cellStyle name="Header2 35" xfId="153"/>
    <cellStyle name="Header2 36" xfId="154"/>
    <cellStyle name="Header2 37" xfId="155"/>
    <cellStyle name="Header2 38" xfId="156"/>
    <cellStyle name="Header2 39" xfId="157"/>
    <cellStyle name="Header2 4" xfId="158"/>
    <cellStyle name="Header2 40" xfId="159"/>
    <cellStyle name="Header2 41" xfId="160"/>
    <cellStyle name="Header2 42" xfId="161"/>
    <cellStyle name="Header2 5" xfId="162"/>
    <cellStyle name="Header2 6" xfId="163"/>
    <cellStyle name="Header2 7" xfId="164"/>
    <cellStyle name="Header2 8" xfId="165"/>
    <cellStyle name="Header2 9" xfId="166"/>
    <cellStyle name="Heading" xfId="167"/>
    <cellStyle name="Heading 1 2" xfId="168"/>
    <cellStyle name="Heading 1 3" xfId="169"/>
    <cellStyle name="Heading 1 4" xfId="170"/>
    <cellStyle name="Heading 2 2" xfId="171"/>
    <cellStyle name="Heading 2 3" xfId="172"/>
    <cellStyle name="Heading 2 4" xfId="173"/>
    <cellStyle name="Heading No Underline" xfId="174"/>
    <cellStyle name="Heading With Underline" xfId="175"/>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2" xfId="284"/>
    <cellStyle name="Hyperlink 2 2" xfId="319"/>
    <cellStyle name="Hyperlink 2 2 2" xfId="320"/>
    <cellStyle name="Hyperlink 3" xfId="285"/>
    <cellStyle name="Hyperlink 4" xfId="321"/>
    <cellStyle name="Input [yellow]" xfId="176"/>
    <cellStyle name="Link Currency (0)" xfId="177"/>
    <cellStyle name="Link Currency (0) 2" xfId="286"/>
    <cellStyle name="Link Currency (2)" xfId="178"/>
    <cellStyle name="Link Currency (2) 2" xfId="287"/>
    <cellStyle name="Link Units (0)" xfId="179"/>
    <cellStyle name="Link Units (0) 2" xfId="288"/>
    <cellStyle name="Link Units (1)" xfId="180"/>
    <cellStyle name="Link Units (1) 2" xfId="289"/>
    <cellStyle name="Link Units (2)" xfId="181"/>
    <cellStyle name="Link Units (2) 2" xfId="290"/>
    <cellStyle name="Millares [0]_pldt" xfId="182"/>
    <cellStyle name="Millares_pldt" xfId="183"/>
    <cellStyle name="Milliers [0]_AR1194" xfId="184"/>
    <cellStyle name="Milliers_AR1194" xfId="185"/>
    <cellStyle name="Moneda [0]_pldt" xfId="186"/>
    <cellStyle name="Moneda_pldt" xfId="187"/>
    <cellStyle name="Monétaire [0]_AR1194" xfId="188"/>
    <cellStyle name="Monétaire_AR1194" xfId="189"/>
    <cellStyle name="negativ" xfId="190"/>
    <cellStyle name="no dec" xfId="191"/>
    <cellStyle name="nodollars" xfId="192"/>
    <cellStyle name="nodollars 2" xfId="193"/>
    <cellStyle name="Normal" xfId="0" builtinId="0"/>
    <cellStyle name="Normal - Style1" xfId="194"/>
    <cellStyle name="Normal - Style1 2" xfId="291"/>
    <cellStyle name="Normal - Style2" xfId="292"/>
    <cellStyle name="Normal - Style3" xfId="293"/>
    <cellStyle name="Normal - Style4" xfId="294"/>
    <cellStyle name="Normal - Style5" xfId="295"/>
    <cellStyle name="Normal 10" xfId="322"/>
    <cellStyle name="Normal 2" xfId="3"/>
    <cellStyle name="Normal 2 2" xfId="196"/>
    <cellStyle name="Normal 2 2 2" xfId="197"/>
    <cellStyle name="Normal 2 3" xfId="198"/>
    <cellStyle name="Normal 2 3 2" xfId="296"/>
    <cellStyle name="Normal 2 4" xfId="199"/>
    <cellStyle name="Normal 2 5" xfId="297"/>
    <cellStyle name="Normal 2 6" xfId="323"/>
    <cellStyle name="Normal 2 7" xfId="324"/>
    <cellStyle name="Normal 2 8" xfId="195"/>
    <cellStyle name="Normal 3" xfId="4"/>
    <cellStyle name="Normal 3 2" xfId="298"/>
    <cellStyle name="Normal 3 3" xfId="299"/>
    <cellStyle name="Normal 3 4" xfId="200"/>
    <cellStyle name="Normal 4" xfId="201"/>
    <cellStyle name="Normal 5" xfId="6"/>
    <cellStyle name="Normal 5 2" xfId="300"/>
    <cellStyle name="Normal 6" xfId="202"/>
    <cellStyle name="Normal 6 2" xfId="301"/>
    <cellStyle name="Normal 6 3" xfId="302"/>
    <cellStyle name="Normal 7" xfId="203"/>
    <cellStyle name="Normal 7 2" xfId="303"/>
    <cellStyle name="Normal 8" xfId="204"/>
    <cellStyle name="Normal 8 2" xfId="304"/>
    <cellStyle name="Normal 8 3" xfId="316"/>
    <cellStyle name="Normal 9" xfId="325"/>
    <cellStyle name="Number0DecimalStyle" xfId="205"/>
    <cellStyle name="Number0DecimalStyle 2" xfId="253"/>
    <cellStyle name="Number10DecimalStyle" xfId="206"/>
    <cellStyle name="Number1DecimalStyle" xfId="207"/>
    <cellStyle name="Number2DecimalStyle" xfId="208"/>
    <cellStyle name="Number2DecimalStyle 2" xfId="254"/>
    <cellStyle name="Number3DecimalStyle" xfId="209"/>
    <cellStyle name="Number4DecimalStyle" xfId="210"/>
    <cellStyle name="Number5DecimalStyle" xfId="211"/>
    <cellStyle name="Number6DecimalStyle" xfId="212"/>
    <cellStyle name="Number7DecimalStyle" xfId="213"/>
    <cellStyle name="Number8DecimalStyle" xfId="214"/>
    <cellStyle name="Number9DecimalStyle" xfId="215"/>
    <cellStyle name="over" xfId="216"/>
    <cellStyle name="Percent" xfId="2" builtinId="5"/>
    <cellStyle name="percent (0)" xfId="217"/>
    <cellStyle name="Percent [0]" xfId="218"/>
    <cellStyle name="Percent [0] 2" xfId="305"/>
    <cellStyle name="Percent [00]" xfId="219"/>
    <cellStyle name="Percent [00] 2" xfId="306"/>
    <cellStyle name="Percent [2]" xfId="220"/>
    <cellStyle name="Percent 10" xfId="318"/>
    <cellStyle name="Percent 2" xfId="221"/>
    <cellStyle name="Percent 2 2" xfId="222"/>
    <cellStyle name="Percent 2 3" xfId="223"/>
    <cellStyle name="Percent 2 4" xfId="224"/>
    <cellStyle name="Percent 3" xfId="225"/>
    <cellStyle name="Percent 3 2" xfId="307"/>
    <cellStyle name="Percent 4" xfId="308"/>
    <cellStyle name="Percent 6" xfId="326"/>
    <cellStyle name="PERCENTAGE" xfId="226"/>
    <cellStyle name="posit" xfId="227"/>
    <cellStyle name="Powerpoint Style" xfId="228"/>
    <cellStyle name="PrePop Currency (0)" xfId="229"/>
    <cellStyle name="PrePop Currency (0) 2" xfId="309"/>
    <cellStyle name="PrePop Currency (2)" xfId="230"/>
    <cellStyle name="PrePop Currency (2) 2" xfId="310"/>
    <cellStyle name="PrePop Units (0)" xfId="231"/>
    <cellStyle name="PrePop Units (0) 2" xfId="311"/>
    <cellStyle name="PrePop Units (1)" xfId="232"/>
    <cellStyle name="PrePop Units (1) 2" xfId="312"/>
    <cellStyle name="PrePop Units (2)" xfId="233"/>
    <cellStyle name="PrePop Units (2) 2" xfId="313"/>
    <cellStyle name="SingleTopDoubleBott" xfId="234"/>
    <cellStyle name="Standard_A" xfId="235"/>
    <cellStyle name="Style 1" xfId="236"/>
    <cellStyle name="Style 2" xfId="237"/>
    <cellStyle name="Style 3" xfId="327"/>
    <cellStyle name="Style 4" xfId="328"/>
    <cellStyle name="Text Indent A" xfId="238"/>
    <cellStyle name="Text Indent B" xfId="239"/>
    <cellStyle name="Text Indent B 2" xfId="314"/>
    <cellStyle name="Text Indent C" xfId="240"/>
    <cellStyle name="Text Indent C 2" xfId="315"/>
    <cellStyle name="TextStyle" xfId="241"/>
    <cellStyle name="Tickmark" xfId="242"/>
    <cellStyle name="TimStyle" xfId="243"/>
    <cellStyle name="Total 2" xfId="244"/>
    <cellStyle name="Total 3" xfId="245"/>
    <cellStyle name="Total 4" xfId="246"/>
    <cellStyle name="Underline" xfId="247"/>
    <cellStyle name="UnderlineDouble" xfId="248"/>
    <cellStyle name="Währung [0]_RESULTS" xfId="249"/>
    <cellStyle name="Währung_RESULTS" xfId="250"/>
    <cellStyle name="표준_BINV" xfId="251"/>
    <cellStyle name="標準_99B-05PE_IC2" xfId="252"/>
  </cellStyles>
  <dxfs count="0"/>
  <tableStyles count="0" defaultTableStyle="TableStyleMedium2" defaultPivotStyle="PivotStyleLight16"/>
  <colors>
    <mruColors>
      <color rgb="FFFBC08E"/>
      <color rgb="FFB1A1C8"/>
      <color rgb="FF595959"/>
      <color rgb="FF95B3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721-4EFC-AAD3-C4056A0A7B99}"/>
            </c:ext>
          </c:extLst>
        </c:ser>
        <c:dLbls>
          <c:showLegendKey val="0"/>
          <c:showVal val="0"/>
          <c:showCatName val="0"/>
          <c:showSerName val="0"/>
          <c:showPercent val="0"/>
          <c:showBubbleSize val="0"/>
        </c:dLbls>
        <c:smooth val="0"/>
        <c:axId val="2109050240"/>
        <c:axId val="2109594672"/>
      </c:lineChart>
      <c:catAx>
        <c:axId val="210905024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2109594672"/>
        <c:crosses val="autoZero"/>
        <c:auto val="1"/>
        <c:lblAlgn val="ctr"/>
        <c:lblOffset val="100"/>
        <c:tickLblSkip val="7"/>
        <c:noMultiLvlLbl val="1"/>
      </c:catAx>
      <c:valAx>
        <c:axId val="2109594672"/>
        <c:scaling>
          <c:orientation val="minMax"/>
        </c:scaling>
        <c:delete val="0"/>
        <c:axPos val="l"/>
        <c:majorGridlines/>
        <c:numFmt formatCode="0.0\x" sourceLinked="0"/>
        <c:majorTickMark val="out"/>
        <c:minorTickMark val="none"/>
        <c:tickLblPos val="nextTo"/>
        <c:crossAx val="210905024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C4A-4712-9787-47F5870BB50C}"/>
            </c:ext>
          </c:extLst>
        </c:ser>
        <c:dLbls>
          <c:showLegendKey val="0"/>
          <c:showVal val="0"/>
          <c:showCatName val="0"/>
          <c:showSerName val="0"/>
          <c:showPercent val="0"/>
          <c:showBubbleSize val="0"/>
        </c:dLbls>
        <c:smooth val="0"/>
        <c:axId val="-2143711072"/>
        <c:axId val="2109649408"/>
      </c:lineChart>
      <c:catAx>
        <c:axId val="-214371107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2109649408"/>
        <c:crosses val="autoZero"/>
        <c:auto val="1"/>
        <c:lblAlgn val="ctr"/>
        <c:lblOffset val="100"/>
        <c:tickLblSkip val="7"/>
        <c:noMultiLvlLbl val="1"/>
      </c:catAx>
      <c:valAx>
        <c:axId val="2109649408"/>
        <c:scaling>
          <c:orientation val="minMax"/>
        </c:scaling>
        <c:delete val="0"/>
        <c:axPos val="l"/>
        <c:majorGridlines/>
        <c:numFmt formatCode="0.0\x" sourceLinked="0"/>
        <c:majorTickMark val="out"/>
        <c:minorTickMark val="none"/>
        <c:tickLblPos val="nextTo"/>
        <c:crossAx val="-214371107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477F-4015-B873-EB220D30F9CA}"/>
            </c:ext>
          </c:extLst>
        </c:ser>
        <c:dLbls>
          <c:showLegendKey val="0"/>
          <c:showVal val="0"/>
          <c:showCatName val="0"/>
          <c:showSerName val="0"/>
          <c:showPercent val="0"/>
          <c:showBubbleSize val="0"/>
        </c:dLbls>
        <c:smooth val="0"/>
        <c:axId val="2120247056"/>
        <c:axId val="2120241760"/>
      </c:lineChart>
      <c:catAx>
        <c:axId val="2120247056"/>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2120241760"/>
        <c:crosses val="autoZero"/>
        <c:auto val="1"/>
        <c:lblAlgn val="ctr"/>
        <c:lblOffset val="100"/>
        <c:tickLblSkip val="7"/>
        <c:noMultiLvlLbl val="1"/>
      </c:catAx>
      <c:valAx>
        <c:axId val="2120241760"/>
        <c:scaling>
          <c:orientation val="minMax"/>
        </c:scaling>
        <c:delete val="0"/>
        <c:axPos val="l"/>
        <c:majorGridlines/>
        <c:numFmt formatCode="0.0\x" sourceLinked="0"/>
        <c:majorTickMark val="out"/>
        <c:minorTickMark val="none"/>
        <c:tickLblPos val="nextTo"/>
        <c:crossAx val="212024705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236802</xdr:colOff>
      <xdr:row>46</xdr:row>
      <xdr:rowOff>0</xdr:rowOff>
    </xdr:from>
    <xdr:to>
      <xdr:col>11</xdr:col>
      <xdr:colOff>718343</xdr:colOff>
      <xdr:row>46</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101</xdr:row>
      <xdr:rowOff>0</xdr:rowOff>
    </xdr:from>
    <xdr:to>
      <xdr:col>11</xdr:col>
      <xdr:colOff>718343</xdr:colOff>
      <xdr:row>101</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145</xdr:row>
      <xdr:rowOff>0</xdr:rowOff>
    </xdr:from>
    <xdr:to>
      <xdr:col>11</xdr:col>
      <xdr:colOff>718343</xdr:colOff>
      <xdr:row>145</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dseyyonish\Desktop\Gutenberg%20Training%20Program\ADBE\C:\Users\lindseyyonish\Desktop\C:\Users\lindseyyonish\Desktop\C:\Users\Owner\Documents\Articles%20(10-8-2015)\Apple\Apple%20Model%209-3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tes by Analys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26"/>
  <sheetViews>
    <sheetView showGridLines="0" tabSelected="1" workbookViewId="0">
      <selection activeCell="B2" sqref="B2:C2"/>
    </sheetView>
  </sheetViews>
  <sheetFormatPr defaultColWidth="8.77734375" defaultRowHeight="14.4" outlineLevelRow="1" outlineLevelCol="1" x14ac:dyDescent="0.3"/>
  <cols>
    <col min="1" max="1" width="1.77734375" customWidth="1"/>
    <col min="2" max="2" width="31.6640625" customWidth="1"/>
    <col min="3" max="3" width="17.77734375" style="11" customWidth="1"/>
    <col min="4" max="4" width="11.33203125" style="1" hidden="1" customWidth="1" outlineLevel="1"/>
    <col min="5" max="7" width="11.44140625" style="1" hidden="1" customWidth="1" outlineLevel="1"/>
    <col min="8" max="8" width="11.44140625" style="1" customWidth="1" collapsed="1"/>
    <col min="9" max="10" width="11.44140625" style="1" hidden="1" customWidth="1" outlineLevel="1"/>
    <col min="11" max="12" width="11.44140625" style="3" hidden="1" customWidth="1" outlineLevel="1"/>
    <col min="13" max="13" width="11.44140625" style="3" customWidth="1" collapsed="1"/>
    <col min="14" max="15" width="11.44140625" style="1" customWidth="1" outlineLevel="1"/>
    <col min="16" max="17" width="11.44140625" style="3" customWidth="1" outlineLevel="1"/>
    <col min="18" max="18" width="11.44140625" style="3" customWidth="1"/>
    <col min="19" max="20" width="11.44140625" style="1" hidden="1" customWidth="1" outlineLevel="1"/>
    <col min="21" max="22" width="11.44140625" style="3" hidden="1" customWidth="1" outlineLevel="1"/>
    <col min="23" max="23" width="11.44140625" style="3" customWidth="1" collapsed="1"/>
    <col min="24" max="24" width="4.33203125" customWidth="1"/>
    <col min="25" max="25" width="16.109375" customWidth="1"/>
  </cols>
  <sheetData>
    <row r="1" spans="1:30" s="58" customFormat="1" x14ac:dyDescent="0.3">
      <c r="A1" s="113"/>
      <c r="C1" s="59"/>
      <c r="D1" s="1"/>
      <c r="E1" s="1"/>
      <c r="F1" s="1"/>
      <c r="G1" s="1"/>
      <c r="H1" s="1"/>
      <c r="I1" s="1"/>
      <c r="J1" s="1"/>
      <c r="K1" s="3"/>
      <c r="L1" s="3"/>
      <c r="M1" s="3"/>
      <c r="N1" s="1"/>
      <c r="O1" s="1"/>
      <c r="P1" s="3"/>
      <c r="Q1" s="3"/>
      <c r="R1" s="3"/>
      <c r="S1" s="1"/>
      <c r="T1" s="1"/>
      <c r="U1" s="3"/>
      <c r="V1" s="3"/>
      <c r="W1" s="3"/>
      <c r="AD1" s="113" t="s">
        <v>82</v>
      </c>
    </row>
    <row r="2" spans="1:30" ht="46.2" customHeight="1" x14ac:dyDescent="0.3">
      <c r="B2" s="363" t="s">
        <v>81</v>
      </c>
      <c r="C2" s="364"/>
    </row>
    <row r="3" spans="1:30" x14ac:dyDescent="0.3">
      <c r="B3" s="365" t="s">
        <v>51</v>
      </c>
      <c r="C3" s="366"/>
      <c r="I3" s="12"/>
    </row>
    <row r="4" spans="1:30" x14ac:dyDescent="0.3">
      <c r="B4" s="367" t="s">
        <v>208</v>
      </c>
      <c r="C4" s="368"/>
      <c r="D4" s="201"/>
      <c r="E4" s="201"/>
      <c r="F4" s="201"/>
      <c r="G4" s="201"/>
      <c r="H4" s="201"/>
      <c r="I4" s="201"/>
      <c r="J4" s="201"/>
      <c r="K4" s="201"/>
      <c r="L4" s="201"/>
      <c r="M4" s="201"/>
    </row>
    <row r="5" spans="1:30" x14ac:dyDescent="0.3">
      <c r="B5" s="369" t="s">
        <v>214</v>
      </c>
      <c r="C5" s="370"/>
      <c r="D5" s="202"/>
      <c r="E5" s="201"/>
      <c r="F5" s="201"/>
      <c r="G5" s="201"/>
      <c r="H5" s="201"/>
      <c r="I5" s="201"/>
      <c r="J5" s="201"/>
      <c r="K5" s="201"/>
      <c r="L5" s="201"/>
      <c r="M5" s="201"/>
      <c r="N5"/>
      <c r="O5"/>
      <c r="P5"/>
      <c r="Q5"/>
      <c r="R5"/>
      <c r="S5"/>
      <c r="T5"/>
      <c r="U5"/>
      <c r="V5"/>
      <c r="W5"/>
    </row>
    <row r="6" spans="1:30" x14ac:dyDescent="0.3">
      <c r="B6" s="106" t="s">
        <v>17</v>
      </c>
      <c r="C6" s="193">
        <f>C199</f>
        <v>108.00000503109291</v>
      </c>
      <c r="D6" s="201"/>
      <c r="E6" s="201"/>
      <c r="F6" s="201"/>
      <c r="G6" s="201"/>
      <c r="H6" s="201"/>
      <c r="I6" s="201"/>
      <c r="J6" s="201"/>
      <c r="K6" s="201"/>
      <c r="L6" s="201"/>
      <c r="M6" s="201"/>
      <c r="N6" s="12"/>
      <c r="O6" s="12"/>
      <c r="P6" s="12"/>
      <c r="Q6" s="12"/>
      <c r="R6" s="12"/>
      <c r="S6" s="12"/>
      <c r="T6" s="12"/>
      <c r="U6" s="12"/>
      <c r="V6" s="12"/>
      <c r="W6" s="12"/>
    </row>
    <row r="7" spans="1:30" s="58" customFormat="1" x14ac:dyDescent="0.3">
      <c r="B7" s="67" t="s">
        <v>74</v>
      </c>
      <c r="C7" s="99" t="str">
        <f>TEXT(C208,"$0")&amp;" to "&amp;TEXT(C207,"$0")</f>
        <v>$100 to $116</v>
      </c>
      <c r="D7" s="1"/>
      <c r="E7" s="1"/>
      <c r="F7" s="1"/>
      <c r="G7" s="1"/>
      <c r="H7" s="1"/>
      <c r="I7" s="12"/>
      <c r="J7" s="12"/>
      <c r="K7" s="12"/>
      <c r="L7" s="12"/>
      <c r="M7" s="3"/>
      <c r="N7" s="17"/>
      <c r="O7" s="12"/>
      <c r="P7" s="12"/>
      <c r="Q7" s="12"/>
      <c r="R7" s="110"/>
      <c r="S7" s="12"/>
      <c r="T7" s="12"/>
      <c r="U7" s="12"/>
      <c r="V7" s="12"/>
      <c r="W7" s="12"/>
    </row>
    <row r="8" spans="1:30" ht="7.2" customHeight="1" x14ac:dyDescent="0.3">
      <c r="C8" s="19"/>
      <c r="D8" s="9"/>
      <c r="E8" s="9"/>
      <c r="F8" s="9"/>
      <c r="G8" s="9"/>
      <c r="H8" s="9"/>
      <c r="I8" s="9"/>
      <c r="J8" s="9"/>
      <c r="K8" s="9"/>
      <c r="L8" s="15"/>
      <c r="M8" s="16"/>
      <c r="N8" s="15"/>
      <c r="O8" s="15"/>
      <c r="P8" s="15"/>
      <c r="Q8" s="17"/>
      <c r="R8" s="17"/>
      <c r="S8" s="15"/>
      <c r="T8" s="15"/>
      <c r="U8" s="15"/>
      <c r="V8" s="17"/>
      <c r="W8" s="17"/>
    </row>
    <row r="9" spans="1:30" ht="15.6" x14ac:dyDescent="0.3">
      <c r="B9" s="346" t="s">
        <v>129</v>
      </c>
      <c r="C9" s="347"/>
      <c r="D9" s="61" t="s">
        <v>183</v>
      </c>
      <c r="E9" s="61" t="s">
        <v>184</v>
      </c>
      <c r="F9" s="61" t="s">
        <v>185</v>
      </c>
      <c r="G9" s="61" t="s">
        <v>186</v>
      </c>
      <c r="H9" s="61" t="s">
        <v>186</v>
      </c>
      <c r="I9" s="61" t="s">
        <v>187</v>
      </c>
      <c r="J9" s="61" t="s">
        <v>188</v>
      </c>
      <c r="K9" s="61" t="s">
        <v>189</v>
      </c>
      <c r="L9" s="61" t="s">
        <v>190</v>
      </c>
      <c r="M9" s="61" t="s">
        <v>190</v>
      </c>
      <c r="N9" s="61" t="s">
        <v>191</v>
      </c>
      <c r="O9" s="314" t="s">
        <v>192</v>
      </c>
      <c r="P9" s="63" t="s">
        <v>193</v>
      </c>
      <c r="Q9" s="63" t="s">
        <v>194</v>
      </c>
      <c r="R9" s="63" t="s">
        <v>194</v>
      </c>
      <c r="S9" s="63" t="s">
        <v>195</v>
      </c>
      <c r="T9" s="63" t="s">
        <v>196</v>
      </c>
      <c r="U9" s="63" t="s">
        <v>197</v>
      </c>
      <c r="V9" s="63" t="s">
        <v>198</v>
      </c>
      <c r="W9" s="71" t="s">
        <v>198</v>
      </c>
    </row>
    <row r="10" spans="1:30" ht="16.2" x14ac:dyDescent="0.45">
      <c r="B10" s="352" t="s">
        <v>0</v>
      </c>
      <c r="C10" s="353"/>
      <c r="D10" s="50" t="s">
        <v>25</v>
      </c>
      <c r="E10" s="50" t="s">
        <v>26</v>
      </c>
      <c r="F10" s="50" t="s">
        <v>27</v>
      </c>
      <c r="G10" s="50" t="s">
        <v>28</v>
      </c>
      <c r="H10" s="62" t="s">
        <v>13</v>
      </c>
      <c r="I10" s="50" t="s">
        <v>29</v>
      </c>
      <c r="J10" s="50" t="s">
        <v>30</v>
      </c>
      <c r="K10" s="50" t="s">
        <v>37</v>
      </c>
      <c r="L10" s="62" t="s">
        <v>72</v>
      </c>
      <c r="M10" s="62" t="s">
        <v>73</v>
      </c>
      <c r="N10" s="62" t="s">
        <v>172</v>
      </c>
      <c r="O10" s="303" t="s">
        <v>212</v>
      </c>
      <c r="P10" s="51" t="s">
        <v>31</v>
      </c>
      <c r="Q10" s="51" t="s">
        <v>32</v>
      </c>
      <c r="R10" s="51" t="s">
        <v>14</v>
      </c>
      <c r="S10" s="51" t="s">
        <v>33</v>
      </c>
      <c r="T10" s="51" t="s">
        <v>34</v>
      </c>
      <c r="U10" s="51" t="s">
        <v>35</v>
      </c>
      <c r="V10" s="51" t="s">
        <v>36</v>
      </c>
      <c r="W10" s="72" t="s">
        <v>15</v>
      </c>
    </row>
    <row r="11" spans="1:30" s="59" customFormat="1" x14ac:dyDescent="0.3">
      <c r="B11" s="330" t="s">
        <v>130</v>
      </c>
      <c r="C11" s="331"/>
      <c r="D11" s="209">
        <v>423.56299999999999</v>
      </c>
      <c r="E11" s="210">
        <v>476.69400000000002</v>
      </c>
      <c r="F11" s="210">
        <v>547.37300000000005</v>
      </c>
      <c r="G11" s="211">
        <v>628.95399999999995</v>
      </c>
      <c r="H11" s="212">
        <f>SUM(D11:G11)</f>
        <v>2076.5839999999998</v>
      </c>
      <c r="I11" s="209">
        <v>713.44200000000001</v>
      </c>
      <c r="J11" s="204">
        <v>773.96299999999997</v>
      </c>
      <c r="K11" s="204">
        <v>829.06500000000005</v>
      </c>
      <c r="L11" s="204">
        <v>907.43399999999997</v>
      </c>
      <c r="M11" s="212">
        <f>SUM(I11:L11)</f>
        <v>3223.9040000000005</v>
      </c>
      <c r="N11" s="204">
        <v>1070.25</v>
      </c>
      <c r="O11" s="323">
        <v>1083.7080000000001</v>
      </c>
      <c r="P11" s="204">
        <f t="shared" ref="P11:Q11" si="0">N11/N14*P14</f>
        <v>1123.3820459252458</v>
      </c>
      <c r="Q11" s="204">
        <f t="shared" si="0"/>
        <v>1219.9295367428108</v>
      </c>
      <c r="R11" s="212">
        <f>SUM(N11:Q11)</f>
        <v>4497.2695826680574</v>
      </c>
      <c r="S11" s="204">
        <f>Q11/Q14*S14</f>
        <v>1235.8988961939015</v>
      </c>
      <c r="T11" s="204">
        <f>S11/S14*T14</f>
        <v>1310.6322956795213</v>
      </c>
      <c r="U11" s="204">
        <f t="shared" ref="U11" si="1">S11/S14*U14</f>
        <v>1399.8968867893313</v>
      </c>
      <c r="V11" s="204">
        <f t="shared" ref="V11" si="2">T11/T14*V14</f>
        <v>1522.5237375334696</v>
      </c>
      <c r="W11" s="212">
        <f>SUM(S11:V11)</f>
        <v>5468.9518161962242</v>
      </c>
    </row>
    <row r="12" spans="1:30" s="59" customFormat="1" x14ac:dyDescent="0.3">
      <c r="B12" s="330" t="s">
        <v>131</v>
      </c>
      <c r="C12" s="331"/>
      <c r="D12" s="209">
        <v>471.45400000000001</v>
      </c>
      <c r="E12" s="210">
        <v>479.24700000000001</v>
      </c>
      <c r="F12" s="210">
        <v>349.15100000000001</v>
      </c>
      <c r="G12" s="211">
        <v>327.95100000000002</v>
      </c>
      <c r="H12" s="212">
        <f t="shared" ref="H12:H13" si="3">SUM(D12:G12)</f>
        <v>1627.8030000000001</v>
      </c>
      <c r="I12" s="209">
        <v>290.774</v>
      </c>
      <c r="J12" s="204">
        <v>274.53800000000001</v>
      </c>
      <c r="K12" s="204">
        <v>275.33800000000002</v>
      </c>
      <c r="L12" s="204">
        <v>284.49599999999998</v>
      </c>
      <c r="M12" s="212">
        <f t="shared" ref="M12:M13" si="4">SUM(I12:L12)</f>
        <v>1125.1460000000002</v>
      </c>
      <c r="N12" s="204">
        <v>201.11199999999999</v>
      </c>
      <c r="O12" s="204">
        <v>196.5</v>
      </c>
      <c r="P12" s="204">
        <f t="shared" ref="P12:Q12" si="5">N12/N14*P14</f>
        <v>211.09610840468866</v>
      </c>
      <c r="Q12" s="204">
        <f t="shared" si="5"/>
        <v>221.19994866694933</v>
      </c>
      <c r="R12" s="212">
        <f t="shared" ref="R12:R13" si="6">SUM(N12:Q12)</f>
        <v>829.90805707163793</v>
      </c>
      <c r="S12" s="204">
        <f>Q12/Q14*S14</f>
        <v>224.09554335863686</v>
      </c>
      <c r="T12" s="204">
        <f>S12/S14*T14</f>
        <v>237.64634578781917</v>
      </c>
      <c r="U12" s="204">
        <f t="shared" ref="U12" si="7">S12/S14*U14</f>
        <v>253.83197157731007</v>
      </c>
      <c r="V12" s="204">
        <f t="shared" ref="V12" si="8">T12/T14*V14</f>
        <v>276.06690586885657</v>
      </c>
      <c r="W12" s="212">
        <f t="shared" ref="W12:W13" si="9">SUM(S12:V12)</f>
        <v>991.64076659262264</v>
      </c>
    </row>
    <row r="13" spans="1:30" s="59" customFormat="1" ht="16.2" x14ac:dyDescent="0.45">
      <c r="B13" s="330" t="s">
        <v>132</v>
      </c>
      <c r="C13" s="331"/>
      <c r="D13" s="214">
        <v>105.10299999999999</v>
      </c>
      <c r="E13" s="215">
        <v>112.267</v>
      </c>
      <c r="F13" s="215">
        <v>108.88500000000001</v>
      </c>
      <c r="G13" s="216">
        <v>116.423</v>
      </c>
      <c r="H13" s="217">
        <f t="shared" si="3"/>
        <v>442.678</v>
      </c>
      <c r="I13" s="214">
        <v>104.965</v>
      </c>
      <c r="J13" s="258">
        <v>113.657</v>
      </c>
      <c r="K13" s="258">
        <v>113.36499999999999</v>
      </c>
      <c r="L13" s="258">
        <v>114.474</v>
      </c>
      <c r="M13" s="217">
        <f t="shared" si="4"/>
        <v>446.46100000000001</v>
      </c>
      <c r="N13" s="258">
        <v>111.973</v>
      </c>
      <c r="O13" s="258">
        <v>118.501</v>
      </c>
      <c r="P13" s="258">
        <f t="shared" ref="P13:Q13" si="10">N13/N14*P14</f>
        <v>117.53184567006545</v>
      </c>
      <c r="Q13" s="258">
        <f t="shared" si="10"/>
        <v>133.39651459024</v>
      </c>
      <c r="R13" s="217">
        <f t="shared" si="6"/>
        <v>481.4023602603055</v>
      </c>
      <c r="S13" s="258">
        <f>Q13/Q14*S14</f>
        <v>135.14272765161232</v>
      </c>
      <c r="T13" s="258">
        <f>S13/S14*T14</f>
        <v>143.3146545659153</v>
      </c>
      <c r="U13" s="258">
        <f t="shared" ref="U13" si="11">S13/S14*U14</f>
        <v>153.0755341673426</v>
      </c>
      <c r="V13" s="258">
        <f t="shared" ref="V13" si="12">T13/T14*V14</f>
        <v>166.48450082628685</v>
      </c>
      <c r="W13" s="217">
        <f t="shared" si="9"/>
        <v>598.01741721115707</v>
      </c>
    </row>
    <row r="14" spans="1:30" s="60" customFormat="1" x14ac:dyDescent="0.3">
      <c r="B14" s="356" t="s">
        <v>133</v>
      </c>
      <c r="C14" s="371"/>
      <c r="D14" s="213">
        <f>SUM(D11:D13)</f>
        <v>1000.12</v>
      </c>
      <c r="E14" s="205">
        <f t="shared" ref="E14:N14" si="13">SUM(E11:E13)</f>
        <v>1068.2080000000001</v>
      </c>
      <c r="F14" s="205">
        <f t="shared" si="13"/>
        <v>1005.4090000000001</v>
      </c>
      <c r="G14" s="206">
        <f t="shared" si="13"/>
        <v>1073.328</v>
      </c>
      <c r="H14" s="207">
        <f t="shared" si="13"/>
        <v>4147.0649999999996</v>
      </c>
      <c r="I14" s="213">
        <f t="shared" si="13"/>
        <v>1109.181</v>
      </c>
      <c r="J14" s="208">
        <f t="shared" si="13"/>
        <v>1162.1579999999999</v>
      </c>
      <c r="K14" s="208">
        <f t="shared" si="13"/>
        <v>1217.768</v>
      </c>
      <c r="L14" s="208">
        <f t="shared" si="13"/>
        <v>1306.4039999999998</v>
      </c>
      <c r="M14" s="207">
        <f t="shared" si="13"/>
        <v>4795.5110000000013</v>
      </c>
      <c r="N14" s="208">
        <f t="shared" si="13"/>
        <v>1383.335</v>
      </c>
      <c r="O14" s="208">
        <f>SUM(O11:O13)</f>
        <v>1398.7090000000001</v>
      </c>
      <c r="P14" s="326">
        <f t="shared" ref="P14:Q14" si="14">P63</f>
        <v>1452.01</v>
      </c>
      <c r="Q14" s="326">
        <f t="shared" si="14"/>
        <v>1574.5260000000001</v>
      </c>
      <c r="R14" s="327">
        <f>SUM(N14:Q14)</f>
        <v>5808.58</v>
      </c>
      <c r="S14" s="382">
        <f>S63</f>
        <v>1595.1371672041505</v>
      </c>
      <c r="T14" s="382">
        <f t="shared" ref="T14:V14" si="15">T63</f>
        <v>1691.5932960332557</v>
      </c>
      <c r="U14" s="208">
        <f t="shared" si="15"/>
        <v>1806.8043925339837</v>
      </c>
      <c r="V14" s="208">
        <f t="shared" si="15"/>
        <v>1965.075144228613</v>
      </c>
      <c r="W14" s="327">
        <f>SUM(S14:V14)</f>
        <v>7058.6100000000024</v>
      </c>
    </row>
    <row r="15" spans="1:30" s="59" customFormat="1" x14ac:dyDescent="0.3">
      <c r="B15" s="330" t="s">
        <v>130</v>
      </c>
      <c r="C15" s="331"/>
      <c r="D15" s="209">
        <v>76.731999999999999</v>
      </c>
      <c r="E15" s="210">
        <v>84.147000000000006</v>
      </c>
      <c r="F15" s="210">
        <v>86.67</v>
      </c>
      <c r="G15" s="211">
        <v>87.882999999999996</v>
      </c>
      <c r="H15" s="212">
        <f>SUM(D15:G15)</f>
        <v>335.43200000000002</v>
      </c>
      <c r="I15" s="209">
        <v>95.527000000000001</v>
      </c>
      <c r="J15" s="204">
        <v>103.694</v>
      </c>
      <c r="K15" s="204">
        <v>103.605</v>
      </c>
      <c r="L15" s="204">
        <v>106.36799999999999</v>
      </c>
      <c r="M15" s="212">
        <f>SUM(I15:L15)</f>
        <v>409.19400000000002</v>
      </c>
      <c r="N15" s="204">
        <v>107.27500000000001</v>
      </c>
      <c r="O15" s="204">
        <v>115.399</v>
      </c>
      <c r="P15" s="204">
        <f>N15/N18*P18</f>
        <v>95.896660286986943</v>
      </c>
      <c r="Q15" s="204">
        <f t="shared" ref="Q15" si="16">O15/O18*Q18</f>
        <v>136.74339452486328</v>
      </c>
      <c r="R15" s="212">
        <f>SUM(N15:Q15)</f>
        <v>455.31405481185021</v>
      </c>
      <c r="S15" s="204">
        <f>Q15/Q18*S18</f>
        <v>139.13950443230556</v>
      </c>
      <c r="T15" s="204">
        <f>S15/S18*T18</f>
        <v>152.42862446822528</v>
      </c>
      <c r="U15" s="204">
        <f>S15/S18*U18</f>
        <v>163.02552273041229</v>
      </c>
      <c r="V15" s="204">
        <f t="shared" ref="V15" si="17">T15/T18*V18</f>
        <v>171.18861407443026</v>
      </c>
      <c r="W15" s="212">
        <f>SUM(S15:V15)</f>
        <v>625.78226570537333</v>
      </c>
    </row>
    <row r="16" spans="1:30" s="59" customFormat="1" x14ac:dyDescent="0.3">
      <c r="B16" s="330" t="s">
        <v>131</v>
      </c>
      <c r="C16" s="331"/>
      <c r="D16" s="209">
        <v>27.498000000000001</v>
      </c>
      <c r="E16" s="210">
        <v>24.498999999999999</v>
      </c>
      <c r="F16" s="210">
        <v>23.172000000000001</v>
      </c>
      <c r="G16" s="211">
        <v>21.93</v>
      </c>
      <c r="H16" s="212">
        <f t="shared" ref="H16:H17" si="18">SUM(D16:G16)</f>
        <v>97.09899999999999</v>
      </c>
      <c r="I16" s="209">
        <v>19.702999999999999</v>
      </c>
      <c r="J16" s="204">
        <v>21.466999999999999</v>
      </c>
      <c r="K16" s="204">
        <v>24.545000000000002</v>
      </c>
      <c r="L16" s="204">
        <v>24.32</v>
      </c>
      <c r="M16" s="212">
        <f t="shared" ref="M16:M17" si="19">SUM(I16:L16)</f>
        <v>90.034999999999997</v>
      </c>
      <c r="N16" s="204">
        <v>20.298999999999999</v>
      </c>
      <c r="O16" s="204">
        <v>15.756</v>
      </c>
      <c r="P16" s="204">
        <f t="shared" ref="P16" si="20">N16/N18*P18</f>
        <v>18.145945534053116</v>
      </c>
      <c r="Q16" s="204">
        <f>O16/O18*Q18</f>
        <v>18.670256450521631</v>
      </c>
      <c r="R16" s="212">
        <f t="shared" ref="R16:R17" si="21">SUM(N16:Q16)</f>
        <v>72.871201984574753</v>
      </c>
      <c r="S16" s="204">
        <f>Q16/Q18*S18</f>
        <v>18.997409265551749</v>
      </c>
      <c r="T16" s="204">
        <f>S16/S18*T18</f>
        <v>20.811838985791535</v>
      </c>
      <c r="U16" s="204">
        <f t="shared" ref="U16" si="22">S16/S18*U18</f>
        <v>22.258686263662387</v>
      </c>
      <c r="V16" s="204">
        <f>T16/T18*V18</f>
        <v>23.373233765948779</v>
      </c>
      <c r="W16" s="212">
        <f t="shared" ref="W16:W17" si="23">SUM(S16:V16)</f>
        <v>85.441168280954457</v>
      </c>
    </row>
    <row r="17" spans="2:24" s="59" customFormat="1" ht="16.2" x14ac:dyDescent="0.45">
      <c r="B17" s="330" t="s">
        <v>132</v>
      </c>
      <c r="C17" s="331"/>
      <c r="D17" s="214">
        <v>44.279000000000003</v>
      </c>
      <c r="E17" s="215">
        <v>46.258000000000003</v>
      </c>
      <c r="F17" s="215">
        <v>47.881999999999998</v>
      </c>
      <c r="G17" s="216">
        <v>51.13</v>
      </c>
      <c r="H17" s="217">
        <f t="shared" si="18"/>
        <v>189.54900000000001</v>
      </c>
      <c r="I17" s="214">
        <v>51.567999999999998</v>
      </c>
      <c r="J17" s="258">
        <v>60.012</v>
      </c>
      <c r="K17" s="258">
        <v>62.835000000000001</v>
      </c>
      <c r="L17" s="258">
        <v>70.673000000000002</v>
      </c>
      <c r="M17" s="217">
        <f t="shared" si="19"/>
        <v>245.08799999999999</v>
      </c>
      <c r="N17" s="258">
        <v>70.998000000000005</v>
      </c>
      <c r="O17" s="258">
        <v>70.924000000000007</v>
      </c>
      <c r="P17" s="258">
        <f t="shared" ref="P17" si="24">N17/N18*P18</f>
        <v>63.467453619720345</v>
      </c>
      <c r="Q17" s="258">
        <f t="shared" ref="Q17" si="25">O17/O18*Q18</f>
        <v>84.042223184615139</v>
      </c>
      <c r="R17" s="217">
        <f t="shared" si="21"/>
        <v>289.4316768043355</v>
      </c>
      <c r="S17" s="258">
        <f>Q17/Q18*S18</f>
        <v>85.514867653591793</v>
      </c>
      <c r="T17" s="258">
        <f>S17/S18*T18</f>
        <v>93.682334871050969</v>
      </c>
      <c r="U17" s="258">
        <f t="shared" ref="U17" si="26">S17/S18*U18</f>
        <v>100.19516784488394</v>
      </c>
      <c r="V17" s="258">
        <f t="shared" ref="V17" si="27">T17/T18*V18</f>
        <v>105.21218784057827</v>
      </c>
      <c r="W17" s="217">
        <f t="shared" si="23"/>
        <v>384.60455821010498</v>
      </c>
    </row>
    <row r="18" spans="2:24" s="60" customFormat="1" ht="16.95" customHeight="1" x14ac:dyDescent="0.45">
      <c r="B18" s="356" t="s">
        <v>134</v>
      </c>
      <c r="C18" s="371"/>
      <c r="D18" s="259">
        <f>SUM(D15:D17)</f>
        <v>148.50900000000001</v>
      </c>
      <c r="E18" s="260">
        <f t="shared" ref="E18:N18" si="28">SUM(E15:E17)</f>
        <v>154.904</v>
      </c>
      <c r="F18" s="260">
        <f t="shared" si="28"/>
        <v>157.72399999999999</v>
      </c>
      <c r="G18" s="261">
        <f t="shared" si="28"/>
        <v>160.94299999999998</v>
      </c>
      <c r="H18" s="262">
        <f t="shared" si="28"/>
        <v>622.08000000000004</v>
      </c>
      <c r="I18" s="259">
        <f>SUM(I15:I17)</f>
        <v>166.798</v>
      </c>
      <c r="J18" s="263">
        <f t="shared" si="28"/>
        <v>185.173</v>
      </c>
      <c r="K18" s="263">
        <f t="shared" si="28"/>
        <v>190.98500000000001</v>
      </c>
      <c r="L18" s="263">
        <f t="shared" si="28"/>
        <v>201.36099999999999</v>
      </c>
      <c r="M18" s="262">
        <f t="shared" si="28"/>
        <v>744.31700000000001</v>
      </c>
      <c r="N18" s="263">
        <f t="shared" si="28"/>
        <v>198.572</v>
      </c>
      <c r="O18" s="263">
        <f>SUM(O15:O17)</f>
        <v>202.07900000000001</v>
      </c>
      <c r="P18" s="263">
        <f>P50+P57+P61</f>
        <v>177.51005944076041</v>
      </c>
      <c r="Q18" s="263">
        <f>Q50+Q57+Q61</f>
        <v>239.45587416000004</v>
      </c>
      <c r="R18" s="262">
        <f>SUM(N18:Q18)</f>
        <v>817.61693360076049</v>
      </c>
      <c r="S18" s="263">
        <f>S50+S57+S61</f>
        <v>243.6517813514491</v>
      </c>
      <c r="T18" s="263">
        <f>T50+T57+T61</f>
        <v>266.92279832506779</v>
      </c>
      <c r="U18" s="263">
        <f>U50+U57+U61</f>
        <v>285.47937683895861</v>
      </c>
      <c r="V18" s="263">
        <f>V50+V57+V61</f>
        <v>299.7740356809573</v>
      </c>
      <c r="W18" s="262">
        <f>SUM(S18:V18)</f>
        <v>1095.8279921964329</v>
      </c>
    </row>
    <row r="19" spans="2:24" x14ac:dyDescent="0.3">
      <c r="B19" s="356" t="s">
        <v>61</v>
      </c>
      <c r="C19" s="371"/>
      <c r="D19" s="213">
        <f t="shared" ref="D19:R19" si="29">D14-D18</f>
        <v>851.61099999999999</v>
      </c>
      <c r="E19" s="205">
        <f t="shared" si="29"/>
        <v>913.30400000000009</v>
      </c>
      <c r="F19" s="205">
        <f t="shared" si="29"/>
        <v>847.68500000000017</v>
      </c>
      <c r="G19" s="206">
        <f t="shared" si="29"/>
        <v>912.38499999999999</v>
      </c>
      <c r="H19" s="207">
        <f t="shared" si="29"/>
        <v>3524.9849999999997</v>
      </c>
      <c r="I19" s="213">
        <f>I14-I18</f>
        <v>942.38300000000004</v>
      </c>
      <c r="J19" s="208">
        <f>J14-J18</f>
        <v>976.9849999999999</v>
      </c>
      <c r="K19" s="208">
        <f>K14-K18</f>
        <v>1026.7829999999999</v>
      </c>
      <c r="L19" s="208">
        <f t="shared" si="29"/>
        <v>1105.0429999999997</v>
      </c>
      <c r="M19" s="207">
        <f t="shared" si="29"/>
        <v>4051.1940000000013</v>
      </c>
      <c r="N19" s="208">
        <f t="shared" si="29"/>
        <v>1184.7629999999999</v>
      </c>
      <c r="O19" s="208">
        <v>1196.6300000000001</v>
      </c>
      <c r="P19" s="208">
        <f t="shared" si="29"/>
        <v>1274.4999405592396</v>
      </c>
      <c r="Q19" s="208">
        <f t="shared" si="29"/>
        <v>1335.0701258399999</v>
      </c>
      <c r="R19" s="207">
        <f t="shared" si="29"/>
        <v>4990.9630663992393</v>
      </c>
      <c r="S19" s="208">
        <f t="shared" ref="S19:V19" si="30">S14-S18</f>
        <v>1351.4853858527015</v>
      </c>
      <c r="T19" s="208">
        <f t="shared" si="30"/>
        <v>1424.6704977081879</v>
      </c>
      <c r="U19" s="208">
        <f t="shared" si="30"/>
        <v>1521.3250156950251</v>
      </c>
      <c r="V19" s="208">
        <f t="shared" si="30"/>
        <v>1665.3011085476558</v>
      </c>
      <c r="W19" s="207">
        <f t="shared" ref="W19" si="31">W14-W18</f>
        <v>5962.7820078035693</v>
      </c>
    </row>
    <row r="20" spans="2:24" s="58" customFormat="1" ht="16.2" x14ac:dyDescent="0.45">
      <c r="B20" s="78" t="s">
        <v>63</v>
      </c>
      <c r="C20" s="188"/>
      <c r="D20" s="214">
        <f t="shared" ref="D20:W20" si="32">+D80+D84</f>
        <v>-22.6</v>
      </c>
      <c r="E20" s="215">
        <f t="shared" si="32"/>
        <v>-23.1</v>
      </c>
      <c r="F20" s="215">
        <f t="shared" si="32"/>
        <v>-23.299999999999997</v>
      </c>
      <c r="G20" s="215">
        <f t="shared" si="32"/>
        <v>-23.9</v>
      </c>
      <c r="H20" s="217">
        <f t="shared" si="32"/>
        <v>-92.899999999999991</v>
      </c>
      <c r="I20" s="215">
        <f t="shared" si="32"/>
        <v>-24.5</v>
      </c>
      <c r="J20" s="215">
        <f t="shared" si="32"/>
        <v>-27</v>
      </c>
      <c r="K20" s="215">
        <f t="shared" si="32"/>
        <v>-27.4</v>
      </c>
      <c r="L20" s="215">
        <f t="shared" si="32"/>
        <v>-24.5</v>
      </c>
      <c r="M20" s="217">
        <f t="shared" si="32"/>
        <v>-103.4</v>
      </c>
      <c r="N20" s="258">
        <f t="shared" si="32"/>
        <v>-23.4</v>
      </c>
      <c r="O20" s="258">
        <f t="shared" si="32"/>
        <v>-18.899999999999999</v>
      </c>
      <c r="P20" s="258">
        <f t="shared" si="32"/>
        <v>-20.326521590605832</v>
      </c>
      <c r="Q20" s="264">
        <f t="shared" si="32"/>
        <v>-20.499754194265204</v>
      </c>
      <c r="R20" s="264">
        <f t="shared" si="32"/>
        <v>-83.126275784871041</v>
      </c>
      <c r="S20" s="258">
        <f t="shared" si="32"/>
        <v>-20.749257115754911</v>
      </c>
      <c r="T20" s="258">
        <f t="shared" si="32"/>
        <v>-21.065314229247633</v>
      </c>
      <c r="U20" s="258">
        <f t="shared" si="32"/>
        <v>-21.581015405032453</v>
      </c>
      <c r="V20" s="258">
        <f t="shared" si="32"/>
        <v>-22.2139531300923</v>
      </c>
      <c r="W20" s="271">
        <f t="shared" si="32"/>
        <v>-85.609539880127301</v>
      </c>
      <c r="X20" s="92"/>
    </row>
    <row r="21" spans="2:24" s="58" customFormat="1" x14ac:dyDescent="0.3">
      <c r="B21" s="356" t="s">
        <v>64</v>
      </c>
      <c r="C21" s="371"/>
      <c r="D21" s="213">
        <f>D19-D20</f>
        <v>874.21100000000001</v>
      </c>
      <c r="E21" s="205">
        <f t="shared" ref="E21:W21" si="33">E19-E20</f>
        <v>936.40400000000011</v>
      </c>
      <c r="F21" s="205">
        <f t="shared" si="33"/>
        <v>870.98500000000013</v>
      </c>
      <c r="G21" s="206">
        <f t="shared" si="33"/>
        <v>936.28499999999997</v>
      </c>
      <c r="H21" s="207">
        <f t="shared" si="33"/>
        <v>3617.8849999999998</v>
      </c>
      <c r="I21" s="205">
        <f t="shared" si="33"/>
        <v>966.88300000000004</v>
      </c>
      <c r="J21" s="205">
        <f t="shared" si="33"/>
        <v>1003.9849999999999</v>
      </c>
      <c r="K21" s="205">
        <f t="shared" si="33"/>
        <v>1054.183</v>
      </c>
      <c r="L21" s="205">
        <f t="shared" si="33"/>
        <v>1129.5429999999997</v>
      </c>
      <c r="M21" s="207">
        <f t="shared" si="33"/>
        <v>4154.594000000001</v>
      </c>
      <c r="N21" s="208">
        <f t="shared" si="33"/>
        <v>1208.163</v>
      </c>
      <c r="O21" s="208">
        <f t="shared" si="33"/>
        <v>1215.5300000000002</v>
      </c>
      <c r="P21" s="208">
        <f t="shared" si="33"/>
        <v>1294.8264621498454</v>
      </c>
      <c r="Q21" s="208">
        <f t="shared" si="33"/>
        <v>1355.5698800342652</v>
      </c>
      <c r="R21" s="207">
        <f t="shared" si="33"/>
        <v>5074.0893421841101</v>
      </c>
      <c r="S21" s="208">
        <f t="shared" si="33"/>
        <v>1372.2346429684565</v>
      </c>
      <c r="T21" s="208">
        <f t="shared" si="33"/>
        <v>1445.7358119374355</v>
      </c>
      <c r="U21" s="208">
        <f t="shared" si="33"/>
        <v>1542.9060311000576</v>
      </c>
      <c r="V21" s="208">
        <f t="shared" si="33"/>
        <v>1687.515061677748</v>
      </c>
      <c r="W21" s="207">
        <f t="shared" si="33"/>
        <v>6048.3915476836964</v>
      </c>
    </row>
    <row r="22" spans="2:24" x14ac:dyDescent="0.3">
      <c r="B22" s="330" t="s">
        <v>52</v>
      </c>
      <c r="C22" s="331"/>
      <c r="D22" s="209">
        <v>209.52500000000001</v>
      </c>
      <c r="E22" s="210">
        <v>209.09200000000001</v>
      </c>
      <c r="F22" s="210">
        <v>212.04900000000001</v>
      </c>
      <c r="G22" s="211">
        <v>213.68700000000001</v>
      </c>
      <c r="H22" s="212">
        <f>SUM(D22:G22)</f>
        <v>844.35300000000007</v>
      </c>
      <c r="I22" s="209">
        <v>215.50899999999999</v>
      </c>
      <c r="J22" s="204">
        <v>208.047</v>
      </c>
      <c r="K22" s="204">
        <v>218.66</v>
      </c>
      <c r="L22" s="265">
        <v>220.51400000000001</v>
      </c>
      <c r="M22" s="212">
        <f>SUM(I22:L22)</f>
        <v>862.73</v>
      </c>
      <c r="N22" s="266">
        <v>237.20400000000001</v>
      </c>
      <c r="O22" s="204">
        <v>232.48400000000001</v>
      </c>
      <c r="P22" s="204">
        <f>P14*P65</f>
        <v>242.12768601172274</v>
      </c>
      <c r="Q22" s="265">
        <f>Q14*Q65</f>
        <v>259.79679000000004</v>
      </c>
      <c r="R22" s="212">
        <f>SUM(N22:Q22)</f>
        <v>971.61247601172272</v>
      </c>
      <c r="S22" s="266">
        <f>S14*S65</f>
        <v>255.22194675266408</v>
      </c>
      <c r="T22" s="204">
        <f>T14*T65</f>
        <v>262.19696088515462</v>
      </c>
      <c r="U22" s="204">
        <f>U14*U65</f>
        <v>281.03068743113403</v>
      </c>
      <c r="V22" s="265">
        <f>V14*V65</f>
        <v>302.20247595460535</v>
      </c>
      <c r="W22" s="212">
        <f>SUM(S22:V22)</f>
        <v>1100.6520710235582</v>
      </c>
    </row>
    <row r="23" spans="2:24" s="58" customFormat="1" x14ac:dyDescent="0.3">
      <c r="B23" s="73" t="s">
        <v>53</v>
      </c>
      <c r="C23" s="187"/>
      <c r="D23" s="209">
        <v>410.14100000000002</v>
      </c>
      <c r="E23" s="210">
        <v>426.83</v>
      </c>
      <c r="F23" s="210">
        <v>406.47500000000002</v>
      </c>
      <c r="G23" s="211">
        <v>408.86200000000002</v>
      </c>
      <c r="H23" s="212">
        <f t="shared" ref="H23" si="34">SUM(D23:G23)</f>
        <v>1652.308</v>
      </c>
      <c r="I23" s="209">
        <v>392.74099999999999</v>
      </c>
      <c r="J23" s="204">
        <v>426.99799999999999</v>
      </c>
      <c r="K23" s="204">
        <v>422.03100000000001</v>
      </c>
      <c r="L23" s="265">
        <v>441.47199999999998</v>
      </c>
      <c r="M23" s="212">
        <f t="shared" ref="M23" si="35">SUM(I23:L23)</f>
        <v>1683.242</v>
      </c>
      <c r="N23" s="266">
        <v>474.89100000000002</v>
      </c>
      <c r="O23" s="204">
        <v>462.78899999999999</v>
      </c>
      <c r="P23" s="204">
        <f>P14*P66</f>
        <v>523.99688070554146</v>
      </c>
      <c r="Q23" s="265">
        <f>Q14*Q66</f>
        <v>523.66917289539811</v>
      </c>
      <c r="R23" s="212">
        <f t="shared" ref="R23" si="36">SUM(N23:Q23)</f>
        <v>1985.3460536009395</v>
      </c>
      <c r="S23" s="266">
        <f>S14*S66</f>
        <v>502.46820766930739</v>
      </c>
      <c r="T23" s="204">
        <f>T14*T66</f>
        <v>563.30056757907414</v>
      </c>
      <c r="U23" s="204">
        <f>U14*U66</f>
        <v>614.31349346155446</v>
      </c>
      <c r="V23" s="265">
        <f>V14*V66</f>
        <v>687.77630048001447</v>
      </c>
      <c r="W23" s="212">
        <f t="shared" ref="W23" si="37">SUM(S23:V23)</f>
        <v>2367.8585691899507</v>
      </c>
    </row>
    <row r="24" spans="2:24" s="58" customFormat="1" x14ac:dyDescent="0.3">
      <c r="B24" s="145" t="s">
        <v>38</v>
      </c>
      <c r="C24" s="187"/>
      <c r="D24" s="209">
        <v>138.98400000000001</v>
      </c>
      <c r="E24" s="210">
        <v>129.13800000000001</v>
      </c>
      <c r="F24" s="210">
        <v>141.67599999999999</v>
      </c>
      <c r="G24" s="211">
        <v>133.53399999999999</v>
      </c>
      <c r="H24" s="212">
        <f t="shared" ref="H24:H26" si="38">SUM(D24:G24)</f>
        <v>543.33199999999999</v>
      </c>
      <c r="I24" s="209">
        <v>145.08099999999999</v>
      </c>
      <c r="J24" s="204">
        <v>130.208</v>
      </c>
      <c r="K24" s="204">
        <v>122.578</v>
      </c>
      <c r="L24" s="265">
        <v>134.05199999999999</v>
      </c>
      <c r="M24" s="212">
        <f t="shared" ref="M24:M26" si="39">SUM(I24:L24)</f>
        <v>531.91899999999998</v>
      </c>
      <c r="N24" s="266">
        <v>146.935</v>
      </c>
      <c r="O24" s="204">
        <v>138.596</v>
      </c>
      <c r="P24" s="204">
        <f>P14*P67</f>
        <v>110.46275909434732</v>
      </c>
      <c r="Q24" s="265">
        <f>Q14*Q67</f>
        <v>118.08945</v>
      </c>
      <c r="R24" s="212">
        <f t="shared" ref="R24" si="40">SUM(N24:Q24)</f>
        <v>514.08320909434724</v>
      </c>
      <c r="S24" s="266">
        <f>S14*S67</f>
        <v>125.38815132096352</v>
      </c>
      <c r="T24" s="204">
        <f>T14*T67</f>
        <v>101.23548355563481</v>
      </c>
      <c r="U24" s="204">
        <f>U14*U67</f>
        <v>87.565533807463083</v>
      </c>
      <c r="V24" s="265">
        <f>V14*V67</f>
        <v>93.122074851264586</v>
      </c>
      <c r="W24" s="212">
        <f t="shared" ref="W24" si="41">SUM(S24:V24)</f>
        <v>407.31124353532601</v>
      </c>
    </row>
    <row r="25" spans="2:24" s="58" customFormat="1" x14ac:dyDescent="0.3">
      <c r="B25" s="145" t="s">
        <v>135</v>
      </c>
      <c r="C25" s="187"/>
      <c r="D25" s="209">
        <v>0.66300000000000003</v>
      </c>
      <c r="E25" s="210">
        <v>-0.36599999999999999</v>
      </c>
      <c r="F25" s="210">
        <v>0.20100000000000001</v>
      </c>
      <c r="G25" s="211">
        <v>19.385000000000002</v>
      </c>
      <c r="H25" s="212">
        <f t="shared" si="38"/>
        <v>19.883000000000003</v>
      </c>
      <c r="I25" s="209">
        <v>1.7549999999999999</v>
      </c>
      <c r="J25" s="204">
        <v>3.4000000000000002E-2</v>
      </c>
      <c r="K25" s="204">
        <v>-0.751</v>
      </c>
      <c r="L25" s="265">
        <v>0.52100000000000002</v>
      </c>
      <c r="M25" s="209">
        <f t="shared" si="39"/>
        <v>1.5589999999999997</v>
      </c>
      <c r="N25" s="266">
        <v>-0.41899999999999998</v>
      </c>
      <c r="O25" s="204">
        <v>-0.46600000000000003</v>
      </c>
      <c r="P25" s="204">
        <f t="shared" ref="P25:Q25" si="42">P68</f>
        <v>0.54649999999999987</v>
      </c>
      <c r="Q25" s="265">
        <f t="shared" si="42"/>
        <v>0.54649999999999987</v>
      </c>
      <c r="R25" s="265">
        <f>SUM(N25:Q25)</f>
        <v>0.20799999999999974</v>
      </c>
      <c r="S25" s="204">
        <f t="shared" ref="S25:V25" si="43">S68</f>
        <v>0.54649999999999987</v>
      </c>
      <c r="T25" s="204">
        <f t="shared" si="43"/>
        <v>0.54649999999999987</v>
      </c>
      <c r="U25" s="204">
        <f t="shared" si="43"/>
        <v>0.54649999999999987</v>
      </c>
      <c r="V25" s="265">
        <f t="shared" si="43"/>
        <v>0.54649999999999987</v>
      </c>
      <c r="W25" s="265">
        <f>SUM(S25:V25)</f>
        <v>2.1859999999999995</v>
      </c>
    </row>
    <row r="26" spans="2:24" s="58" customFormat="1" x14ac:dyDescent="0.3">
      <c r="B26" s="145" t="s">
        <v>136</v>
      </c>
      <c r="C26" s="187"/>
      <c r="D26" s="209">
        <v>13.552</v>
      </c>
      <c r="E26" s="210">
        <v>13.352</v>
      </c>
      <c r="F26" s="210">
        <v>13.108000000000001</v>
      </c>
      <c r="G26" s="211">
        <v>12.412000000000001</v>
      </c>
      <c r="H26" s="212">
        <f t="shared" si="38"/>
        <v>52.423999999999999</v>
      </c>
      <c r="I26" s="209">
        <v>14.272</v>
      </c>
      <c r="J26" s="204">
        <v>18.081</v>
      </c>
      <c r="K26" s="204">
        <v>18.245999999999999</v>
      </c>
      <c r="L26" s="265">
        <v>18.05</v>
      </c>
      <c r="M26" s="209">
        <f t="shared" si="39"/>
        <v>68.649000000000001</v>
      </c>
      <c r="N26" s="266">
        <v>18.393999999999998</v>
      </c>
      <c r="O26" s="204">
        <v>18.988</v>
      </c>
      <c r="P26" s="204">
        <f t="shared" ref="P26:Q26" si="44">P69</f>
        <v>43.8185</v>
      </c>
      <c r="Q26" s="265">
        <f t="shared" si="44"/>
        <v>43.8185</v>
      </c>
      <c r="R26" s="265">
        <f>SUM(N26:Q26)</f>
        <v>125.01900000000001</v>
      </c>
      <c r="S26" s="204">
        <f t="shared" ref="S26:V26" si="45">S69</f>
        <v>43.8185</v>
      </c>
      <c r="T26" s="204">
        <f t="shared" si="45"/>
        <v>43.8185</v>
      </c>
      <c r="U26" s="204">
        <f t="shared" si="45"/>
        <v>43.8185</v>
      </c>
      <c r="V26" s="265">
        <f t="shared" si="45"/>
        <v>43.8185</v>
      </c>
      <c r="W26" s="265">
        <f>SUM(S26:V26)</f>
        <v>175.274</v>
      </c>
    </row>
    <row r="27" spans="2:24" s="18" customFormat="1" ht="16.2" x14ac:dyDescent="0.45">
      <c r="B27" s="26" t="s">
        <v>46</v>
      </c>
      <c r="C27" s="198"/>
      <c r="D27" s="259">
        <f>SUM(D22:D26)</f>
        <v>772.86500000000012</v>
      </c>
      <c r="E27" s="260">
        <f t="shared" ref="E27:M27" si="46">SUM(E22:E26)</f>
        <v>778.04600000000005</v>
      </c>
      <c r="F27" s="260">
        <f t="shared" si="46"/>
        <v>773.50900000000001</v>
      </c>
      <c r="G27" s="261">
        <f t="shared" si="46"/>
        <v>787.88</v>
      </c>
      <c r="H27" s="262">
        <f t="shared" si="46"/>
        <v>3112.2999999999997</v>
      </c>
      <c r="I27" s="259">
        <f t="shared" si="46"/>
        <v>769.35800000000006</v>
      </c>
      <c r="J27" s="263">
        <f t="shared" si="46"/>
        <v>783.36799999999994</v>
      </c>
      <c r="K27" s="263">
        <f t="shared" si="46"/>
        <v>780.76400000000001</v>
      </c>
      <c r="L27" s="267">
        <f t="shared" si="46"/>
        <v>814.60899999999992</v>
      </c>
      <c r="M27" s="262">
        <f t="shared" si="46"/>
        <v>3148.0989999999997</v>
      </c>
      <c r="N27" s="268">
        <f>SUM(N22:N26)</f>
        <v>877.005</v>
      </c>
      <c r="O27" s="263">
        <f>SUM(O22:O26)</f>
        <v>852.39100000000008</v>
      </c>
      <c r="P27" s="263">
        <f t="shared" ref="P27:W27" si="47">SUM(P22:P26)</f>
        <v>920.95232581161156</v>
      </c>
      <c r="Q27" s="267">
        <f t="shared" si="47"/>
        <v>945.92041289539816</v>
      </c>
      <c r="R27" s="262">
        <f t="shared" si="47"/>
        <v>3596.26873870701</v>
      </c>
      <c r="S27" s="268">
        <f t="shared" si="47"/>
        <v>927.44330574293497</v>
      </c>
      <c r="T27" s="263">
        <f t="shared" si="47"/>
        <v>971.09801201986352</v>
      </c>
      <c r="U27" s="263">
        <f t="shared" si="47"/>
        <v>1027.2747147001517</v>
      </c>
      <c r="V27" s="267">
        <f t="shared" si="47"/>
        <v>1127.4658512858844</v>
      </c>
      <c r="W27" s="262">
        <f t="shared" si="47"/>
        <v>4053.2818837488348</v>
      </c>
    </row>
    <row r="28" spans="2:24" x14ac:dyDescent="0.3">
      <c r="B28" s="356" t="s">
        <v>42</v>
      </c>
      <c r="C28" s="371"/>
      <c r="D28" s="213">
        <f t="shared" ref="D28:W28" si="48">D19-D27</f>
        <v>78.745999999999867</v>
      </c>
      <c r="E28" s="205">
        <f t="shared" si="48"/>
        <v>135.25800000000004</v>
      </c>
      <c r="F28" s="205">
        <f t="shared" si="48"/>
        <v>74.176000000000158</v>
      </c>
      <c r="G28" s="206">
        <f t="shared" si="48"/>
        <v>124.505</v>
      </c>
      <c r="H28" s="207">
        <f t="shared" si="48"/>
        <v>412.68499999999995</v>
      </c>
      <c r="I28" s="213">
        <f t="shared" si="48"/>
        <v>173.02499999999998</v>
      </c>
      <c r="J28" s="208">
        <f t="shared" si="48"/>
        <v>193.61699999999996</v>
      </c>
      <c r="K28" s="208">
        <f t="shared" si="48"/>
        <v>246.01899999999989</v>
      </c>
      <c r="L28" s="269">
        <f>L19-L27</f>
        <v>290.43399999999974</v>
      </c>
      <c r="M28" s="207">
        <f t="shared" si="48"/>
        <v>903.09500000000162</v>
      </c>
      <c r="N28" s="270">
        <f t="shared" si="48"/>
        <v>307.75799999999992</v>
      </c>
      <c r="O28" s="208">
        <f t="shared" si="48"/>
        <v>344.23900000000003</v>
      </c>
      <c r="P28" s="208">
        <f t="shared" si="48"/>
        <v>353.54761474762802</v>
      </c>
      <c r="Q28" s="269">
        <f t="shared" si="48"/>
        <v>389.14971294460179</v>
      </c>
      <c r="R28" s="207">
        <f t="shared" si="48"/>
        <v>1394.6943276922293</v>
      </c>
      <c r="S28" s="270">
        <f t="shared" si="48"/>
        <v>424.04208010976652</v>
      </c>
      <c r="T28" s="208">
        <f t="shared" si="48"/>
        <v>453.57248568832438</v>
      </c>
      <c r="U28" s="208">
        <f t="shared" si="48"/>
        <v>494.0503009948734</v>
      </c>
      <c r="V28" s="269">
        <f t="shared" si="48"/>
        <v>537.8352572617714</v>
      </c>
      <c r="W28" s="207">
        <f t="shared" si="48"/>
        <v>1909.5001240547344</v>
      </c>
    </row>
    <row r="29" spans="2:24" s="59" customFormat="1" ht="16.2" x14ac:dyDescent="0.45">
      <c r="B29" s="74" t="s">
        <v>62</v>
      </c>
      <c r="C29" s="187"/>
      <c r="D29" s="214">
        <f>D81+D85+D87+D88</f>
        <v>-103.8</v>
      </c>
      <c r="E29" s="215">
        <f t="shared" ref="E29:G29" si="49">E81+E85+E87+E88</f>
        <v>-92</v>
      </c>
      <c r="F29" s="215">
        <f t="shared" si="49"/>
        <v>-92.3</v>
      </c>
      <c r="G29" s="215">
        <f t="shared" si="49"/>
        <v>-111.80000000000001</v>
      </c>
      <c r="H29" s="217">
        <f>SUM(D29:G29)</f>
        <v>-399.90000000000003</v>
      </c>
      <c r="I29" s="215">
        <f t="shared" ref="I29:L29" si="50">I81+I85+I87+I88</f>
        <v>-97.699999999999989</v>
      </c>
      <c r="J29" s="215">
        <f t="shared" si="50"/>
        <v>-98.5</v>
      </c>
      <c r="K29" s="215">
        <f t="shared" si="50"/>
        <v>-87.2</v>
      </c>
      <c r="L29" s="215">
        <f t="shared" si="50"/>
        <v>-95.4</v>
      </c>
      <c r="M29" s="217">
        <f>SUM(I29:L29)</f>
        <v>-378.79999999999995</v>
      </c>
      <c r="N29" s="258">
        <f t="shared" ref="N29:Q29" si="51">N81+N85+N87+N88</f>
        <v>-104.19999999999999</v>
      </c>
      <c r="O29" s="258">
        <f t="shared" si="51"/>
        <v>-100.4</v>
      </c>
      <c r="P29" s="258">
        <f t="shared" si="51"/>
        <v>-111.64584474836285</v>
      </c>
      <c r="Q29" s="264">
        <f t="shared" si="51"/>
        <v>-119.72175433173072</v>
      </c>
      <c r="R29" s="264">
        <f>SUM(N29:Q29)</f>
        <v>-435.96759908009358</v>
      </c>
      <c r="S29" s="258">
        <f t="shared" ref="S29:V29" si="52">S81+S85+S87+S88</f>
        <v>-120.87779282115211</v>
      </c>
      <c r="T29" s="258">
        <f t="shared" si="52"/>
        <v>-127.11151361984847</v>
      </c>
      <c r="U29" s="258">
        <f t="shared" si="52"/>
        <v>-134.40568437036893</v>
      </c>
      <c r="V29" s="264">
        <f t="shared" si="52"/>
        <v>-144.52379952922001</v>
      </c>
      <c r="W29" s="264">
        <f>SUM(S29:V29)</f>
        <v>-526.91879034058957</v>
      </c>
    </row>
    <row r="30" spans="2:24" s="52" customFormat="1" x14ac:dyDescent="0.3">
      <c r="B30" s="356" t="s">
        <v>43</v>
      </c>
      <c r="C30" s="371"/>
      <c r="D30" s="213">
        <f>D21-(D27+D29)</f>
        <v>205.14599999999984</v>
      </c>
      <c r="E30" s="205">
        <f t="shared" ref="E30:H30" si="53">E21-(E27+E29)</f>
        <v>250.35800000000006</v>
      </c>
      <c r="F30" s="205">
        <f t="shared" si="53"/>
        <v>189.77600000000007</v>
      </c>
      <c r="G30" s="206">
        <f t="shared" si="53"/>
        <v>260.20500000000004</v>
      </c>
      <c r="H30" s="207">
        <f t="shared" si="53"/>
        <v>905.48500000000013</v>
      </c>
      <c r="I30" s="205">
        <f t="shared" ref="I30" si="54">I21-(I27+I29)</f>
        <v>295.22499999999991</v>
      </c>
      <c r="J30" s="205">
        <f t="shared" ref="J30" si="55">J21-(J27+J29)</f>
        <v>319.11699999999996</v>
      </c>
      <c r="K30" s="205">
        <f t="shared" ref="K30" si="56">K21-(K27+K29)</f>
        <v>360.61900000000003</v>
      </c>
      <c r="L30" s="206">
        <f>L21-(L27+L29)</f>
        <v>410.33399999999972</v>
      </c>
      <c r="M30" s="206">
        <f t="shared" ref="M30:W30" si="57">M21-(M27+M29)</f>
        <v>1385.295000000001</v>
      </c>
      <c r="N30" s="205">
        <f t="shared" si="57"/>
        <v>435.35799999999995</v>
      </c>
      <c r="O30" s="205">
        <f t="shared" si="57"/>
        <v>463.5390000000001</v>
      </c>
      <c r="P30" s="205">
        <f t="shared" si="57"/>
        <v>485.51998108659666</v>
      </c>
      <c r="Q30" s="206">
        <f t="shared" si="57"/>
        <v>529.37122147059779</v>
      </c>
      <c r="R30" s="206">
        <f t="shared" si="57"/>
        <v>1913.7882025571935</v>
      </c>
      <c r="S30" s="205">
        <f t="shared" si="57"/>
        <v>565.66913004667356</v>
      </c>
      <c r="T30" s="205">
        <f t="shared" si="57"/>
        <v>601.74931353742045</v>
      </c>
      <c r="U30" s="205">
        <f t="shared" si="57"/>
        <v>650.03700077027486</v>
      </c>
      <c r="V30" s="206">
        <f t="shared" si="57"/>
        <v>704.57300992108367</v>
      </c>
      <c r="W30" s="206">
        <f t="shared" si="57"/>
        <v>2522.0284542754512</v>
      </c>
    </row>
    <row r="31" spans="2:24" s="58" customFormat="1" x14ac:dyDescent="0.3">
      <c r="B31" s="73" t="s">
        <v>137</v>
      </c>
      <c r="C31" s="187"/>
      <c r="D31" s="209">
        <v>3.145</v>
      </c>
      <c r="E31" s="210">
        <v>2.5630000000000002</v>
      </c>
      <c r="F31" s="210">
        <v>1.454</v>
      </c>
      <c r="G31" s="211">
        <v>0.105</v>
      </c>
      <c r="H31" s="212">
        <f>SUM(D31:G31)</f>
        <v>7.2670000000000003</v>
      </c>
      <c r="I31" s="209">
        <v>3.3380000000000001</v>
      </c>
      <c r="J31" s="204">
        <v>3.7389999999999999</v>
      </c>
      <c r="K31" s="204">
        <v>4.4329999999999998</v>
      </c>
      <c r="L31" s="204">
        <v>22.399000000000001</v>
      </c>
      <c r="M31" s="212">
        <f>SUM(I31:L31)</f>
        <v>33.908999999999999</v>
      </c>
      <c r="N31" s="204">
        <v>4.1870000000000003</v>
      </c>
      <c r="O31" s="204">
        <v>6.0830000000000002</v>
      </c>
      <c r="P31" s="204">
        <f>P14*P71</f>
        <v>6.3148066038039365</v>
      </c>
      <c r="Q31" s="204">
        <f>Q14*Q71</f>
        <v>6.8476299630587922</v>
      </c>
      <c r="R31" s="212">
        <f t="shared" ref="R31:R33" si="58">SUM(N31:Q31)</f>
        <v>23.43243656686273</v>
      </c>
      <c r="S31" s="204">
        <f>S14*S71</f>
        <v>6.937268143768895</v>
      </c>
      <c r="T31" s="204">
        <f>T14*T71</f>
        <v>7.3567568520473481</v>
      </c>
      <c r="U31" s="204">
        <f>U14*U71</f>
        <v>7.857811109947975</v>
      </c>
      <c r="V31" s="204">
        <f>V14*V71</f>
        <v>8.5461322564898445</v>
      </c>
      <c r="W31" s="212">
        <f t="shared" ref="W31:W33" si="59">SUM(S31:V31)</f>
        <v>30.697968362254063</v>
      </c>
    </row>
    <row r="32" spans="2:24" s="58" customFormat="1" x14ac:dyDescent="0.3">
      <c r="B32" s="145" t="s">
        <v>47</v>
      </c>
      <c r="C32" s="187"/>
      <c r="D32" s="209">
        <v>-16.59</v>
      </c>
      <c r="E32" s="210">
        <v>-17.103000000000002</v>
      </c>
      <c r="F32" s="210">
        <v>-13.361000000000001</v>
      </c>
      <c r="G32" s="211">
        <v>-12.678000000000001</v>
      </c>
      <c r="H32" s="212">
        <f>SUM(D32:G32)</f>
        <v>-59.731999999999999</v>
      </c>
      <c r="I32" s="209">
        <v>-14.545</v>
      </c>
      <c r="J32" s="204">
        <v>-16.605</v>
      </c>
      <c r="K32" s="204">
        <v>-16.518999999999998</v>
      </c>
      <c r="L32" s="204">
        <v>-16.515000000000001</v>
      </c>
      <c r="M32" s="212">
        <f>SUM(I32:L32)</f>
        <v>-64.183999999999997</v>
      </c>
      <c r="N32" s="204">
        <v>-18.469000000000001</v>
      </c>
      <c r="O32" s="204">
        <v>-17.173999999999999</v>
      </c>
      <c r="P32" s="204">
        <f t="shared" ref="P32:Q32" si="60">P70</f>
        <v>-40.679000000000002</v>
      </c>
      <c r="Q32" s="204">
        <f t="shared" si="60"/>
        <v>-40.679000000000002</v>
      </c>
      <c r="R32" s="212">
        <f t="shared" si="58"/>
        <v>-117.001</v>
      </c>
      <c r="S32" s="204">
        <f t="shared" ref="S32:V32" si="61">S70</f>
        <v>-40.679000000000002</v>
      </c>
      <c r="T32" s="204">
        <f t="shared" si="61"/>
        <v>-40.679000000000002</v>
      </c>
      <c r="U32" s="204">
        <f t="shared" si="61"/>
        <v>-40.679000000000002</v>
      </c>
      <c r="V32" s="204">
        <f t="shared" si="61"/>
        <v>-40.679000000000002</v>
      </c>
      <c r="W32" s="212">
        <f t="shared" si="59"/>
        <v>-162.71600000000001</v>
      </c>
    </row>
    <row r="33" spans="2:31" s="58" customFormat="1" ht="16.2" x14ac:dyDescent="0.45">
      <c r="B33" s="145" t="s">
        <v>138</v>
      </c>
      <c r="C33" s="187"/>
      <c r="D33" s="214">
        <v>-0.40899999999999997</v>
      </c>
      <c r="E33" s="215">
        <v>0.55300000000000005</v>
      </c>
      <c r="F33" s="215">
        <v>0.66900000000000004</v>
      </c>
      <c r="G33" s="216">
        <v>0.34300000000000003</v>
      </c>
      <c r="H33" s="217">
        <f>SUM(D33:G33)</f>
        <v>1.1560000000000001</v>
      </c>
      <c r="I33" s="214">
        <v>1.43</v>
      </c>
      <c r="J33" s="258">
        <v>0.223</v>
      </c>
      <c r="K33" s="258">
        <v>-1.3140000000000001</v>
      </c>
      <c r="L33" s="258">
        <v>0.622</v>
      </c>
      <c r="M33" s="217">
        <f>SUM(I33:L33)</f>
        <v>0.96099999999999997</v>
      </c>
      <c r="N33" s="258">
        <v>-1.169</v>
      </c>
      <c r="O33" s="258">
        <v>-3.3180000000000001</v>
      </c>
      <c r="P33" s="258">
        <f t="shared" ref="P33:Q33" si="62">P72</f>
        <v>-1.1785000000000001</v>
      </c>
      <c r="Q33" s="264">
        <f t="shared" si="62"/>
        <v>-1.1785000000000001</v>
      </c>
      <c r="R33" s="264">
        <f t="shared" si="58"/>
        <v>-6.8439999999999994</v>
      </c>
      <c r="S33" s="258">
        <f t="shared" ref="S33:V33" si="63">S72</f>
        <v>-1.1785000000000001</v>
      </c>
      <c r="T33" s="258">
        <f t="shared" si="63"/>
        <v>-1.1785000000000001</v>
      </c>
      <c r="U33" s="258">
        <f t="shared" si="63"/>
        <v>-1.1785000000000001</v>
      </c>
      <c r="V33" s="264">
        <f t="shared" si="63"/>
        <v>-1.1785000000000001</v>
      </c>
      <c r="W33" s="264">
        <f t="shared" si="59"/>
        <v>-4.7140000000000004</v>
      </c>
    </row>
    <row r="34" spans="2:31" x14ac:dyDescent="0.3">
      <c r="B34" s="356" t="s">
        <v>39</v>
      </c>
      <c r="C34" s="371"/>
      <c r="D34" s="213">
        <f>D28+D32+D31+D33</f>
        <v>64.891999999999854</v>
      </c>
      <c r="E34" s="205">
        <f t="shared" ref="E34:W34" si="64">E28+E32+E31+E33</f>
        <v>121.27100000000003</v>
      </c>
      <c r="F34" s="205">
        <f t="shared" si="64"/>
        <v>62.938000000000152</v>
      </c>
      <c r="G34" s="206">
        <f>G28+G32+G31+G33</f>
        <v>112.27500000000001</v>
      </c>
      <c r="H34" s="207">
        <f t="shared" si="64"/>
        <v>361.37599999999998</v>
      </c>
      <c r="I34" s="213">
        <f>I28+I32+I31+I33</f>
        <v>163.24799999999999</v>
      </c>
      <c r="J34" s="208">
        <f t="shared" si="64"/>
        <v>180.97399999999999</v>
      </c>
      <c r="K34" s="208">
        <f>K28+K32+K31+K33</f>
        <v>232.61899999999989</v>
      </c>
      <c r="L34" s="208">
        <f>L28+L32+L31+L33</f>
        <v>296.93999999999977</v>
      </c>
      <c r="M34" s="207">
        <f t="shared" si="64"/>
        <v>873.78100000000165</v>
      </c>
      <c r="N34" s="208">
        <f t="shared" si="64"/>
        <v>292.30699999999996</v>
      </c>
      <c r="O34" s="208">
        <f t="shared" si="64"/>
        <v>329.8300000000001</v>
      </c>
      <c r="P34" s="208">
        <f t="shared" si="64"/>
        <v>318.00492135143202</v>
      </c>
      <c r="Q34" s="208">
        <f t="shared" si="64"/>
        <v>354.13984290766064</v>
      </c>
      <c r="R34" s="207">
        <f t="shared" si="64"/>
        <v>1294.2817642590919</v>
      </c>
      <c r="S34" s="208">
        <f t="shared" si="64"/>
        <v>389.12184825353546</v>
      </c>
      <c r="T34" s="208">
        <f t="shared" si="64"/>
        <v>419.07174254037176</v>
      </c>
      <c r="U34" s="208">
        <f t="shared" si="64"/>
        <v>460.05061210482143</v>
      </c>
      <c r="V34" s="208">
        <f t="shared" si="64"/>
        <v>504.52388951826129</v>
      </c>
      <c r="W34" s="207">
        <f t="shared" si="64"/>
        <v>1772.7680924169886</v>
      </c>
    </row>
    <row r="35" spans="2:31" ht="16.2" x14ac:dyDescent="0.45">
      <c r="B35" s="330" t="s">
        <v>171</v>
      </c>
      <c r="C35" s="331"/>
      <c r="D35" s="214">
        <v>17.846</v>
      </c>
      <c r="E35" s="215">
        <v>32.744</v>
      </c>
      <c r="F35" s="215">
        <v>18.251999999999999</v>
      </c>
      <c r="G35" s="216">
        <v>24.138999999999999</v>
      </c>
      <c r="H35" s="217">
        <f>SUM(D35:G35)</f>
        <v>92.980999999999995</v>
      </c>
      <c r="I35" s="214">
        <v>78.36</v>
      </c>
      <c r="J35" s="258">
        <v>33.481000000000002</v>
      </c>
      <c r="K35" s="258">
        <v>58.154000000000003</v>
      </c>
      <c r="L35" s="258">
        <v>74.234999999999999</v>
      </c>
      <c r="M35" s="271">
        <f>SUM(I35:L35)</f>
        <v>244.23000000000002</v>
      </c>
      <c r="N35" s="258">
        <v>38</v>
      </c>
      <c r="O35" s="258">
        <v>85.756</v>
      </c>
      <c r="P35" s="258">
        <f>P34*P73</f>
        <v>76.321181124343681</v>
      </c>
      <c r="Q35" s="258">
        <f>Q34*Q73</f>
        <v>92.076359155991767</v>
      </c>
      <c r="R35" s="217">
        <f>SUM(N35:Q35)</f>
        <v>292.15354028033545</v>
      </c>
      <c r="S35" s="258">
        <f>S34*S73</f>
        <v>93.3892435808485</v>
      </c>
      <c r="T35" s="258">
        <f>T34*T73</f>
        <v>100.57721820968922</v>
      </c>
      <c r="U35" s="258">
        <f>U34*U73</f>
        <v>110.41214690515714</v>
      </c>
      <c r="V35" s="258">
        <f>V34*V73</f>
        <v>121.0857334843827</v>
      </c>
      <c r="W35" s="217">
        <f>SUM(S35:V35)</f>
        <v>425.46434218007755</v>
      </c>
    </row>
    <row r="36" spans="2:31" x14ac:dyDescent="0.3">
      <c r="B36" s="356" t="s">
        <v>48</v>
      </c>
      <c r="C36" s="371"/>
      <c r="D36" s="213">
        <f t="shared" ref="D36:W36" si="65">D34-D35</f>
        <v>47.04599999999985</v>
      </c>
      <c r="E36" s="205">
        <f t="shared" si="65"/>
        <v>88.527000000000029</v>
      </c>
      <c r="F36" s="205">
        <f t="shared" si="65"/>
        <v>44.686000000000149</v>
      </c>
      <c r="G36" s="206">
        <f t="shared" si="65"/>
        <v>88.13600000000001</v>
      </c>
      <c r="H36" s="207">
        <f t="shared" si="65"/>
        <v>268.39499999999998</v>
      </c>
      <c r="I36" s="213">
        <f t="shared" si="65"/>
        <v>84.887999999999991</v>
      </c>
      <c r="J36" s="208">
        <f t="shared" si="65"/>
        <v>147.49299999999999</v>
      </c>
      <c r="K36" s="208">
        <f t="shared" si="65"/>
        <v>174.46499999999989</v>
      </c>
      <c r="L36" s="208">
        <f t="shared" si="65"/>
        <v>222.70499999999976</v>
      </c>
      <c r="M36" s="207">
        <f t="shared" si="65"/>
        <v>629.55100000000164</v>
      </c>
      <c r="N36" s="208">
        <f t="shared" si="65"/>
        <v>254.30699999999996</v>
      </c>
      <c r="O36" s="208">
        <f t="shared" si="65"/>
        <v>244.0740000000001</v>
      </c>
      <c r="P36" s="208">
        <f t="shared" si="65"/>
        <v>241.68374022708832</v>
      </c>
      <c r="Q36" s="208">
        <f t="shared" si="65"/>
        <v>262.06348375166885</v>
      </c>
      <c r="R36" s="207">
        <f t="shared" si="65"/>
        <v>1002.1282239787565</v>
      </c>
      <c r="S36" s="208">
        <f t="shared" si="65"/>
        <v>295.73260467268699</v>
      </c>
      <c r="T36" s="208">
        <f t="shared" si="65"/>
        <v>318.49452433068257</v>
      </c>
      <c r="U36" s="208">
        <f t="shared" si="65"/>
        <v>349.63846519966427</v>
      </c>
      <c r="V36" s="208">
        <f t="shared" si="65"/>
        <v>383.43815603387861</v>
      </c>
      <c r="W36" s="207">
        <f t="shared" si="65"/>
        <v>1347.3037502369111</v>
      </c>
    </row>
    <row r="37" spans="2:31" s="59" customFormat="1" ht="16.2" x14ac:dyDescent="0.45">
      <c r="B37" s="194" t="s">
        <v>182</v>
      </c>
      <c r="C37" s="187"/>
      <c r="D37" s="214">
        <f t="shared" ref="D37:K37" si="66">+D89-D90</f>
        <v>-22</v>
      </c>
      <c r="E37" s="215">
        <f t="shared" si="66"/>
        <v>-17.400000000000002</v>
      </c>
      <c r="F37" s="215">
        <f t="shared" si="66"/>
        <v>-19.8</v>
      </c>
      <c r="G37" s="216">
        <f t="shared" si="66"/>
        <v>-28.2</v>
      </c>
      <c r="H37" s="217">
        <f t="shared" si="66"/>
        <v>-87.4</v>
      </c>
      <c r="I37" s="215">
        <f t="shared" si="66"/>
        <v>17.3</v>
      </c>
      <c r="J37" s="258">
        <f t="shared" si="66"/>
        <v>-31</v>
      </c>
      <c r="K37" s="258">
        <f t="shared" si="66"/>
        <v>-13.799999999999999</v>
      </c>
      <c r="L37" s="258">
        <f>+L89-L90</f>
        <v>-30.710999999999999</v>
      </c>
      <c r="M37" s="217">
        <f t="shared" ref="M37:W37" si="67">+M89-M90</f>
        <v>-58.210999999999999</v>
      </c>
      <c r="N37" s="258">
        <f t="shared" si="67"/>
        <v>-49.199999999999996</v>
      </c>
      <c r="O37" s="258">
        <f t="shared" si="67"/>
        <v>-5.9820000000000011</v>
      </c>
      <c r="P37" s="258">
        <f t="shared" si="67"/>
        <v>-10.712336633896872</v>
      </c>
      <c r="Q37" s="258">
        <f t="shared" si="67"/>
        <v>-9.5931734440601488</v>
      </c>
      <c r="R37" s="217">
        <f t="shared" si="67"/>
        <v>-75.487510077957026</v>
      </c>
      <c r="S37" s="258">
        <f t="shared" si="67"/>
        <v>-10.69749202332677</v>
      </c>
      <c r="T37" s="258">
        <f t="shared" si="67"/>
        <v>-10.814627668961258</v>
      </c>
      <c r="U37" s="258">
        <f t="shared" si="67"/>
        <v>-11.799870323764861</v>
      </c>
      <c r="V37" s="258">
        <f t="shared" si="67"/>
        <v>-12.670580743405193</v>
      </c>
      <c r="W37" s="217">
        <f t="shared" si="67"/>
        <v>-45.982570759458085</v>
      </c>
    </row>
    <row r="38" spans="2:31" s="24" customFormat="1" x14ac:dyDescent="0.3">
      <c r="B38" s="356" t="s">
        <v>9</v>
      </c>
      <c r="C38" s="371"/>
      <c r="D38" s="213">
        <f t="shared" ref="D38:W38" si="68">+D30+D31+D32+D33-D35+D37</f>
        <v>151.44599999999986</v>
      </c>
      <c r="E38" s="205">
        <f t="shared" si="68"/>
        <v>186.22700000000003</v>
      </c>
      <c r="F38" s="205">
        <f t="shared" si="68"/>
        <v>140.48600000000008</v>
      </c>
      <c r="G38" s="206">
        <f t="shared" si="68"/>
        <v>195.63600000000005</v>
      </c>
      <c r="H38" s="207">
        <f t="shared" si="68"/>
        <v>673.79500000000019</v>
      </c>
      <c r="I38" s="205">
        <f t="shared" si="68"/>
        <v>224.38799999999992</v>
      </c>
      <c r="J38" s="205">
        <f t="shared" si="68"/>
        <v>241.99299999999994</v>
      </c>
      <c r="K38" s="205">
        <f t="shared" si="68"/>
        <v>275.26499999999999</v>
      </c>
      <c r="L38" s="206">
        <f t="shared" si="68"/>
        <v>311.89399999999972</v>
      </c>
      <c r="M38" s="207">
        <f t="shared" si="68"/>
        <v>1053.5400000000011</v>
      </c>
      <c r="N38" s="205">
        <f t="shared" si="68"/>
        <v>332.70699999999999</v>
      </c>
      <c r="O38" s="205">
        <f t="shared" si="68"/>
        <v>357.39200000000011</v>
      </c>
      <c r="P38" s="205">
        <f t="shared" si="68"/>
        <v>362.94376993216008</v>
      </c>
      <c r="Q38" s="206">
        <f t="shared" si="68"/>
        <v>392.69181883360471</v>
      </c>
      <c r="R38" s="206">
        <f t="shared" si="68"/>
        <v>1445.7345887657636</v>
      </c>
      <c r="S38" s="205">
        <f t="shared" si="68"/>
        <v>426.66216258626713</v>
      </c>
      <c r="T38" s="205">
        <f t="shared" si="68"/>
        <v>455.8567245108174</v>
      </c>
      <c r="U38" s="205">
        <f t="shared" si="68"/>
        <v>493.82529465130085</v>
      </c>
      <c r="V38" s="206">
        <f t="shared" si="68"/>
        <v>537.50532794978574</v>
      </c>
      <c r="W38" s="206">
        <f t="shared" si="68"/>
        <v>1913.8495096981699</v>
      </c>
    </row>
    <row r="39" spans="2:31" x14ac:dyDescent="0.3">
      <c r="B39" s="342" t="s">
        <v>6</v>
      </c>
      <c r="C39" s="343"/>
      <c r="D39" s="209">
        <v>496.94799999999998</v>
      </c>
      <c r="E39" s="210">
        <v>497.93099999999998</v>
      </c>
      <c r="F39" s="210">
        <v>498.46800000000002</v>
      </c>
      <c r="G39" s="211">
        <v>498.12400000000002</v>
      </c>
      <c r="H39" s="212">
        <f>((D39*D36/H36)+(E39*E36/H36)+(F39*F36/H36)+(G39*G36/H36))</f>
        <v>497.91147807149918</v>
      </c>
      <c r="I39" s="209">
        <v>498.75400000000002</v>
      </c>
      <c r="J39" s="204">
        <v>499.29</v>
      </c>
      <c r="K39" s="204">
        <v>498.63</v>
      </c>
      <c r="L39" s="204">
        <v>498.38400000000001</v>
      </c>
      <c r="M39" s="212">
        <f>((I39*I36/M36)+(J39*J36/M36)+(K39*K36/M36)+(L39*L36/M36))</f>
        <v>498.71432368783309</v>
      </c>
      <c r="N39" s="204">
        <v>499.125</v>
      </c>
      <c r="O39" s="204">
        <v>499.97399999999999</v>
      </c>
      <c r="P39" s="204">
        <f>O39*(1+P93)-P97</f>
        <v>501.94241492682301</v>
      </c>
      <c r="Q39" s="204">
        <f>P39*(1+Q93)-Q97</f>
        <v>503.92448512314877</v>
      </c>
      <c r="R39" s="212">
        <f>((N39*N36/R36)+(O39*O36/R36)+(P39*P36/R36)+(Q39*Q36/R36))</f>
        <v>501.26635471242724</v>
      </c>
      <c r="S39" s="204">
        <f>Q39*(1+S93)-S97</f>
        <v>505.92030531818438</v>
      </c>
      <c r="T39" s="204">
        <f>S39*(1+T93)-T97</f>
        <v>507.92997089829146</v>
      </c>
      <c r="U39" s="204">
        <f>T39*(1+U93)-U97</f>
        <v>509.95357791154498</v>
      </c>
      <c r="V39" s="204">
        <f>U39*(1+V93)-V97</f>
        <v>511.99122307232381</v>
      </c>
      <c r="W39" s="212">
        <f>((S39*S36/W36)+(T39*T36/W36)+(U39*U36/W36)+(V39*V36/W36))</f>
        <v>509.16981474067779</v>
      </c>
    </row>
    <row r="40" spans="2:31" ht="15.75" customHeight="1" x14ac:dyDescent="0.3">
      <c r="B40" s="342" t="s">
        <v>7</v>
      </c>
      <c r="C40" s="343"/>
      <c r="D40" s="209">
        <v>508.34</v>
      </c>
      <c r="E40" s="210">
        <v>506.68700000000001</v>
      </c>
      <c r="F40" s="210">
        <v>507.81099999999998</v>
      </c>
      <c r="G40" s="211">
        <v>507.45100000000002</v>
      </c>
      <c r="H40" s="212">
        <f>((D40*D36/H36)+(E40*E36/H36)+(F40*F36/H36)+(G40*G36/H36))</f>
        <v>507.41477065891695</v>
      </c>
      <c r="I40" s="209">
        <v>507.52600000000001</v>
      </c>
      <c r="J40" s="204">
        <v>505.58199999999999</v>
      </c>
      <c r="K40" s="204">
        <v>505.80900000000003</v>
      </c>
      <c r="L40" s="204">
        <v>506.012</v>
      </c>
      <c r="M40" s="212">
        <f>((I40*I36/M36)+(J40*J36/M36)+(K40*K36/M36)+(L40*L36/M36))</f>
        <v>506.05914796259401</v>
      </c>
      <c r="N40" s="204">
        <v>505.67599999999999</v>
      </c>
      <c r="O40" s="204">
        <v>504.72500000000002</v>
      </c>
      <c r="P40" s="272">
        <f>O40*(1+P94)-P97</f>
        <v>504.08856935022158</v>
      </c>
      <c r="Q40" s="204">
        <f>P40*(1+Q94)-Q97</f>
        <v>503.45104978667285</v>
      </c>
      <c r="R40" s="212">
        <f>((N40*N36/R36)+(O40*O36/R36)+(P40*P36/R36)+(Q40*Q36/R36))</f>
        <v>504.47969724534062</v>
      </c>
      <c r="S40" s="204">
        <f>Q40*(1+S94)-S97</f>
        <v>502.81243944625504</v>
      </c>
      <c r="T40" s="204">
        <f>S40*(1+T94)-T97</f>
        <v>502.1727364626816</v>
      </c>
      <c r="U40" s="204">
        <f>T40*(1+U94)-U97</f>
        <v>501.53193896647286</v>
      </c>
      <c r="V40" s="204">
        <f>U40*(1+V94)-V97</f>
        <v>500.89004508495049</v>
      </c>
      <c r="W40" s="212">
        <f>((S40*S36/W36)+(T40*T36/W36)+(U40*U36/W36)+(V40*V36/W36))</f>
        <v>501.78180810664185</v>
      </c>
    </row>
    <row r="41" spans="2:31" s="59" customFormat="1" ht="15.75" customHeight="1" x14ac:dyDescent="0.3">
      <c r="B41" s="342" t="s">
        <v>4</v>
      </c>
      <c r="C41" s="343"/>
      <c r="D41" s="84">
        <f t="shared" ref="D41:W41" si="69">D36/D39</f>
        <v>9.4669864855075087E-2</v>
      </c>
      <c r="E41" s="42">
        <f t="shared" si="69"/>
        <v>0.17778969375274895</v>
      </c>
      <c r="F41" s="42">
        <f t="shared" si="69"/>
        <v>8.964667741961399E-2</v>
      </c>
      <c r="G41" s="38">
        <f t="shared" si="69"/>
        <v>0.17693586335932421</v>
      </c>
      <c r="H41" s="39">
        <f t="shared" si="69"/>
        <v>0.53904160040564264</v>
      </c>
      <c r="I41" s="84">
        <f t="shared" si="69"/>
        <v>0.1702001387457544</v>
      </c>
      <c r="J41" s="37">
        <f t="shared" si="69"/>
        <v>0.29540547577560133</v>
      </c>
      <c r="K41" s="37">
        <f t="shared" si="69"/>
        <v>0.34988869502436654</v>
      </c>
      <c r="L41" s="37">
        <f t="shared" si="69"/>
        <v>0.44685423288066983</v>
      </c>
      <c r="M41" s="39">
        <f t="shared" si="69"/>
        <v>1.2623479416926973</v>
      </c>
      <c r="N41" s="37">
        <f t="shared" si="69"/>
        <v>0.50950563486100664</v>
      </c>
      <c r="O41" s="37">
        <f t="shared" si="69"/>
        <v>0.48817338501602103</v>
      </c>
      <c r="P41" s="316">
        <f t="shared" si="69"/>
        <v>0.48149694674103766</v>
      </c>
      <c r="Q41" s="37">
        <f t="shared" si="69"/>
        <v>0.52004514860520412</v>
      </c>
      <c r="R41" s="39">
        <f t="shared" si="69"/>
        <v>1.9991930728198783</v>
      </c>
      <c r="S41" s="37">
        <f t="shared" si="69"/>
        <v>0.58454385317998703</v>
      </c>
      <c r="T41" s="37">
        <f t="shared" si="69"/>
        <v>0.62704416470525282</v>
      </c>
      <c r="U41" s="37">
        <f t="shared" si="69"/>
        <v>0.68562802644030374</v>
      </c>
      <c r="V41" s="37">
        <f t="shared" si="69"/>
        <v>0.74891548674011976</v>
      </c>
      <c r="W41" s="39">
        <f t="shared" si="69"/>
        <v>2.6460793849751254</v>
      </c>
    </row>
    <row r="42" spans="2:31" s="59" customFormat="1" x14ac:dyDescent="0.3">
      <c r="B42" s="342" t="s">
        <v>5</v>
      </c>
      <c r="C42" s="343"/>
      <c r="D42" s="84">
        <f t="shared" ref="D42:W42" si="70">D36/D40</f>
        <v>9.2548294448597107E-2</v>
      </c>
      <c r="E42" s="42">
        <f t="shared" si="70"/>
        <v>0.17471733042292387</v>
      </c>
      <c r="F42" s="42">
        <f t="shared" si="70"/>
        <v>8.7997306084350579E-2</v>
      </c>
      <c r="G42" s="38">
        <f t="shared" si="70"/>
        <v>0.17368376454081283</v>
      </c>
      <c r="H42" s="39">
        <f t="shared" si="70"/>
        <v>0.52894597382624187</v>
      </c>
      <c r="I42" s="84">
        <f t="shared" si="70"/>
        <v>0.16725842616929967</v>
      </c>
      <c r="J42" s="37">
        <f t="shared" si="70"/>
        <v>0.29172913592651639</v>
      </c>
      <c r="K42" s="37">
        <f t="shared" si="70"/>
        <v>0.34492268820839461</v>
      </c>
      <c r="L42" s="37">
        <f t="shared" si="70"/>
        <v>0.44011802091649954</v>
      </c>
      <c r="M42" s="39">
        <f t="shared" si="70"/>
        <v>1.2440265185099186</v>
      </c>
      <c r="N42" s="37">
        <f t="shared" si="70"/>
        <v>0.50290502218812039</v>
      </c>
      <c r="O42" s="37">
        <f t="shared" si="70"/>
        <v>0.48357818614096804</v>
      </c>
      <c r="P42" s="37">
        <f t="shared" si="70"/>
        <v>0.47944697603165776</v>
      </c>
      <c r="Q42" s="37">
        <f t="shared" si="70"/>
        <v>0.52053418870158863</v>
      </c>
      <c r="R42" s="301">
        <f t="shared" si="70"/>
        <v>1.9864589783310893</v>
      </c>
      <c r="S42" s="37">
        <f t="shared" si="70"/>
        <v>0.58815689802419346</v>
      </c>
      <c r="T42" s="37">
        <f t="shared" si="70"/>
        <v>0.63423300630409896</v>
      </c>
      <c r="U42" s="37">
        <f t="shared" si="70"/>
        <v>0.69714097554819421</v>
      </c>
      <c r="V42" s="37">
        <f t="shared" si="70"/>
        <v>0.76551362878223672</v>
      </c>
      <c r="W42" s="39">
        <f t="shared" si="70"/>
        <v>2.6850390517756146</v>
      </c>
    </row>
    <row r="43" spans="2:31" s="60" customFormat="1" x14ac:dyDescent="0.3">
      <c r="B43" s="344" t="s">
        <v>8</v>
      </c>
      <c r="C43" s="348"/>
      <c r="D43" s="87">
        <f>D38/D40</f>
        <v>0.29792265019475128</v>
      </c>
      <c r="E43" s="85">
        <f t="shared" ref="E43:W43" si="71">E38/E40</f>
        <v>0.36753853957176724</v>
      </c>
      <c r="F43" s="85">
        <f t="shared" si="71"/>
        <v>0.27665017102819767</v>
      </c>
      <c r="G43" s="86">
        <f t="shared" si="71"/>
        <v>0.38552687845723044</v>
      </c>
      <c r="H43" s="304">
        <f t="shared" si="71"/>
        <v>1.3278978834712001</v>
      </c>
      <c r="I43" s="85">
        <f t="shared" si="71"/>
        <v>0.44212119182071441</v>
      </c>
      <c r="J43" s="85">
        <f t="shared" si="71"/>
        <v>0.47864243584621274</v>
      </c>
      <c r="K43" s="85">
        <f t="shared" si="71"/>
        <v>0.54420739844486743</v>
      </c>
      <c r="L43" s="86">
        <f t="shared" si="71"/>
        <v>0.61637668671889145</v>
      </c>
      <c r="M43" s="86">
        <f t="shared" si="71"/>
        <v>2.0818515073614967</v>
      </c>
      <c r="N43" s="85">
        <f t="shared" si="71"/>
        <v>0.65794500826616253</v>
      </c>
      <c r="O43" s="85">
        <f t="shared" si="71"/>
        <v>0.70809252563277048</v>
      </c>
      <c r="P43" s="328">
        <f t="shared" si="71"/>
        <v>0.72000000000000108</v>
      </c>
      <c r="Q43" s="380">
        <f t="shared" si="71"/>
        <v>0.7799999999999998</v>
      </c>
      <c r="R43" s="329">
        <f t="shared" si="71"/>
        <v>2.8657934038972197</v>
      </c>
      <c r="S43" s="381">
        <f t="shared" si="71"/>
        <v>0.84855132672562383</v>
      </c>
      <c r="T43" s="381">
        <f t="shared" si="71"/>
        <v>0.90776876443329946</v>
      </c>
      <c r="U43" s="85">
        <f t="shared" si="71"/>
        <v>0.98463379155661868</v>
      </c>
      <c r="V43" s="86">
        <f t="shared" si="71"/>
        <v>1.0731004403543802</v>
      </c>
      <c r="W43" s="329">
        <f t="shared" si="71"/>
        <v>3.8141070058311608</v>
      </c>
    </row>
    <row r="44" spans="2:31" s="11" customFormat="1" x14ac:dyDescent="0.3">
      <c r="B44" s="35" t="s">
        <v>18</v>
      </c>
      <c r="C44" s="199"/>
      <c r="D44" s="200"/>
      <c r="E44" s="36"/>
      <c r="F44" s="36"/>
      <c r="G44" s="38"/>
      <c r="H44" s="39">
        <f>SUM(D44:G44)</f>
        <v>0</v>
      </c>
      <c r="I44" s="42">
        <v>0</v>
      </c>
      <c r="J44" s="37">
        <v>0</v>
      </c>
      <c r="K44" s="148">
        <v>0</v>
      </c>
      <c r="L44" s="37">
        <v>0</v>
      </c>
      <c r="M44" s="39">
        <f>SUM(I44:L44)</f>
        <v>0</v>
      </c>
      <c r="N44" s="37">
        <v>0</v>
      </c>
      <c r="O44" s="324">
        <v>0</v>
      </c>
      <c r="P44" s="37">
        <v>0</v>
      </c>
      <c r="Q44" s="37">
        <v>0</v>
      </c>
      <c r="R44" s="39">
        <f>SUM(N44:Q44)</f>
        <v>0</v>
      </c>
      <c r="S44" s="37">
        <f>N44</f>
        <v>0</v>
      </c>
      <c r="T44" s="37">
        <f t="shared" ref="T44:V44" si="72">O44</f>
        <v>0</v>
      </c>
      <c r="U44" s="37">
        <f t="shared" si="72"/>
        <v>0</v>
      </c>
      <c r="V44" s="37">
        <f t="shared" si="72"/>
        <v>0</v>
      </c>
      <c r="W44" s="39">
        <f>SUM(S44:V44)</f>
        <v>0</v>
      </c>
    </row>
    <row r="45" spans="2:31" x14ac:dyDescent="0.3">
      <c r="B45" s="20"/>
      <c r="C45" s="23"/>
      <c r="D45" s="118">
        <f>ROUND((D14-D48-D52-D59),0)</f>
        <v>0</v>
      </c>
      <c r="E45" s="69">
        <f>ROUND((E14-E48-E52-E59),0)</f>
        <v>0</v>
      </c>
      <c r="F45" s="69">
        <f>ROUND((F14-F48-F52-F59),0)</f>
        <v>0</v>
      </c>
      <c r="G45" s="69">
        <f>ROUND((G14-G48-G52-G59),0)</f>
        <v>0</v>
      </c>
      <c r="H45" s="69"/>
      <c r="I45" s="69">
        <f>ROUND((I14-I48-I52-I59),0)</f>
        <v>0</v>
      </c>
      <c r="J45" s="69">
        <f>ROUND((J14-J48-J52-J59),0)</f>
        <v>0</v>
      </c>
      <c r="K45" s="69">
        <f>ROUND((K14-K48-K52-K59),0)</f>
        <v>0</v>
      </c>
      <c r="L45" s="69">
        <f>ROUND((L14-L48-L52-L59),0)</f>
        <v>0</v>
      </c>
      <c r="M45" s="69"/>
      <c r="N45" s="69">
        <f>ROUND((N14-N48-N52-N59),0)</f>
        <v>0</v>
      </c>
      <c r="O45" s="221">
        <f>ROUND((O14-O48-O52-O59),0)</f>
        <v>0</v>
      </c>
      <c r="P45" s="69">
        <f>ROUND((P14-P48-P52-P59),0)</f>
        <v>0</v>
      </c>
      <c r="Q45" s="69">
        <f>ROUND((Q14-Q48-Q52-Q59),0)</f>
        <v>0</v>
      </c>
      <c r="R45" s="69"/>
      <c r="S45" s="69">
        <f>ROUND((S14-S48-S52-S59),0)</f>
        <v>0</v>
      </c>
      <c r="T45" s="69">
        <f>ROUND((T14-T48-T52-T59),0)</f>
        <v>0</v>
      </c>
      <c r="U45" s="69">
        <f>ROUND((U14-U48-U52-U59),0)</f>
        <v>0</v>
      </c>
      <c r="V45" s="69">
        <f>ROUND((V14-V48-V52-V59),0)</f>
        <v>0</v>
      </c>
      <c r="W45" s="69"/>
    </row>
    <row r="46" spans="2:31" ht="15.6" x14ac:dyDescent="0.3">
      <c r="B46" s="346" t="s">
        <v>3</v>
      </c>
      <c r="C46" s="347"/>
      <c r="D46" s="61" t="s">
        <v>183</v>
      </c>
      <c r="E46" s="61" t="s">
        <v>184</v>
      </c>
      <c r="F46" s="61" t="s">
        <v>185</v>
      </c>
      <c r="G46" s="61" t="s">
        <v>186</v>
      </c>
      <c r="H46" s="61" t="s">
        <v>186</v>
      </c>
      <c r="I46" s="61" t="s">
        <v>187</v>
      </c>
      <c r="J46" s="61" t="s">
        <v>188</v>
      </c>
      <c r="K46" s="61" t="s">
        <v>189</v>
      </c>
      <c r="L46" s="61" t="s">
        <v>190</v>
      </c>
      <c r="M46" s="61" t="s">
        <v>190</v>
      </c>
      <c r="N46" s="61" t="s">
        <v>191</v>
      </c>
      <c r="O46" s="302" t="s">
        <v>192</v>
      </c>
      <c r="P46" s="63" t="s">
        <v>193</v>
      </c>
      <c r="Q46" s="63" t="s">
        <v>194</v>
      </c>
      <c r="R46" s="63" t="s">
        <v>194</v>
      </c>
      <c r="S46" s="63" t="s">
        <v>195</v>
      </c>
      <c r="T46" s="63" t="s">
        <v>196</v>
      </c>
      <c r="U46" s="63" t="s">
        <v>197</v>
      </c>
      <c r="V46" s="63" t="s">
        <v>198</v>
      </c>
      <c r="W46" s="71" t="s">
        <v>198</v>
      </c>
    </row>
    <row r="47" spans="2:31" ht="16.2" x14ac:dyDescent="0.45">
      <c r="B47" s="352" t="s">
        <v>49</v>
      </c>
      <c r="C47" s="353"/>
      <c r="D47" s="62" t="s">
        <v>25</v>
      </c>
      <c r="E47" s="62" t="s">
        <v>26</v>
      </c>
      <c r="F47" s="62" t="s">
        <v>27</v>
      </c>
      <c r="G47" s="62" t="s">
        <v>28</v>
      </c>
      <c r="H47" s="62" t="s">
        <v>13</v>
      </c>
      <c r="I47" s="62" t="s">
        <v>29</v>
      </c>
      <c r="J47" s="62" t="s">
        <v>30</v>
      </c>
      <c r="K47" s="62" t="s">
        <v>37</v>
      </c>
      <c r="L47" s="62" t="s">
        <v>72</v>
      </c>
      <c r="M47" s="62" t="s">
        <v>73</v>
      </c>
      <c r="N47" s="62" t="s">
        <v>172</v>
      </c>
      <c r="O47" s="303" t="s">
        <v>212</v>
      </c>
      <c r="P47" s="64" t="s">
        <v>31</v>
      </c>
      <c r="Q47" s="64" t="s">
        <v>32</v>
      </c>
      <c r="R47" s="64" t="s">
        <v>14</v>
      </c>
      <c r="S47" s="64" t="s">
        <v>33</v>
      </c>
      <c r="T47" s="64" t="s">
        <v>34</v>
      </c>
      <c r="U47" s="64" t="s">
        <v>35</v>
      </c>
      <c r="V47" s="64" t="s">
        <v>36</v>
      </c>
      <c r="W47" s="72" t="s">
        <v>15</v>
      </c>
    </row>
    <row r="48" spans="2:31" s="295" customFormat="1" ht="14.55" hidden="1" customHeight="1" outlineLevel="1" x14ac:dyDescent="0.3">
      <c r="B48" s="344" t="s">
        <v>164</v>
      </c>
      <c r="C48" s="345"/>
      <c r="D48" s="13">
        <v>641.1</v>
      </c>
      <c r="E48" s="13">
        <v>691.6</v>
      </c>
      <c r="F48" s="13">
        <v>621.4</v>
      </c>
      <c r="G48" s="13">
        <v>649</v>
      </c>
      <c r="H48" s="185">
        <f>SUM(D48:G48)</f>
        <v>2603.1</v>
      </c>
      <c r="I48" s="13">
        <v>702.8</v>
      </c>
      <c r="J48" s="13">
        <v>747.5</v>
      </c>
      <c r="K48" s="13">
        <v>769.7</v>
      </c>
      <c r="L48" s="13">
        <v>875.3</v>
      </c>
      <c r="M48" s="185">
        <f>SUM(I48:L48)</f>
        <v>3095.3</v>
      </c>
      <c r="N48" s="13">
        <v>931.7</v>
      </c>
      <c r="O48" s="13">
        <v>943.1</v>
      </c>
      <c r="P48" s="13">
        <f t="shared" ref="P48:Q48" si="73">O48*(1+P49)</f>
        <v>947.38000000000011</v>
      </c>
      <c r="Q48" s="13">
        <f t="shared" si="73"/>
        <v>1061.554044</v>
      </c>
      <c r="R48" s="185">
        <f>SUM(N48:Q48)</f>
        <v>3883.7340440000003</v>
      </c>
      <c r="S48" s="13">
        <f>Q48*(1+S49)</f>
        <v>1074.8833158841505</v>
      </c>
      <c r="T48" s="13">
        <f>S48*(1+T49)</f>
        <v>1152.5497668104556</v>
      </c>
      <c r="U48" s="13">
        <f t="shared" ref="U48:V48" si="74">T48*(1+U49)</f>
        <v>1233.2282504871876</v>
      </c>
      <c r="V48" s="13">
        <f t="shared" si="74"/>
        <v>1381.2156405456501</v>
      </c>
      <c r="W48" s="185">
        <f>SUM(S48:V48)</f>
        <v>4841.8769737274433</v>
      </c>
      <c r="Y48" s="60"/>
      <c r="Z48" s="60"/>
      <c r="AA48" s="60"/>
      <c r="AB48" s="60"/>
      <c r="AC48" s="60"/>
      <c r="AD48" s="60"/>
      <c r="AE48" s="60"/>
    </row>
    <row r="49" spans="2:31" s="75" customFormat="1" ht="14.55" hidden="1" customHeight="1" outlineLevel="1" x14ac:dyDescent="0.3">
      <c r="B49" s="168" t="s">
        <v>173</v>
      </c>
      <c r="C49" s="169"/>
      <c r="D49" s="172"/>
      <c r="E49" s="177">
        <f>(E48-D48)/D48</f>
        <v>7.8770862579940717E-2</v>
      </c>
      <c r="F49" s="177">
        <f t="shared" ref="F49" si="75">(F48-E48)/E48</f>
        <v>-0.1015037593984963</v>
      </c>
      <c r="G49" s="177">
        <f>(G48-F48)/F48</f>
        <v>4.4415835210814325E-2</v>
      </c>
      <c r="H49" s="178"/>
      <c r="I49" s="177">
        <f>(I48-G48)/G48</f>
        <v>8.2896764252696389E-2</v>
      </c>
      <c r="J49" s="177">
        <f>(J48-I48)/I48</f>
        <v>6.3602731929425227E-2</v>
      </c>
      <c r="K49" s="177">
        <f t="shared" ref="K49:L49" si="76">(K48-J48)/J48</f>
        <v>2.9698996655518454E-2</v>
      </c>
      <c r="L49" s="177">
        <f t="shared" si="76"/>
        <v>0.13719631025074691</v>
      </c>
      <c r="M49" s="174"/>
      <c r="N49" s="177">
        <f>(N48-L48)/L48</f>
        <v>6.443505083971221E-2</v>
      </c>
      <c r="O49" s="177">
        <f>(O48-N48)/N48</f>
        <v>1.2235698186111385E-2</v>
      </c>
      <c r="P49" s="179">
        <v>4.5382250026508412E-3</v>
      </c>
      <c r="Q49" s="179">
        <v>0.12051557347632399</v>
      </c>
      <c r="R49" s="174"/>
      <c r="S49" s="288">
        <v>1.255637615389322E-2</v>
      </c>
      <c r="T49" s="179">
        <v>7.2255704203967611E-2</v>
      </c>
      <c r="U49" s="179">
        <v>7.0000000000000007E-2</v>
      </c>
      <c r="V49" s="179">
        <v>0.12</v>
      </c>
      <c r="W49" s="174"/>
      <c r="Y49"/>
      <c r="Z49"/>
      <c r="AA49"/>
      <c r="AB49"/>
      <c r="AC49"/>
      <c r="AD49"/>
      <c r="AE49"/>
    </row>
    <row r="50" spans="2:31" s="75" customFormat="1" ht="14.55" hidden="1" customHeight="1" outlineLevel="1" x14ac:dyDescent="0.3">
      <c r="B50" s="195" t="s">
        <v>179</v>
      </c>
      <c r="C50" s="196"/>
      <c r="D50" s="172">
        <v>38.1</v>
      </c>
      <c r="E50" s="172">
        <v>36.1</v>
      </c>
      <c r="F50" s="172">
        <v>38.700000000000003</v>
      </c>
      <c r="G50" s="172">
        <v>36.1</v>
      </c>
      <c r="H50" s="174"/>
      <c r="I50" s="172">
        <v>44.3</v>
      </c>
      <c r="J50" s="172">
        <v>50.7</v>
      </c>
      <c r="K50" s="172">
        <v>56.5</v>
      </c>
      <c r="L50" s="172">
        <v>59</v>
      </c>
      <c r="M50" s="174"/>
      <c r="N50" s="172">
        <v>54.6</v>
      </c>
      <c r="O50" s="172">
        <v>58.2</v>
      </c>
      <c r="P50" s="172">
        <f t="shared" ref="P50:Q50" si="77">P48*(1-P51)</f>
        <v>16.16152769920971</v>
      </c>
      <c r="Q50" s="172">
        <f t="shared" si="77"/>
        <v>63.693242640000058</v>
      </c>
      <c r="R50" s="174"/>
      <c r="S50" s="172">
        <f t="shared" ref="S50:V50" si="78">S48*(1-S51)</f>
        <v>64.492998953049096</v>
      </c>
      <c r="T50" s="172">
        <f t="shared" si="78"/>
        <v>80.67848367673183</v>
      </c>
      <c r="U50" s="172">
        <f t="shared" si="78"/>
        <v>86.325977534103075</v>
      </c>
      <c r="V50" s="172">
        <f t="shared" si="78"/>
        <v>96.68509483819544</v>
      </c>
      <c r="W50" s="174"/>
      <c r="Y50" s="58"/>
      <c r="Z50" s="58"/>
      <c r="AA50" s="58"/>
      <c r="AB50" s="58"/>
      <c r="AC50" s="58"/>
      <c r="AD50" s="58"/>
      <c r="AE50" s="58"/>
    </row>
    <row r="51" spans="2:31" s="75" customFormat="1" ht="14.55" hidden="1" customHeight="1" outlineLevel="1" x14ac:dyDescent="0.3">
      <c r="B51" s="195" t="s">
        <v>176</v>
      </c>
      <c r="C51" s="196"/>
      <c r="D51" s="30">
        <f>(D48-D50)/D48</f>
        <v>0.94057089377632186</v>
      </c>
      <c r="E51" s="30">
        <f t="shared" ref="E51:O51" si="79">(E48-E50)/E48</f>
        <v>0.94780219780219777</v>
      </c>
      <c r="F51" s="30">
        <f t="shared" si="79"/>
        <v>0.93772127454135812</v>
      </c>
      <c r="G51" s="30">
        <f t="shared" si="79"/>
        <v>0.9443759630200308</v>
      </c>
      <c r="H51" s="41"/>
      <c r="I51" s="30">
        <f t="shared" si="79"/>
        <v>0.93696642003414921</v>
      </c>
      <c r="J51" s="30">
        <f t="shared" si="79"/>
        <v>0.93217391304347819</v>
      </c>
      <c r="K51" s="30">
        <f t="shared" si="79"/>
        <v>0.92659477718591654</v>
      </c>
      <c r="L51" s="30">
        <f t="shared" si="79"/>
        <v>0.93259453901519473</v>
      </c>
      <c r="M51" s="41"/>
      <c r="N51" s="30">
        <f t="shared" si="79"/>
        <v>0.94139744552967697</v>
      </c>
      <c r="O51" s="30">
        <f t="shared" si="79"/>
        <v>0.93828862262750501</v>
      </c>
      <c r="P51" s="180">
        <v>0.98294081815194567</v>
      </c>
      <c r="Q51" s="180">
        <v>0.94</v>
      </c>
      <c r="R51" s="41"/>
      <c r="S51" s="32">
        <v>0.94</v>
      </c>
      <c r="T51" s="180">
        <v>0.93</v>
      </c>
      <c r="U51" s="180">
        <v>0.93</v>
      </c>
      <c r="V51" s="180">
        <v>0.93</v>
      </c>
      <c r="W51" s="41"/>
      <c r="X51" s="257"/>
      <c r="Y51" s="325"/>
      <c r="Z51" s="58"/>
      <c r="AA51" s="58"/>
      <c r="AB51" s="58"/>
      <c r="AC51" s="58"/>
      <c r="AD51" s="58"/>
      <c r="AE51" s="58"/>
    </row>
    <row r="52" spans="2:31" s="295" customFormat="1" ht="14.55" hidden="1" customHeight="1" outlineLevel="1" x14ac:dyDescent="0.3">
      <c r="B52" s="372" t="s">
        <v>204</v>
      </c>
      <c r="C52" s="373"/>
      <c r="D52" s="291">
        <v>314.39999999999998</v>
      </c>
      <c r="E52" s="292">
        <v>330.3</v>
      </c>
      <c r="F52" s="292">
        <v>336.6</v>
      </c>
      <c r="G52" s="292">
        <v>373.9</v>
      </c>
      <c r="H52" s="293">
        <f>SUM(D52:G52)</f>
        <v>1355.2</v>
      </c>
      <c r="I52" s="292">
        <v>357.2</v>
      </c>
      <c r="J52" s="292">
        <v>366.5</v>
      </c>
      <c r="K52" s="292">
        <v>402.5</v>
      </c>
      <c r="L52" s="292">
        <v>382.7</v>
      </c>
      <c r="M52" s="293">
        <f>SUM(I52:L52)</f>
        <v>1508.9</v>
      </c>
      <c r="N52" s="294">
        <v>406.2</v>
      </c>
      <c r="O52" s="294">
        <v>412.2</v>
      </c>
      <c r="P52" s="294">
        <f>O52*(1+P53)</f>
        <v>461.66400000000004</v>
      </c>
      <c r="Q52" s="294">
        <f>P52*(1+Q53)</f>
        <v>470.43561599999998</v>
      </c>
      <c r="R52" s="293">
        <f>SUM(N52:Q52)</f>
        <v>1750.4996160000001</v>
      </c>
      <c r="S52" s="294">
        <f>Q52*(1+S53)</f>
        <v>479.84432831999999</v>
      </c>
      <c r="T52" s="294">
        <f>S52*(1+T53)</f>
        <v>499.03810145279999</v>
      </c>
      <c r="U52" s="294">
        <f>T52*(1+U53)</f>
        <v>533.97076855449598</v>
      </c>
      <c r="V52" s="294">
        <f>U52*(1+V53)</f>
        <v>544.65018392558591</v>
      </c>
      <c r="W52" s="293">
        <f>SUM(S52:V52)</f>
        <v>2057.5033822528821</v>
      </c>
      <c r="Y52" s="60"/>
      <c r="Z52" s="60"/>
      <c r="AA52" s="60"/>
      <c r="AB52" s="60"/>
      <c r="AC52" s="60"/>
      <c r="AD52" s="60"/>
      <c r="AE52" s="60"/>
    </row>
    <row r="53" spans="2:31" s="75" customFormat="1" ht="14.55" hidden="1" customHeight="1" outlineLevel="1" x14ac:dyDescent="0.3">
      <c r="B53" s="168" t="s">
        <v>174</v>
      </c>
      <c r="C53" s="169"/>
      <c r="D53" s="172"/>
      <c r="E53" s="30">
        <f>(E52-D52)/D52</f>
        <v>5.0572519083969578E-2</v>
      </c>
      <c r="F53" s="30">
        <f>(F52-E52)/E52</f>
        <v>1.9073569482288864E-2</v>
      </c>
      <c r="G53" s="30">
        <f>(G52-F52)/F52</f>
        <v>0.11081402257872831</v>
      </c>
      <c r="H53" s="178"/>
      <c r="I53" s="177">
        <f>(I52-G52)/G52</f>
        <v>-4.4664348756351939E-2</v>
      </c>
      <c r="J53" s="30">
        <f>(J52-I52)/I52</f>
        <v>2.6035834266517389E-2</v>
      </c>
      <c r="K53" s="30">
        <f>(K52-J52)/J52</f>
        <v>9.8226466575716237E-2</v>
      </c>
      <c r="L53" s="30">
        <f>(L52-K52)/K52</f>
        <v>-4.9192546583850957E-2</v>
      </c>
      <c r="M53" s="174"/>
      <c r="N53" s="177">
        <f>(N52-L52)/L52</f>
        <v>6.1405800888424358E-2</v>
      </c>
      <c r="O53" s="30">
        <f>(O52-N52)/N52</f>
        <v>1.4771048744460858E-2</v>
      </c>
      <c r="P53" s="180">
        <v>0.12</v>
      </c>
      <c r="Q53" s="180">
        <v>1.9E-2</v>
      </c>
      <c r="R53" s="174"/>
      <c r="S53" s="180">
        <v>0.02</v>
      </c>
      <c r="T53" s="180">
        <v>0.04</v>
      </c>
      <c r="U53" s="180">
        <v>7.0000000000000007E-2</v>
      </c>
      <c r="V53" s="180">
        <v>0.02</v>
      </c>
      <c r="W53" s="174"/>
      <c r="Y53"/>
      <c r="Z53"/>
      <c r="AA53"/>
      <c r="AB53"/>
      <c r="AC53"/>
      <c r="AD53"/>
      <c r="AE53"/>
    </row>
    <row r="54" spans="2:31" s="75" customFormat="1" ht="14.55" hidden="1" customHeight="1" outlineLevel="1" x14ac:dyDescent="0.3">
      <c r="B54" s="195" t="s">
        <v>205</v>
      </c>
      <c r="C54" s="196"/>
      <c r="D54" s="172">
        <v>267</v>
      </c>
      <c r="E54" s="172">
        <v>282.89999999999998</v>
      </c>
      <c r="F54" s="172">
        <v>290.10000000000002</v>
      </c>
      <c r="G54" s="172">
        <v>330.3</v>
      </c>
      <c r="H54" s="174">
        <f>SUM(D54:G54)</f>
        <v>1170.3</v>
      </c>
      <c r="I54" s="172">
        <v>311.5</v>
      </c>
      <c r="J54" s="172">
        <v>326.60000000000002</v>
      </c>
      <c r="K54" s="172">
        <v>368.4</v>
      </c>
      <c r="L54" s="172">
        <v>352.2</v>
      </c>
      <c r="M54" s="174">
        <f>SUM(I54:L54)</f>
        <v>1358.7</v>
      </c>
      <c r="N54" s="172">
        <v>377.3</v>
      </c>
      <c r="O54" s="172">
        <v>385.4</v>
      </c>
      <c r="P54" s="256">
        <f t="shared" ref="P54:Q54" si="80">P52-P56</f>
        <v>434.86400000000003</v>
      </c>
      <c r="Q54" s="256">
        <f t="shared" si="80"/>
        <v>443.63561599999997</v>
      </c>
      <c r="R54" s="174">
        <f>SUM(N54:Q54)</f>
        <v>1641.1996160000001</v>
      </c>
      <c r="S54" s="256">
        <f t="shared" ref="S54:V54" si="81">S52-S56</f>
        <v>454.84432831999999</v>
      </c>
      <c r="T54" s="256">
        <f t="shared" si="81"/>
        <v>479.03810145279999</v>
      </c>
      <c r="U54" s="256">
        <f t="shared" si="81"/>
        <v>513.97076855449598</v>
      </c>
      <c r="V54" s="256">
        <f t="shared" si="81"/>
        <v>529.65018392558591</v>
      </c>
      <c r="W54" s="174">
        <f>SUM(S54:V54)</f>
        <v>1977.5033822528819</v>
      </c>
      <c r="Y54" s="58"/>
      <c r="Z54" s="58"/>
      <c r="AA54" s="58"/>
      <c r="AB54" s="58"/>
      <c r="AC54" s="58"/>
      <c r="AD54" s="58"/>
      <c r="AE54" s="58"/>
    </row>
    <row r="55" spans="2:31" s="75" customFormat="1" ht="14.55" hidden="1" customHeight="1" outlineLevel="1" x14ac:dyDescent="0.3">
      <c r="B55" s="195" t="s">
        <v>207</v>
      </c>
      <c r="C55" s="196"/>
      <c r="D55" s="172"/>
      <c r="E55" s="172"/>
      <c r="F55" s="172"/>
      <c r="G55" s="172"/>
      <c r="H55" s="174"/>
      <c r="I55" s="30">
        <f>I54/D54-1</f>
        <v>0.16666666666666674</v>
      </c>
      <c r="J55" s="30">
        <f t="shared" ref="J55:W55" si="82">J54/E54-1</f>
        <v>0.15447154471544722</v>
      </c>
      <c r="K55" s="30">
        <f t="shared" si="82"/>
        <v>0.26990692864529464</v>
      </c>
      <c r="L55" s="30">
        <f t="shared" si="82"/>
        <v>6.6303360581289716E-2</v>
      </c>
      <c r="M55" s="41">
        <f t="shared" si="82"/>
        <v>0.16098436298385033</v>
      </c>
      <c r="N55" s="30">
        <f t="shared" si="82"/>
        <v>0.21123595505617976</v>
      </c>
      <c r="O55" s="30">
        <f t="shared" si="82"/>
        <v>0.18003674219228394</v>
      </c>
      <c r="P55" s="298">
        <v>7.0000000000000007E-2</v>
      </c>
      <c r="Q55" s="298">
        <f t="shared" si="82"/>
        <v>0.25961276547416245</v>
      </c>
      <c r="R55" s="299">
        <f t="shared" si="82"/>
        <v>0.20791905203503358</v>
      </c>
      <c r="S55" s="30">
        <f t="shared" si="82"/>
        <v>0.20552432631857931</v>
      </c>
      <c r="T55" s="30">
        <f t="shared" si="82"/>
        <v>0.24296341840373636</v>
      </c>
      <c r="U55" s="30">
        <f t="shared" si="82"/>
        <v>0.18191151383994986</v>
      </c>
      <c r="V55" s="30">
        <f t="shared" si="82"/>
        <v>0.19388562329852688</v>
      </c>
      <c r="W55" s="41">
        <f t="shared" si="82"/>
        <v>0.20491338346308852</v>
      </c>
    </row>
    <row r="56" spans="2:31" s="75" customFormat="1" ht="14.55" hidden="1" customHeight="1" outlineLevel="1" x14ac:dyDescent="0.3">
      <c r="B56" s="195" t="s">
        <v>206</v>
      </c>
      <c r="C56" s="196"/>
      <c r="D56" s="172">
        <v>47.4</v>
      </c>
      <c r="E56" s="172">
        <v>47.4</v>
      </c>
      <c r="F56" s="172">
        <v>46.5</v>
      </c>
      <c r="G56" s="172">
        <v>43.6</v>
      </c>
      <c r="H56" s="174">
        <f>SUM(D56:G56)</f>
        <v>184.9</v>
      </c>
      <c r="I56" s="172">
        <v>45.7</v>
      </c>
      <c r="J56" s="172">
        <v>39.9</v>
      </c>
      <c r="K56" s="172">
        <v>34.1</v>
      </c>
      <c r="L56" s="172">
        <v>30.5</v>
      </c>
      <c r="M56" s="174">
        <f>SUM(I56:L56)</f>
        <v>150.19999999999999</v>
      </c>
      <c r="N56" s="172">
        <v>28.9</v>
      </c>
      <c r="O56" s="172">
        <v>26.8</v>
      </c>
      <c r="P56" s="256">
        <f>O56</f>
        <v>26.8</v>
      </c>
      <c r="Q56" s="256">
        <f>P56</f>
        <v>26.8</v>
      </c>
      <c r="R56" s="174">
        <f>SUM(N56:Q56)</f>
        <v>109.3</v>
      </c>
      <c r="S56" s="256">
        <v>25</v>
      </c>
      <c r="T56" s="256">
        <v>20</v>
      </c>
      <c r="U56" s="256">
        <v>20</v>
      </c>
      <c r="V56" s="256">
        <v>15</v>
      </c>
      <c r="W56" s="174">
        <f>SUM(S56:V56)</f>
        <v>80</v>
      </c>
      <c r="Y56" s="58"/>
      <c r="Z56" s="58"/>
      <c r="AA56" s="58"/>
      <c r="AB56" s="58"/>
      <c r="AC56" s="58"/>
      <c r="AD56" s="58"/>
      <c r="AE56" s="58"/>
    </row>
    <row r="57" spans="2:31" s="75" customFormat="1" ht="14.55" hidden="1" customHeight="1" outlineLevel="1" x14ac:dyDescent="0.3">
      <c r="B57" s="195" t="s">
        <v>180</v>
      </c>
      <c r="C57" s="196"/>
      <c r="D57" s="172">
        <v>108</v>
      </c>
      <c r="E57" s="172">
        <v>115.9</v>
      </c>
      <c r="F57" s="172">
        <v>117</v>
      </c>
      <c r="G57" s="172">
        <v>122.8</v>
      </c>
      <c r="H57" s="174"/>
      <c r="I57" s="172">
        <v>120.4</v>
      </c>
      <c r="J57" s="172">
        <v>131.9</v>
      </c>
      <c r="K57" s="172">
        <v>132.4</v>
      </c>
      <c r="L57" s="172">
        <v>140.6</v>
      </c>
      <c r="M57" s="174"/>
      <c r="N57" s="172">
        <v>141.9</v>
      </c>
      <c r="O57" s="172">
        <v>142</v>
      </c>
      <c r="P57" s="172">
        <f>P52*(1-P58)</f>
        <v>159.62989174155072</v>
      </c>
      <c r="Q57" s="172">
        <f>Q52*(1-Q58)</f>
        <v>174.06117791999998</v>
      </c>
      <c r="R57" s="174"/>
      <c r="S57" s="172">
        <f>S52*(1-S58)</f>
        <v>177.5424014784</v>
      </c>
      <c r="T57" s="172">
        <f>T52*(1-T58)</f>
        <v>184.644097537536</v>
      </c>
      <c r="U57" s="172">
        <f>U52*(1-U58)</f>
        <v>197.56918436516352</v>
      </c>
      <c r="V57" s="172">
        <f>V52*(1-V58)</f>
        <v>201.52056805246679</v>
      </c>
      <c r="W57" s="174"/>
      <c r="Y57" s="58"/>
      <c r="Z57" s="58"/>
      <c r="AA57" s="58"/>
      <c r="AB57" s="58"/>
      <c r="AC57" s="58"/>
      <c r="AD57" s="58"/>
      <c r="AE57" s="58"/>
    </row>
    <row r="58" spans="2:31" s="75" customFormat="1" ht="14.55" hidden="1" customHeight="1" outlineLevel="1" x14ac:dyDescent="0.3">
      <c r="B58" s="195" t="s">
        <v>177</v>
      </c>
      <c r="C58" s="196"/>
      <c r="D58" s="30">
        <f>(D52-D57)/D52</f>
        <v>0.65648854961832059</v>
      </c>
      <c r="E58" s="30">
        <f>(E52-E57)/E52</f>
        <v>0.64910687254011501</v>
      </c>
      <c r="F58" s="30">
        <f>(F52-F57)/F52</f>
        <v>0.65240641711229952</v>
      </c>
      <c r="G58" s="30">
        <f>(G52-G57)/G52</f>
        <v>0.67156993848622626</v>
      </c>
      <c r="H58" s="41"/>
      <c r="I58" s="30">
        <f>(I52-I57)/I52</f>
        <v>0.66293393057110861</v>
      </c>
      <c r="J58" s="30">
        <f>(J52-J57)/J52</f>
        <v>0.6401091405184175</v>
      </c>
      <c r="K58" s="30">
        <f>(K52-K57)/K52</f>
        <v>0.67105590062111808</v>
      </c>
      <c r="L58" s="30">
        <f>(L52-L57)/L52</f>
        <v>0.63261039979095901</v>
      </c>
      <c r="M58" s="41"/>
      <c r="N58" s="30">
        <f>(N52-N57)/N52</f>
        <v>0.65066469719350062</v>
      </c>
      <c r="O58" s="30">
        <f>(O52-O57)/O52</f>
        <v>0.65550703541969912</v>
      </c>
      <c r="P58" s="180">
        <v>0.65422928419467252</v>
      </c>
      <c r="Q58" s="180">
        <v>0.63</v>
      </c>
      <c r="R58" s="41"/>
      <c r="S58" s="180">
        <v>0.63</v>
      </c>
      <c r="T58" s="180">
        <v>0.63</v>
      </c>
      <c r="U58" s="180">
        <v>0.63</v>
      </c>
      <c r="V58" s="180">
        <v>0.63</v>
      </c>
      <c r="W58" s="41"/>
      <c r="X58" s="257"/>
      <c r="Y58" s="58"/>
      <c r="Z58" s="58"/>
      <c r="AA58" s="58"/>
      <c r="AB58" s="58"/>
      <c r="AC58" s="58"/>
      <c r="AD58" s="58"/>
      <c r="AE58" s="58"/>
    </row>
    <row r="59" spans="2:31" s="295" customFormat="1" ht="14.55" hidden="1" customHeight="1" outlineLevel="1" x14ac:dyDescent="0.3">
      <c r="B59" s="296" t="s">
        <v>165</v>
      </c>
      <c r="C59" s="297"/>
      <c r="D59" s="291">
        <v>44.6</v>
      </c>
      <c r="E59" s="291">
        <v>46.3</v>
      </c>
      <c r="F59" s="291">
        <v>47.4</v>
      </c>
      <c r="G59" s="291">
        <v>50.4</v>
      </c>
      <c r="H59" s="293">
        <f>SUM(D59:G59)</f>
        <v>188.70000000000002</v>
      </c>
      <c r="I59" s="291">
        <v>49.2</v>
      </c>
      <c r="J59" s="291">
        <v>48.2</v>
      </c>
      <c r="K59" s="291">
        <v>45.6</v>
      </c>
      <c r="L59" s="291">
        <v>48.4</v>
      </c>
      <c r="M59" s="293">
        <f>SUM(I59:L59)</f>
        <v>191.4</v>
      </c>
      <c r="N59" s="291">
        <v>45.4</v>
      </c>
      <c r="O59" s="291">
        <v>43.4</v>
      </c>
      <c r="P59" s="291">
        <f t="shared" ref="P59:Q59" si="83">O59*(1+P60)</f>
        <v>42.966000000000001</v>
      </c>
      <c r="Q59" s="291">
        <f t="shared" si="83"/>
        <v>42.536340000000003</v>
      </c>
      <c r="R59" s="293">
        <f>SUM(N59:Q59)</f>
        <v>174.30233999999999</v>
      </c>
      <c r="S59" s="291">
        <f>Q59*(1+S60)</f>
        <v>40.409523</v>
      </c>
      <c r="T59" s="291">
        <f>S59*(1+T60)</f>
        <v>40.005427769999997</v>
      </c>
      <c r="U59" s="291">
        <f t="shared" ref="U59:V59" si="84">T59*(1+U60)</f>
        <v>39.605373492299996</v>
      </c>
      <c r="V59" s="291">
        <f t="shared" si="84"/>
        <v>39.209319757376996</v>
      </c>
      <c r="W59" s="293">
        <f>SUM(S59:V59)</f>
        <v>159.22964401967698</v>
      </c>
      <c r="Y59" s="60"/>
      <c r="Z59" s="60"/>
      <c r="AA59" s="60"/>
      <c r="AB59" s="60"/>
      <c r="AC59" s="60"/>
      <c r="AD59" s="60"/>
      <c r="AE59" s="60"/>
    </row>
    <row r="60" spans="2:31" s="75" customFormat="1" ht="14.55" hidden="1" customHeight="1" outlineLevel="1" x14ac:dyDescent="0.3">
      <c r="B60" s="114" t="s">
        <v>175</v>
      </c>
      <c r="C60" s="115"/>
      <c r="D60" s="172"/>
      <c r="E60" s="177">
        <f>(E59-D59)/D59</f>
        <v>3.8116591928251023E-2</v>
      </c>
      <c r="F60" s="177">
        <f t="shared" ref="F60:G60" si="85">(F59-E59)/E59</f>
        <v>2.3758099352051868E-2</v>
      </c>
      <c r="G60" s="177">
        <f t="shared" si="85"/>
        <v>6.3291139240506333E-2</v>
      </c>
      <c r="H60" s="178"/>
      <c r="I60" s="177">
        <f>(I59-G59)/G59</f>
        <v>-2.3809523809523725E-2</v>
      </c>
      <c r="J60" s="177">
        <f>(J59-I59)/I59</f>
        <v>-2.032520325203252E-2</v>
      </c>
      <c r="K60" s="177">
        <f t="shared" ref="K60:L60" si="86">(K59-J59)/J59</f>
        <v>-5.394190871369297E-2</v>
      </c>
      <c r="L60" s="177">
        <f t="shared" si="86"/>
        <v>6.1403508771929759E-2</v>
      </c>
      <c r="M60" s="174"/>
      <c r="N60" s="177">
        <f>(N59-L59)/L59</f>
        <v>-6.1983471074380167E-2</v>
      </c>
      <c r="O60" s="177">
        <f>(O59-N59)/N59</f>
        <v>-4.405286343612335E-2</v>
      </c>
      <c r="P60" s="179">
        <v>-0.01</v>
      </c>
      <c r="Q60" s="179">
        <v>-0.01</v>
      </c>
      <c r="R60" s="83"/>
      <c r="S60" s="179">
        <v>-0.05</v>
      </c>
      <c r="T60" s="179">
        <v>-0.01</v>
      </c>
      <c r="U60" s="179">
        <v>-0.01</v>
      </c>
      <c r="V60" s="179">
        <v>-0.01</v>
      </c>
      <c r="W60" s="83"/>
      <c r="Y60"/>
      <c r="Z60"/>
      <c r="AA60"/>
      <c r="AB60"/>
      <c r="AC60"/>
      <c r="AD60"/>
      <c r="AE60"/>
    </row>
    <row r="61" spans="2:31" s="75" customFormat="1" ht="14.55" hidden="1" customHeight="1" outlineLevel="1" x14ac:dyDescent="0.3">
      <c r="B61" s="195" t="s">
        <v>181</v>
      </c>
      <c r="C61" s="196"/>
      <c r="D61" s="172">
        <v>2.4</v>
      </c>
      <c r="E61" s="172">
        <v>2.9</v>
      </c>
      <c r="F61" s="172">
        <v>2</v>
      </c>
      <c r="G61" s="172">
        <v>2</v>
      </c>
      <c r="H61" s="174"/>
      <c r="I61" s="172">
        <v>2.1</v>
      </c>
      <c r="J61" s="172">
        <v>2.6</v>
      </c>
      <c r="K61" s="172">
        <v>2.1</v>
      </c>
      <c r="L61" s="172">
        <v>1.8</v>
      </c>
      <c r="M61" s="174"/>
      <c r="N61" s="172">
        <v>2.1</v>
      </c>
      <c r="O61" s="172">
        <v>1.9</v>
      </c>
      <c r="P61" s="172">
        <f t="shared" ref="P61" si="87">P59*(1-P62)</f>
        <v>1.7186400000000015</v>
      </c>
      <c r="Q61" s="172">
        <f t="shared" ref="Q61" si="88">Q59*(1-Q62)</f>
        <v>1.7014536000000016</v>
      </c>
      <c r="R61" s="174"/>
      <c r="S61" s="172">
        <f t="shared" ref="S61" si="89">S59*(1-S62)</f>
        <v>1.6163809200000014</v>
      </c>
      <c r="T61" s="172">
        <f t="shared" ref="T61" si="90">T59*(1-T62)</f>
        <v>1.6002171108000014</v>
      </c>
      <c r="U61" s="172">
        <f t="shared" ref="U61" si="91">U59*(1-U62)</f>
        <v>1.5842149396920013</v>
      </c>
      <c r="V61" s="172">
        <f t="shared" ref="V61" si="92">V59*(1-V62)</f>
        <v>1.5683727902950813</v>
      </c>
      <c r="W61" s="174"/>
      <c r="Y61" s="58"/>
      <c r="Z61" s="58"/>
      <c r="AA61" s="58"/>
      <c r="AB61" s="58"/>
      <c r="AC61" s="58"/>
      <c r="AD61" s="58"/>
      <c r="AE61" s="58"/>
    </row>
    <row r="62" spans="2:31" s="75" customFormat="1" ht="14.55" hidden="1" customHeight="1" outlineLevel="1" x14ac:dyDescent="0.3">
      <c r="B62" s="195" t="s">
        <v>178</v>
      </c>
      <c r="C62" s="196"/>
      <c r="D62" s="30">
        <f>(D59-D61)/D59</f>
        <v>0.94618834080717495</v>
      </c>
      <c r="E62" s="30">
        <f t="shared" ref="E62" si="93">(E59-E61)/E59</f>
        <v>0.93736501079913614</v>
      </c>
      <c r="F62" s="30">
        <f t="shared" ref="F62" si="94">(F59-F61)/F59</f>
        <v>0.95780590717299574</v>
      </c>
      <c r="G62" s="30">
        <f t="shared" ref="G62" si="95">(G59-G61)/G59</f>
        <v>0.96031746031746035</v>
      </c>
      <c r="H62" s="41"/>
      <c r="I62" s="30">
        <f t="shared" ref="I62" si="96">(I59-I61)/I59</f>
        <v>0.95731707317073167</v>
      </c>
      <c r="J62" s="30">
        <f t="shared" ref="J62" si="97">(J59-J61)/J59</f>
        <v>0.94605809128630702</v>
      </c>
      <c r="K62" s="30">
        <f t="shared" ref="K62" si="98">(K59-K61)/K59</f>
        <v>0.95394736842105265</v>
      </c>
      <c r="L62" s="30">
        <f t="shared" ref="L62" si="99">(L59-L61)/L59</f>
        <v>0.96280991735537191</v>
      </c>
      <c r="M62" s="41"/>
      <c r="N62" s="30">
        <f t="shared" ref="N62:O62" si="100">(N59-N61)/N59</f>
        <v>0.95374449339207046</v>
      </c>
      <c r="O62" s="30">
        <f t="shared" si="100"/>
        <v>0.95622119815668205</v>
      </c>
      <c r="P62" s="180">
        <v>0.96</v>
      </c>
      <c r="Q62" s="180">
        <v>0.96</v>
      </c>
      <c r="R62" s="41"/>
      <c r="S62" s="180">
        <v>0.96</v>
      </c>
      <c r="T62" s="180">
        <v>0.96</v>
      </c>
      <c r="U62" s="180">
        <v>0.96</v>
      </c>
      <c r="V62" s="180">
        <v>0.96</v>
      </c>
      <c r="W62" s="41"/>
      <c r="X62" s="257"/>
      <c r="Y62" s="58"/>
      <c r="Z62" s="58"/>
      <c r="AA62" s="58"/>
      <c r="AB62" s="58"/>
      <c r="AC62" s="58"/>
      <c r="AD62" s="58"/>
      <c r="AE62" s="58"/>
    </row>
    <row r="63" spans="2:31" s="203" customFormat="1" ht="14.55" hidden="1" customHeight="1" outlineLevel="1" x14ac:dyDescent="0.3">
      <c r="B63" s="344" t="s">
        <v>133</v>
      </c>
      <c r="C63" s="345"/>
      <c r="D63" s="13">
        <f>SUM(D48,D52,D59)</f>
        <v>1000.1</v>
      </c>
      <c r="E63" s="13">
        <f>SUM(E48,E52,E59)</f>
        <v>1068.2</v>
      </c>
      <c r="F63" s="13">
        <f>SUM(F48,F52,F59)</f>
        <v>1005.4</v>
      </c>
      <c r="G63" s="13">
        <f>SUM(G48,G52,G59)</f>
        <v>1073.3</v>
      </c>
      <c r="H63" s="185"/>
      <c r="I63" s="13">
        <f>SUM(I48,I52,I59)</f>
        <v>1109.2</v>
      </c>
      <c r="J63" s="13">
        <f>SUM(J48,J52,J59)</f>
        <v>1162.2</v>
      </c>
      <c r="K63" s="13">
        <f>SUM(K48,K52,K59)</f>
        <v>1217.8</v>
      </c>
      <c r="L63" s="13">
        <f>SUM(L48,L52,L59)</f>
        <v>1306.4000000000001</v>
      </c>
      <c r="M63" s="185"/>
      <c r="N63" s="13">
        <f>SUM(N48,N52,N59)</f>
        <v>1383.3000000000002</v>
      </c>
      <c r="O63" s="13">
        <f>SUM(O48,O52,O59)</f>
        <v>1398.7</v>
      </c>
      <c r="P63" s="13">
        <f>SUM(P48,P52,P59)</f>
        <v>1452.01</v>
      </c>
      <c r="Q63" s="13">
        <f>SUM(Q48,Q52,Q59)</f>
        <v>1574.5260000000001</v>
      </c>
      <c r="R63" s="191"/>
      <c r="S63" s="13">
        <f>SUM(S48,S52,S59)</f>
        <v>1595.1371672041505</v>
      </c>
      <c r="T63" s="13">
        <f>SUM(T48,T52,T59)</f>
        <v>1691.5932960332557</v>
      </c>
      <c r="U63" s="13">
        <f>SUM(U48,U52,U59)</f>
        <v>1806.8043925339837</v>
      </c>
      <c r="V63" s="13">
        <f>SUM(V48,V52,V59)</f>
        <v>1965.075144228613</v>
      </c>
      <c r="W63" s="191"/>
      <c r="Y63" s="60"/>
      <c r="Z63" s="60"/>
      <c r="AA63" s="60"/>
      <c r="AB63" s="60"/>
      <c r="AC63" s="60"/>
      <c r="AD63" s="60"/>
      <c r="AE63" s="60"/>
    </row>
    <row r="64" spans="2:31" s="58" customFormat="1" collapsed="1" x14ac:dyDescent="0.3">
      <c r="B64" s="360" t="s">
        <v>83</v>
      </c>
      <c r="C64" s="361"/>
      <c r="D64" s="173"/>
      <c r="E64" s="173"/>
      <c r="F64" s="173"/>
      <c r="G64" s="173"/>
      <c r="H64" s="175"/>
      <c r="I64" s="176"/>
      <c r="J64" s="176"/>
      <c r="K64" s="176"/>
      <c r="L64" s="176"/>
      <c r="M64" s="175"/>
      <c r="N64" s="77"/>
      <c r="O64" s="77"/>
      <c r="P64" s="77"/>
      <c r="Q64" s="77"/>
      <c r="R64" s="76"/>
      <c r="S64" s="77"/>
      <c r="T64" s="77"/>
      <c r="U64" s="77"/>
      <c r="V64" s="77"/>
      <c r="W64" s="76"/>
      <c r="Y64"/>
      <c r="Z64"/>
      <c r="AA64"/>
      <c r="AB64"/>
      <c r="AC64"/>
      <c r="AD64"/>
      <c r="AE64"/>
    </row>
    <row r="65" spans="2:31" s="53" customFormat="1" hidden="1" outlineLevel="1" x14ac:dyDescent="0.3">
      <c r="B65" s="330" t="s">
        <v>57</v>
      </c>
      <c r="C65" s="362"/>
      <c r="D65" s="30">
        <f t="shared" ref="D65:O65" si="101">D22/D14</f>
        <v>0.20949986001679799</v>
      </c>
      <c r="E65" s="30">
        <f t="shared" si="101"/>
        <v>0.19574090439315189</v>
      </c>
      <c r="F65" s="30">
        <f t="shared" si="101"/>
        <v>0.21090819755940118</v>
      </c>
      <c r="G65" s="30">
        <f t="shared" si="101"/>
        <v>0.19908825633916194</v>
      </c>
      <c r="H65" s="41">
        <f t="shared" si="101"/>
        <v>0.20360254782599263</v>
      </c>
      <c r="I65" s="30">
        <f t="shared" si="101"/>
        <v>0.19429561090570427</v>
      </c>
      <c r="J65" s="30">
        <f t="shared" si="101"/>
        <v>0.17901782718012527</v>
      </c>
      <c r="K65" s="30">
        <f t="shared" si="101"/>
        <v>0.17955801104972374</v>
      </c>
      <c r="L65" s="30">
        <f t="shared" si="101"/>
        <v>0.16879464545423931</v>
      </c>
      <c r="M65" s="41">
        <f t="shared" si="101"/>
        <v>0.17990366407250444</v>
      </c>
      <c r="N65" s="30">
        <f t="shared" si="101"/>
        <v>0.17147256449088616</v>
      </c>
      <c r="O65" s="30">
        <f t="shared" si="101"/>
        <v>0.16621327238188929</v>
      </c>
      <c r="P65" s="32">
        <f>O65+(K65-J65)</f>
        <v>0.16675345625148777</v>
      </c>
      <c r="Q65" s="32">
        <v>0.16500000000000001</v>
      </c>
      <c r="R65" s="41">
        <f>R22/R14</f>
        <v>0.16727194529673736</v>
      </c>
      <c r="S65" s="32">
        <v>0.16</v>
      </c>
      <c r="T65" s="32">
        <v>0.155</v>
      </c>
      <c r="U65" s="32">
        <f t="shared" ref="U65:V67" si="102">T65+(P65-O65)</f>
        <v>0.15554018386959848</v>
      </c>
      <c r="V65" s="32">
        <f t="shared" si="102"/>
        <v>0.15378672761811071</v>
      </c>
      <c r="W65" s="41">
        <f>W22/W14</f>
        <v>0.15593042695708614</v>
      </c>
      <c r="Y65"/>
      <c r="Z65"/>
      <c r="AA65"/>
      <c r="AB65"/>
      <c r="AC65"/>
      <c r="AD65"/>
      <c r="AE65"/>
    </row>
    <row r="66" spans="2:31" s="58" customFormat="1" hidden="1" outlineLevel="1" x14ac:dyDescent="0.3">
      <c r="B66" s="78" t="s">
        <v>58</v>
      </c>
      <c r="C66" s="79"/>
      <c r="D66" s="30">
        <f t="shared" ref="D66:O66" si="103">D23/D14</f>
        <v>0.41009178898532178</v>
      </c>
      <c r="E66" s="30">
        <f t="shared" si="103"/>
        <v>0.39957573805850544</v>
      </c>
      <c r="F66" s="30">
        <f t="shared" si="103"/>
        <v>0.40428820509862151</v>
      </c>
      <c r="G66" s="30">
        <f t="shared" si="103"/>
        <v>0.38092922200855661</v>
      </c>
      <c r="H66" s="41">
        <f t="shared" si="103"/>
        <v>0.39842828602879388</v>
      </c>
      <c r="I66" s="30">
        <f t="shared" si="103"/>
        <v>0.35408197580016243</v>
      </c>
      <c r="J66" s="30">
        <f t="shared" si="103"/>
        <v>0.36741819959076133</v>
      </c>
      <c r="K66" s="30">
        <f t="shared" si="103"/>
        <v>0.34656108552696407</v>
      </c>
      <c r="L66" s="30">
        <f t="shared" si="103"/>
        <v>0.3379291551464938</v>
      </c>
      <c r="M66" s="41">
        <f t="shared" si="103"/>
        <v>0.35100367823157941</v>
      </c>
      <c r="N66" s="30">
        <f t="shared" si="103"/>
        <v>0.34329428518760824</v>
      </c>
      <c r="O66" s="30">
        <f t="shared" si="103"/>
        <v>0.33086867961813354</v>
      </c>
      <c r="P66" s="32">
        <v>0.36087690904714259</v>
      </c>
      <c r="Q66" s="32">
        <v>0.33258845703113071</v>
      </c>
      <c r="R66" s="41">
        <f>R23/R14</f>
        <v>0.34179542222039455</v>
      </c>
      <c r="S66" s="32">
        <v>0.315</v>
      </c>
      <c r="T66" s="32">
        <v>0.33300000000000002</v>
      </c>
      <c r="U66" s="32">
        <v>0.34</v>
      </c>
      <c r="V66" s="32">
        <v>0.35</v>
      </c>
      <c r="W66" s="41">
        <f>W23/W14</f>
        <v>0.33545677820278352</v>
      </c>
      <c r="Y66"/>
      <c r="Z66"/>
      <c r="AA66"/>
      <c r="AB66"/>
      <c r="AC66"/>
      <c r="AD66"/>
      <c r="AE66"/>
    </row>
    <row r="67" spans="2:31" s="58" customFormat="1" hidden="1" outlineLevel="1" x14ac:dyDescent="0.3">
      <c r="B67" s="78" t="s">
        <v>59</v>
      </c>
      <c r="C67" s="79"/>
      <c r="D67" s="30">
        <f t="shared" ref="D67:N67" si="104">D24/D14</f>
        <v>0.13896732392112948</v>
      </c>
      <c r="E67" s="30">
        <f t="shared" si="104"/>
        <v>0.12089218579153123</v>
      </c>
      <c r="F67" s="30">
        <f t="shared" si="104"/>
        <v>0.1409137972705635</v>
      </c>
      <c r="G67" s="30">
        <f t="shared" si="104"/>
        <v>0.12441117719839601</v>
      </c>
      <c r="H67" s="41">
        <f t="shared" si="104"/>
        <v>0.13101603182009447</v>
      </c>
      <c r="I67" s="30">
        <f t="shared" si="104"/>
        <v>0.13080011287607701</v>
      </c>
      <c r="J67" s="30">
        <f t="shared" si="104"/>
        <v>0.11203984311943815</v>
      </c>
      <c r="K67" s="30">
        <f t="shared" si="104"/>
        <v>0.10065792499063861</v>
      </c>
      <c r="L67" s="30">
        <f t="shared" si="104"/>
        <v>0.10261144332074919</v>
      </c>
      <c r="M67" s="41">
        <f t="shared" si="104"/>
        <v>0.11092019182105929</v>
      </c>
      <c r="N67" s="30">
        <f t="shared" si="104"/>
        <v>0.10621794431572974</v>
      </c>
      <c r="O67" s="30">
        <f t="shared" ref="O67" si="105">N67+(J67-I67)</f>
        <v>8.7457674559090884E-2</v>
      </c>
      <c r="P67" s="32">
        <f t="shared" ref="P67" si="106">O67+(K67-J67)</f>
        <v>7.6075756430291339E-2</v>
      </c>
      <c r="Q67" s="32">
        <v>7.4999999999999997E-2</v>
      </c>
      <c r="R67" s="41">
        <f>R24/R14</f>
        <v>8.850411100378186E-2</v>
      </c>
      <c r="S67" s="32">
        <f t="shared" ref="S67" si="107">Q67+(N67-L67)</f>
        <v>7.8606500994980552E-2</v>
      </c>
      <c r="T67" s="32">
        <f t="shared" ref="T67" si="108">S67+(O67-N67)</f>
        <v>5.9846231238341693E-2</v>
      </c>
      <c r="U67" s="32">
        <f t="shared" si="102"/>
        <v>4.8464313109542148E-2</v>
      </c>
      <c r="V67" s="32">
        <f t="shared" si="102"/>
        <v>4.7388556679250807E-2</v>
      </c>
      <c r="W67" s="41">
        <f>W24/W14</f>
        <v>5.7704171718698988E-2</v>
      </c>
      <c r="Y67"/>
      <c r="Z67"/>
      <c r="AA67"/>
      <c r="AB67"/>
      <c r="AC67"/>
      <c r="AD67"/>
      <c r="AE67"/>
    </row>
    <row r="68" spans="2:31" s="58" customFormat="1" hidden="1" outlineLevel="1" x14ac:dyDescent="0.3">
      <c r="B68" s="170" t="s">
        <v>203</v>
      </c>
      <c r="C68" s="171"/>
      <c r="D68" s="143"/>
      <c r="E68" s="172">
        <f t="shared" ref="E68:G69" si="109">AVERAGE(E25,D25)</f>
        <v>0.14850000000000002</v>
      </c>
      <c r="F68" s="172">
        <f t="shared" si="109"/>
        <v>-8.249999999999999E-2</v>
      </c>
      <c r="G68" s="172">
        <f t="shared" si="109"/>
        <v>9.793000000000001</v>
      </c>
      <c r="H68" s="31">
        <f t="shared" ref="H68:H69" si="110">SUM(E68:G68)</f>
        <v>9.8590000000000018</v>
      </c>
      <c r="I68" s="172">
        <f>AVERAGE(I25,G25)</f>
        <v>10.57</v>
      </c>
      <c r="J68" s="172">
        <f t="shared" ref="J68:L69" si="111">AVERAGE(J25,I25)</f>
        <v>0.89449999999999996</v>
      </c>
      <c r="K68" s="172">
        <f t="shared" si="111"/>
        <v>-0.35849999999999999</v>
      </c>
      <c r="L68" s="172">
        <f t="shared" si="111"/>
        <v>-0.11499999999999999</v>
      </c>
      <c r="M68" s="174">
        <f t="shared" ref="M68:M69" si="112">SUM(I68:L68)</f>
        <v>10.991000000000001</v>
      </c>
      <c r="N68" s="172">
        <f>AVERAGE(N25,L25)</f>
        <v>5.1000000000000018E-2</v>
      </c>
      <c r="O68" s="172">
        <f>AVERAGE(O25,M25)</f>
        <v>0.54649999999999987</v>
      </c>
      <c r="P68" s="286">
        <f t="shared" ref="P68" si="113">O68</f>
        <v>0.54649999999999987</v>
      </c>
      <c r="Q68" s="286">
        <f t="shared" ref="Q68:Q69" si="114">P68</f>
        <v>0.54649999999999987</v>
      </c>
      <c r="R68" s="174">
        <f t="shared" ref="R68:R69" si="115">SUM(N68:Q68)</f>
        <v>1.6904999999999997</v>
      </c>
      <c r="S68" s="286">
        <f t="shared" ref="S68:S69" si="116">Q68</f>
        <v>0.54649999999999987</v>
      </c>
      <c r="T68" s="286">
        <f t="shared" ref="T68:T69" si="117">S68</f>
        <v>0.54649999999999987</v>
      </c>
      <c r="U68" s="286">
        <f t="shared" ref="U68:U69" si="118">T68</f>
        <v>0.54649999999999987</v>
      </c>
      <c r="V68" s="286">
        <f t="shared" ref="V68:V69" si="119">U68</f>
        <v>0.54649999999999987</v>
      </c>
      <c r="W68" s="174">
        <f t="shared" ref="W68:W69" si="120">SUM(S68:V68)</f>
        <v>2.1859999999999995</v>
      </c>
      <c r="Y68"/>
      <c r="Z68"/>
      <c r="AA68"/>
      <c r="AB68"/>
      <c r="AC68"/>
      <c r="AD68"/>
      <c r="AE68"/>
    </row>
    <row r="69" spans="2:31" s="58" customFormat="1" hidden="1" outlineLevel="1" x14ac:dyDescent="0.3">
      <c r="B69" s="170" t="s">
        <v>166</v>
      </c>
      <c r="C69" s="171"/>
      <c r="D69" s="30"/>
      <c r="E69" s="172">
        <f t="shared" si="109"/>
        <v>13.452</v>
      </c>
      <c r="F69" s="172">
        <f t="shared" si="109"/>
        <v>13.23</v>
      </c>
      <c r="G69" s="172">
        <f t="shared" si="109"/>
        <v>12.760000000000002</v>
      </c>
      <c r="H69" s="31">
        <f t="shared" si="110"/>
        <v>39.442000000000007</v>
      </c>
      <c r="I69" s="172">
        <f>AVERAGE(I26,G26)</f>
        <v>13.342000000000001</v>
      </c>
      <c r="J69" s="172">
        <f t="shared" si="111"/>
        <v>16.176500000000001</v>
      </c>
      <c r="K69" s="172">
        <f t="shared" si="111"/>
        <v>18.163499999999999</v>
      </c>
      <c r="L69" s="172">
        <f t="shared" si="111"/>
        <v>18.148</v>
      </c>
      <c r="M69" s="174">
        <f t="shared" si="112"/>
        <v>65.83</v>
      </c>
      <c r="N69" s="172">
        <f>AVERAGE(N26,L26)</f>
        <v>18.222000000000001</v>
      </c>
      <c r="O69" s="172">
        <f>AVERAGE(O26,M26)</f>
        <v>43.8185</v>
      </c>
      <c r="P69" s="286">
        <f t="shared" ref="P69" si="121">O69</f>
        <v>43.8185</v>
      </c>
      <c r="Q69" s="286">
        <f t="shared" si="114"/>
        <v>43.8185</v>
      </c>
      <c r="R69" s="174">
        <f t="shared" si="115"/>
        <v>149.67750000000001</v>
      </c>
      <c r="S69" s="286">
        <f t="shared" si="116"/>
        <v>43.8185</v>
      </c>
      <c r="T69" s="286">
        <f t="shared" si="117"/>
        <v>43.8185</v>
      </c>
      <c r="U69" s="286">
        <f t="shared" si="118"/>
        <v>43.8185</v>
      </c>
      <c r="V69" s="286">
        <f t="shared" si="119"/>
        <v>43.8185</v>
      </c>
      <c r="W69" s="174">
        <f t="shared" si="120"/>
        <v>175.274</v>
      </c>
      <c r="Y69"/>
      <c r="Z69"/>
      <c r="AA69"/>
      <c r="AB69"/>
      <c r="AC69"/>
      <c r="AD69"/>
      <c r="AE69"/>
    </row>
    <row r="70" spans="2:31" s="58" customFormat="1" hidden="1" outlineLevel="1" x14ac:dyDescent="0.3">
      <c r="B70" s="78" t="s">
        <v>50</v>
      </c>
      <c r="C70" s="79"/>
      <c r="D70" s="43"/>
      <c r="E70" s="172">
        <f>AVERAGE(E32,D32)</f>
        <v>-16.846499999999999</v>
      </c>
      <c r="F70" s="172">
        <f>AVERAGE(F32,E32)</f>
        <v>-15.232000000000001</v>
      </c>
      <c r="G70" s="172">
        <f>AVERAGE(G32,F32)</f>
        <v>-13.019500000000001</v>
      </c>
      <c r="H70" s="31">
        <f>SUM(E70:G70)</f>
        <v>-45.097999999999999</v>
      </c>
      <c r="I70" s="172">
        <f>AVERAGE(I32,G32)</f>
        <v>-13.611499999999999</v>
      </c>
      <c r="J70" s="172">
        <f>AVERAGE(J32,I32)</f>
        <v>-15.574999999999999</v>
      </c>
      <c r="K70" s="172">
        <f>AVERAGE(K32,J32)</f>
        <v>-16.561999999999998</v>
      </c>
      <c r="L70" s="172">
        <f>AVERAGE(L32,K32)</f>
        <v>-16.516999999999999</v>
      </c>
      <c r="M70" s="174">
        <f>SUM(I70:L70)</f>
        <v>-62.265499999999989</v>
      </c>
      <c r="N70" s="172">
        <f>AVERAGE(N32,L32)</f>
        <v>-17.492000000000001</v>
      </c>
      <c r="O70" s="172">
        <f>AVERAGE(O32,M32)</f>
        <v>-40.679000000000002</v>
      </c>
      <c r="P70" s="286">
        <f t="shared" ref="P70:P72" si="122">O70</f>
        <v>-40.679000000000002</v>
      </c>
      <c r="Q70" s="286">
        <f t="shared" ref="Q70" si="123">P70</f>
        <v>-40.679000000000002</v>
      </c>
      <c r="R70" s="174">
        <f>SUM(N70:Q70)</f>
        <v>-139.529</v>
      </c>
      <c r="S70" s="286">
        <f>Q70</f>
        <v>-40.679000000000002</v>
      </c>
      <c r="T70" s="286">
        <f>S70</f>
        <v>-40.679000000000002</v>
      </c>
      <c r="U70" s="286">
        <f t="shared" ref="U70:V70" si="124">T70</f>
        <v>-40.679000000000002</v>
      </c>
      <c r="V70" s="286">
        <f t="shared" si="124"/>
        <v>-40.679000000000002</v>
      </c>
      <c r="W70" s="174">
        <f>SUM(S70:V70)</f>
        <v>-162.71600000000001</v>
      </c>
      <c r="X70" s="91"/>
      <c r="Y70"/>
      <c r="Z70"/>
      <c r="AA70"/>
      <c r="AB70"/>
      <c r="AC70"/>
      <c r="AD70"/>
      <c r="AE70"/>
    </row>
    <row r="71" spans="2:31" s="53" customFormat="1" hidden="1" outlineLevel="1" x14ac:dyDescent="0.3">
      <c r="B71" s="330" t="s">
        <v>60</v>
      </c>
      <c r="C71" s="362"/>
      <c r="D71" s="30">
        <f t="shared" ref="D71:N71" si="125">D31/D14</f>
        <v>3.1446226452825662E-3</v>
      </c>
      <c r="E71" s="30">
        <f t="shared" si="125"/>
        <v>2.3993454458307744E-3</v>
      </c>
      <c r="F71" s="30">
        <f t="shared" si="125"/>
        <v>1.4461776252251569E-3</v>
      </c>
      <c r="G71" s="30">
        <f t="shared" si="125"/>
        <v>9.7826573051294657E-5</v>
      </c>
      <c r="H71" s="41">
        <f t="shared" si="125"/>
        <v>1.7523236312910458E-3</v>
      </c>
      <c r="I71" s="30">
        <f t="shared" si="125"/>
        <v>3.0094276768173993E-3</v>
      </c>
      <c r="J71" s="30">
        <f t="shared" si="125"/>
        <v>3.2172905921570047E-3</v>
      </c>
      <c r="K71" s="30">
        <f t="shared" si="125"/>
        <v>3.6402664546941617E-3</v>
      </c>
      <c r="L71" s="30">
        <f t="shared" si="125"/>
        <v>1.7145538439870059E-2</v>
      </c>
      <c r="M71" s="41">
        <f t="shared" si="125"/>
        <v>7.0709878467591861E-3</v>
      </c>
      <c r="N71" s="30">
        <f t="shared" si="125"/>
        <v>3.0267433412730829E-3</v>
      </c>
      <c r="O71" s="30">
        <f t="shared" ref="O71" si="126">O31/O14</f>
        <v>4.3490104088841925E-3</v>
      </c>
      <c r="P71" s="32">
        <f t="shared" si="122"/>
        <v>4.3490104088841925E-3</v>
      </c>
      <c r="Q71" s="32">
        <f>P71</f>
        <v>4.3490104088841925E-3</v>
      </c>
      <c r="R71" s="41">
        <f>R31/R14</f>
        <v>4.0341075730837362E-3</v>
      </c>
      <c r="S71" s="32">
        <f>Q71</f>
        <v>4.3490104088841925E-3</v>
      </c>
      <c r="T71" s="32">
        <f>S71</f>
        <v>4.3490104088841925E-3</v>
      </c>
      <c r="U71" s="32">
        <f>T71</f>
        <v>4.3490104088841925E-3</v>
      </c>
      <c r="V71" s="32">
        <f>U71</f>
        <v>4.3490104088841925E-3</v>
      </c>
      <c r="W71" s="41">
        <f>W31/W14</f>
        <v>4.3490104088841925E-3</v>
      </c>
      <c r="Y71"/>
      <c r="Z71"/>
      <c r="AA71"/>
      <c r="AB71"/>
      <c r="AC71"/>
      <c r="AD71"/>
      <c r="AE71"/>
    </row>
    <row r="72" spans="2:31" s="58" customFormat="1" hidden="1" outlineLevel="1" x14ac:dyDescent="0.3">
      <c r="B72" s="170" t="s">
        <v>167</v>
      </c>
      <c r="C72" s="171"/>
      <c r="D72" s="143"/>
      <c r="E72" s="172">
        <f>AVERAGE(E33,D33)</f>
        <v>7.2000000000000036E-2</v>
      </c>
      <c r="F72" s="172">
        <f>AVERAGE(F33,E33)</f>
        <v>0.61099999999999999</v>
      </c>
      <c r="G72" s="172">
        <f>AVERAGE(G33,F33)</f>
        <v>0.50600000000000001</v>
      </c>
      <c r="H72" s="174">
        <f>SUM(D72:G72)</f>
        <v>1.1890000000000001</v>
      </c>
      <c r="I72" s="172">
        <f>AVERAGE(I33,G33)</f>
        <v>0.88649999999999995</v>
      </c>
      <c r="J72" s="172">
        <f>AVERAGE(J33,I33)</f>
        <v>0.82650000000000001</v>
      </c>
      <c r="K72" s="172">
        <f>AVERAGE(K33,J33)</f>
        <v>-0.54549999999999998</v>
      </c>
      <c r="L72" s="172">
        <f>AVERAGE(L33,K33)</f>
        <v>-0.34600000000000003</v>
      </c>
      <c r="M72" s="174">
        <f>SUM(I72:L72)</f>
        <v>0.8214999999999999</v>
      </c>
      <c r="N72" s="172">
        <f>AVERAGE(N33,L33)</f>
        <v>-0.27350000000000002</v>
      </c>
      <c r="O72" s="172">
        <f>AVERAGE(O33,M33)</f>
        <v>-1.1785000000000001</v>
      </c>
      <c r="P72" s="286">
        <f t="shared" si="122"/>
        <v>-1.1785000000000001</v>
      </c>
      <c r="Q72" s="286">
        <f>P72</f>
        <v>-1.1785000000000001</v>
      </c>
      <c r="R72" s="174">
        <f>SUM(N72:Q72)</f>
        <v>-3.8090000000000006</v>
      </c>
      <c r="S72" s="286">
        <f>Q72</f>
        <v>-1.1785000000000001</v>
      </c>
      <c r="T72" s="286">
        <f>S72</f>
        <v>-1.1785000000000001</v>
      </c>
      <c r="U72" s="286">
        <f>T72</f>
        <v>-1.1785000000000001</v>
      </c>
      <c r="V72" s="286">
        <f>U72</f>
        <v>-1.1785000000000001</v>
      </c>
      <c r="W72" s="174">
        <f>SUM(S72:V72)</f>
        <v>-4.7140000000000004</v>
      </c>
      <c r="Y72"/>
      <c r="Z72"/>
      <c r="AA72"/>
      <c r="AB72"/>
      <c r="AC72"/>
      <c r="AD72"/>
      <c r="AE72"/>
    </row>
    <row r="73" spans="2:31" s="53" customFormat="1" hidden="1" outlineLevel="1" x14ac:dyDescent="0.3">
      <c r="B73" s="330" t="s">
        <v>41</v>
      </c>
      <c r="C73" s="362"/>
      <c r="D73" s="30">
        <f t="shared" ref="D73:N73" si="127">D35/D34</f>
        <v>0.2750107871540412</v>
      </c>
      <c r="E73" s="30">
        <f t="shared" si="127"/>
        <v>0.27000684417544168</v>
      </c>
      <c r="F73" s="30">
        <f t="shared" si="127"/>
        <v>0.28999968222695277</v>
      </c>
      <c r="G73" s="30">
        <f t="shared" si="127"/>
        <v>0.21499888666221331</v>
      </c>
      <c r="H73" s="41">
        <f t="shared" si="127"/>
        <v>0.25729710882847784</v>
      </c>
      <c r="I73" s="30">
        <f t="shared" si="127"/>
        <v>0.48000588062334609</v>
      </c>
      <c r="J73" s="30">
        <f t="shared" si="127"/>
        <v>0.18500447578105145</v>
      </c>
      <c r="K73" s="30">
        <f t="shared" si="127"/>
        <v>0.24999677584376181</v>
      </c>
      <c r="L73" s="30">
        <f t="shared" si="127"/>
        <v>0.25000000000000017</v>
      </c>
      <c r="M73" s="41">
        <f t="shared" si="127"/>
        <v>0.2795093965192646</v>
      </c>
      <c r="N73" s="30">
        <f t="shared" si="127"/>
        <v>0.1300003078954661</v>
      </c>
      <c r="O73" s="30">
        <f t="shared" ref="O73" si="128">O35/O34</f>
        <v>0.26000060637297995</v>
      </c>
      <c r="P73" s="315">
        <v>0.24</v>
      </c>
      <c r="Q73" s="32">
        <v>0.26</v>
      </c>
      <c r="R73" s="41">
        <f>R35/R34</f>
        <v>0.22572638226698494</v>
      </c>
      <c r="S73" s="32">
        <v>0.24</v>
      </c>
      <c r="T73" s="32">
        <v>0.24</v>
      </c>
      <c r="U73" s="32">
        <v>0.24</v>
      </c>
      <c r="V73" s="32">
        <v>0.24</v>
      </c>
      <c r="W73" s="41">
        <f>W35/W34</f>
        <v>0.24000000000000016</v>
      </c>
      <c r="Y73"/>
      <c r="Z73"/>
      <c r="AA73"/>
      <c r="AB73"/>
      <c r="AC73"/>
      <c r="AD73"/>
      <c r="AE73"/>
    </row>
    <row r="74" spans="2:31" s="53" customFormat="1" hidden="1" outlineLevel="1" x14ac:dyDescent="0.3">
      <c r="B74" s="330" t="s">
        <v>40</v>
      </c>
      <c r="C74" s="362"/>
      <c r="D74" s="30">
        <f t="shared" ref="D74:W74" si="129">D19/D14</f>
        <v>0.85150881894172703</v>
      </c>
      <c r="E74" s="30">
        <f t="shared" si="129"/>
        <v>0.85498704372182199</v>
      </c>
      <c r="F74" s="30">
        <f t="shared" si="129"/>
        <v>0.84312453936656628</v>
      </c>
      <c r="G74" s="30">
        <f t="shared" si="129"/>
        <v>0.85005236050862365</v>
      </c>
      <c r="H74" s="41">
        <f t="shared" si="129"/>
        <v>0.84999511702854913</v>
      </c>
      <c r="I74" s="30">
        <f t="shared" si="129"/>
        <v>0.84962057590240003</v>
      </c>
      <c r="J74" s="30">
        <f t="shared" si="129"/>
        <v>0.8406645223799174</v>
      </c>
      <c r="K74" s="30">
        <f t="shared" si="129"/>
        <v>0.84316799258972142</v>
      </c>
      <c r="L74" s="30">
        <f t="shared" si="129"/>
        <v>0.84586620984014127</v>
      </c>
      <c r="M74" s="41">
        <f t="shared" si="129"/>
        <v>0.84478880352896701</v>
      </c>
      <c r="N74" s="30">
        <f t="shared" si="129"/>
        <v>0.85645414885042304</v>
      </c>
      <c r="O74" s="30">
        <f t="shared" ref="O74" si="130">O19/O14</f>
        <v>0.85552463021257463</v>
      </c>
      <c r="P74" s="30">
        <f t="shared" si="129"/>
        <v>0.87774873489799632</v>
      </c>
      <c r="Q74" s="30">
        <f t="shared" si="129"/>
        <v>0.84791875513011528</v>
      </c>
      <c r="R74" s="41">
        <f t="shared" si="129"/>
        <v>0.8592397912052927</v>
      </c>
      <c r="S74" s="30">
        <f t="shared" si="129"/>
        <v>0.84725339841556979</v>
      </c>
      <c r="T74" s="30">
        <f t="shared" si="129"/>
        <v>0.84220628034469325</v>
      </c>
      <c r="U74" s="30">
        <f t="shared" si="129"/>
        <v>0.84199762961690439</v>
      </c>
      <c r="V74" s="30">
        <f t="shared" si="129"/>
        <v>0.84744907259074154</v>
      </c>
      <c r="W74" s="41">
        <f t="shared" si="129"/>
        <v>0.84475300488390315</v>
      </c>
      <c r="Y74"/>
      <c r="Z74"/>
      <c r="AA74"/>
      <c r="AB74"/>
      <c r="AC74"/>
      <c r="AD74"/>
      <c r="AE74"/>
    </row>
    <row r="75" spans="2:31" s="58" customFormat="1" hidden="1" outlineLevel="1" x14ac:dyDescent="0.3">
      <c r="B75" s="330" t="s">
        <v>55</v>
      </c>
      <c r="C75" s="362"/>
      <c r="D75" s="30">
        <f t="shared" ref="D75:W75" si="131">D21/D14</f>
        <v>0.87410610726712801</v>
      </c>
      <c r="E75" s="30">
        <f t="shared" si="131"/>
        <v>0.87661204559411654</v>
      </c>
      <c r="F75" s="30">
        <f t="shared" si="131"/>
        <v>0.86629918769376446</v>
      </c>
      <c r="G75" s="30">
        <f t="shared" si="131"/>
        <v>0.8723195518983945</v>
      </c>
      <c r="H75" s="41">
        <f t="shared" si="131"/>
        <v>0.87239650210450048</v>
      </c>
      <c r="I75" s="30">
        <f t="shared" si="131"/>
        <v>0.87170894560941814</v>
      </c>
      <c r="J75" s="30">
        <f t="shared" si="131"/>
        <v>0.86389716372472591</v>
      </c>
      <c r="K75" s="30">
        <f t="shared" si="131"/>
        <v>0.8656681732481063</v>
      </c>
      <c r="L75" s="30">
        <f t="shared" si="131"/>
        <v>0.86461997973061921</v>
      </c>
      <c r="M75" s="41">
        <f t="shared" si="131"/>
        <v>0.86635063500010734</v>
      </c>
      <c r="N75" s="30">
        <f t="shared" si="131"/>
        <v>0.87336979112073354</v>
      </c>
      <c r="O75" s="30">
        <f t="shared" ref="O75" si="132">O21/O14</f>
        <v>0.86903709063143242</v>
      </c>
      <c r="P75" s="30">
        <f t="shared" si="131"/>
        <v>0.89174762029865184</v>
      </c>
      <c r="Q75" s="30">
        <f t="shared" si="131"/>
        <v>0.86093839036907949</v>
      </c>
      <c r="R75" s="41">
        <f t="shared" si="131"/>
        <v>0.87355073738919153</v>
      </c>
      <c r="S75" s="30">
        <f t="shared" si="131"/>
        <v>0.86026121839642</v>
      </c>
      <c r="T75" s="30">
        <f t="shared" si="131"/>
        <v>0.85465922295131469</v>
      </c>
      <c r="U75" s="30">
        <f t="shared" si="131"/>
        <v>0.85394193055739842</v>
      </c>
      <c r="V75" s="30">
        <f t="shared" si="131"/>
        <v>0.85875345104941481</v>
      </c>
      <c r="W75" s="41">
        <f t="shared" si="131"/>
        <v>0.85688138991723506</v>
      </c>
      <c r="Y75"/>
      <c r="Z75"/>
      <c r="AA75"/>
      <c r="AB75"/>
      <c r="AC75"/>
      <c r="AD75"/>
      <c r="AE75"/>
    </row>
    <row r="76" spans="2:31" s="58" customFormat="1" hidden="1" outlineLevel="1" x14ac:dyDescent="0.3">
      <c r="B76" s="65" t="s">
        <v>44</v>
      </c>
      <c r="C76" s="66"/>
      <c r="D76" s="30">
        <f t="shared" ref="D76:W76" si="133">D28/D14</f>
        <v>7.8736551613806216E-2</v>
      </c>
      <c r="E76" s="30">
        <f t="shared" si="133"/>
        <v>0.12662140706678851</v>
      </c>
      <c r="F76" s="30">
        <f t="shared" si="133"/>
        <v>7.3776940528680515E-2</v>
      </c>
      <c r="G76" s="30">
        <f t="shared" si="133"/>
        <v>0.11599902359763278</v>
      </c>
      <c r="H76" s="41">
        <f t="shared" si="133"/>
        <v>9.9512546825284862E-2</v>
      </c>
      <c r="I76" s="30">
        <f t="shared" si="133"/>
        <v>0.15599347626762447</v>
      </c>
      <c r="J76" s="30">
        <f t="shared" si="133"/>
        <v>0.16660127108362199</v>
      </c>
      <c r="K76" s="30">
        <f t="shared" si="133"/>
        <v>0.2020245235545686</v>
      </c>
      <c r="L76" s="30">
        <f t="shared" si="133"/>
        <v>0.22231560834167668</v>
      </c>
      <c r="M76" s="41">
        <f t="shared" si="133"/>
        <v>0.18832091095193013</v>
      </c>
      <c r="N76" s="30">
        <f t="shared" si="133"/>
        <v>0.22247539460795823</v>
      </c>
      <c r="O76" s="30">
        <f t="shared" ref="O76" si="134">O28/O14</f>
        <v>0.24611195037709774</v>
      </c>
      <c r="P76" s="30">
        <f t="shared" si="133"/>
        <v>0.24348841588393194</v>
      </c>
      <c r="Q76" s="30">
        <f t="shared" si="133"/>
        <v>0.24715356427559898</v>
      </c>
      <c r="R76" s="41">
        <f t="shared" si="133"/>
        <v>0.24010934302225834</v>
      </c>
      <c r="S76" s="30">
        <f t="shared" si="133"/>
        <v>0.26583424223823904</v>
      </c>
      <c r="T76" s="30">
        <f t="shared" si="133"/>
        <v>0.26813329584122886</v>
      </c>
      <c r="U76" s="30">
        <f t="shared" si="133"/>
        <v>0.27343873140688135</v>
      </c>
      <c r="V76" s="30">
        <f t="shared" si="133"/>
        <v>0.27369704351580804</v>
      </c>
      <c r="W76" s="41">
        <f t="shared" si="133"/>
        <v>0.27052070082562057</v>
      </c>
      <c r="Y76"/>
      <c r="Z76"/>
      <c r="AA76"/>
      <c r="AB76"/>
      <c r="AC76"/>
      <c r="AD76"/>
      <c r="AE76"/>
    </row>
    <row r="77" spans="2:31" s="58" customFormat="1" hidden="1" outlineLevel="1" x14ac:dyDescent="0.3">
      <c r="B77" s="65" t="s">
        <v>45</v>
      </c>
      <c r="C77" s="66"/>
      <c r="D77" s="30">
        <f t="shared" ref="D77:W77" si="135">D30/D14</f>
        <v>0.2051213854337478</v>
      </c>
      <c r="E77" s="30">
        <f t="shared" si="135"/>
        <v>0.23437195752138165</v>
      </c>
      <c r="F77" s="30">
        <f t="shared" si="135"/>
        <v>0.18875502407477956</v>
      </c>
      <c r="G77" s="30">
        <f t="shared" si="135"/>
        <v>0.24242822324582983</v>
      </c>
      <c r="H77" s="41">
        <f t="shared" si="135"/>
        <v>0.21834357551666064</v>
      </c>
      <c r="I77" s="30">
        <f t="shared" si="135"/>
        <v>0.26616485496956754</v>
      </c>
      <c r="J77" s="30">
        <f t="shared" si="135"/>
        <v>0.27459002992708392</v>
      </c>
      <c r="K77" s="30">
        <f t="shared" si="135"/>
        <v>0.29613111857102503</v>
      </c>
      <c r="L77" s="30">
        <f t="shared" si="135"/>
        <v>0.31409426180568933</v>
      </c>
      <c r="M77" s="41">
        <f t="shared" si="135"/>
        <v>0.28887328170032361</v>
      </c>
      <c r="N77" s="30">
        <f t="shared" si="135"/>
        <v>0.31471624732982245</v>
      </c>
      <c r="O77" s="30">
        <f t="shared" ref="O77" si="136">O30/O14</f>
        <v>0.33140488836491372</v>
      </c>
      <c r="P77" s="30">
        <f t="shared" si="135"/>
        <v>0.33437784938574572</v>
      </c>
      <c r="Q77" s="30">
        <f t="shared" si="135"/>
        <v>0.33620989521328815</v>
      </c>
      <c r="R77" s="41">
        <f t="shared" si="135"/>
        <v>0.32947608581739313</v>
      </c>
      <c r="S77" s="30">
        <f t="shared" si="135"/>
        <v>0.35462099540827607</v>
      </c>
      <c r="T77" s="30">
        <f t="shared" si="135"/>
        <v>0.35572930854509038</v>
      </c>
      <c r="U77" s="30">
        <f t="shared" si="135"/>
        <v>0.3597716517938167</v>
      </c>
      <c r="V77" s="30">
        <f t="shared" si="135"/>
        <v>0.35854761686360986</v>
      </c>
      <c r="W77" s="41">
        <f t="shared" si="135"/>
        <v>0.35729817262541069</v>
      </c>
      <c r="Y77"/>
      <c r="Z77"/>
      <c r="AA77"/>
      <c r="AB77"/>
      <c r="AC77"/>
      <c r="AD77"/>
      <c r="AE77"/>
    </row>
    <row r="78" spans="2:31" s="58" customFormat="1" hidden="1" outlineLevel="1" x14ac:dyDescent="0.3">
      <c r="B78" s="78" t="s">
        <v>56</v>
      </c>
      <c r="C78" s="79"/>
      <c r="D78" s="30"/>
      <c r="E78" s="30"/>
      <c r="F78" s="30"/>
      <c r="G78" s="30"/>
      <c r="H78" s="41"/>
      <c r="I78" s="30"/>
      <c r="J78" s="30"/>
      <c r="K78" s="30"/>
      <c r="L78" s="30"/>
      <c r="M78" s="41"/>
      <c r="N78" s="30"/>
      <c r="O78" s="30"/>
      <c r="P78" s="30"/>
      <c r="Q78" s="30"/>
      <c r="R78" s="41"/>
      <c r="S78" s="30"/>
      <c r="T78" s="30"/>
      <c r="U78" s="30"/>
      <c r="V78" s="30"/>
      <c r="W78" s="41"/>
      <c r="Y78"/>
      <c r="Z78"/>
      <c r="AA78"/>
      <c r="AB78"/>
      <c r="AC78"/>
      <c r="AD78"/>
      <c r="AE78"/>
    </row>
    <row r="79" spans="2:31" s="53" customFormat="1" collapsed="1" x14ac:dyDescent="0.3">
      <c r="B79" s="360" t="s">
        <v>54</v>
      </c>
      <c r="C79" s="361"/>
      <c r="D79" s="255"/>
      <c r="E79" s="255"/>
      <c r="F79" s="255"/>
      <c r="G79" s="255"/>
      <c r="H79" s="89"/>
      <c r="I79" s="255"/>
      <c r="J79" s="255"/>
      <c r="K79" s="255"/>
      <c r="L79" s="255"/>
      <c r="M79" s="89"/>
      <c r="N79" s="56"/>
      <c r="O79" s="56"/>
      <c r="P79" s="56"/>
      <c r="Q79" s="56"/>
      <c r="R79" s="89"/>
      <c r="S79" s="56"/>
      <c r="T79" s="56"/>
      <c r="U79" s="56"/>
      <c r="V79" s="56"/>
      <c r="W79" s="89"/>
      <c r="Y79"/>
      <c r="Z79"/>
      <c r="AA79"/>
      <c r="AB79"/>
      <c r="AC79"/>
      <c r="AD79"/>
      <c r="AE79"/>
    </row>
    <row r="80" spans="2:31" s="27" customFormat="1" ht="15" hidden="1" customHeight="1" outlineLevel="1" x14ac:dyDescent="0.3">
      <c r="B80" s="80" t="s">
        <v>66</v>
      </c>
      <c r="C80" s="45"/>
      <c r="D80" s="172">
        <v>-4.0999999999999996</v>
      </c>
      <c r="E80" s="172">
        <v>-4.5999999999999996</v>
      </c>
      <c r="F80" s="172">
        <v>-4.5999999999999996</v>
      </c>
      <c r="G80" s="182">
        <v>-5</v>
      </c>
      <c r="H80" s="174">
        <f>SUM(D80:G80)</f>
        <v>-18.299999999999997</v>
      </c>
      <c r="I80" s="183">
        <v>-5</v>
      </c>
      <c r="J80" s="172">
        <v>-5</v>
      </c>
      <c r="K80" s="172">
        <v>-4.5999999999999996</v>
      </c>
      <c r="L80" s="182">
        <v>-4.9000000000000004</v>
      </c>
      <c r="M80" s="174">
        <f>SUM(I80:L80)</f>
        <v>-19.5</v>
      </c>
      <c r="N80" s="183">
        <v>-5.5</v>
      </c>
      <c r="O80" s="172">
        <v>-5.3</v>
      </c>
      <c r="P80" s="172">
        <f>O80/O82*P82</f>
        <v>-5.9547424495015369</v>
      </c>
      <c r="Q80" s="182">
        <f>P80/P82*Q82</f>
        <v>-6.5138646237130544</v>
      </c>
      <c r="R80" s="174">
        <f>SUM(N80:Q80)</f>
        <v>-23.268607073214593</v>
      </c>
      <c r="S80" s="183">
        <f>Q80/Q82*S82</f>
        <v>-6.5704227599266884</v>
      </c>
      <c r="T80" s="172">
        <f>S80/S82*T82</f>
        <v>-6.9829522660574463</v>
      </c>
      <c r="U80" s="172">
        <f>T80/T82*U82</f>
        <v>-7.4504172455232496</v>
      </c>
      <c r="V80" s="182">
        <f>U80/U82*V82</f>
        <v>-8.1074730687426051</v>
      </c>
      <c r="W80" s="174">
        <f>SUM(S80:V80)</f>
        <v>-29.111265340249993</v>
      </c>
      <c r="X80" s="44"/>
      <c r="Y80"/>
      <c r="Z80"/>
      <c r="AA80"/>
      <c r="AB80"/>
      <c r="AC80"/>
      <c r="AD80"/>
      <c r="AE80"/>
    </row>
    <row r="81" spans="2:31" s="58" customFormat="1" ht="15" hidden="1" customHeight="1" outlineLevel="1" x14ac:dyDescent="0.3">
      <c r="B81" s="195" t="s">
        <v>168</v>
      </c>
      <c r="C81" s="197"/>
      <c r="D81" s="273">
        <v>-79.5</v>
      </c>
      <c r="E81" s="273">
        <v>-79</v>
      </c>
      <c r="F81" s="273">
        <v>-79</v>
      </c>
      <c r="G81" s="274">
        <v>-80</v>
      </c>
      <c r="H81" s="275">
        <f t="shared" ref="H81" si="137">SUM(D81:G81)</f>
        <v>-317.5</v>
      </c>
      <c r="I81" s="276">
        <v>-81.599999999999994</v>
      </c>
      <c r="J81" s="273">
        <v>-80.400000000000006</v>
      </c>
      <c r="K81" s="273">
        <v>-79.8</v>
      </c>
      <c r="L81" s="274">
        <v>-76.8</v>
      </c>
      <c r="M81" s="275">
        <f t="shared" ref="M81" si="138">SUM(I81:L81)</f>
        <v>-318.60000000000002</v>
      </c>
      <c r="N81" s="276">
        <v>-86.2</v>
      </c>
      <c r="O81" s="273">
        <v>-81.900000000000006</v>
      </c>
      <c r="P81" s="273">
        <f>O81/O82*P82</f>
        <v>-92.017623889467146</v>
      </c>
      <c r="Q81" s="274">
        <f>P81/P82*Q82</f>
        <v>-100.65764390228286</v>
      </c>
      <c r="R81" s="275">
        <f t="shared" ref="R81" si="139">SUM(N81:Q81)</f>
        <v>-360.77526779175003</v>
      </c>
      <c r="S81" s="276">
        <f>Q81/Q82*S82</f>
        <v>-101.53162717698034</v>
      </c>
      <c r="T81" s="273">
        <f>S81/S82*T82</f>
        <v>-107.90637558303865</v>
      </c>
      <c r="U81" s="273">
        <f>T81/T82*U82</f>
        <v>-115.13003252987814</v>
      </c>
      <c r="V81" s="274">
        <f>U81/U82*V82</f>
        <v>-125.2834045905697</v>
      </c>
      <c r="W81" s="275">
        <f t="shared" ref="W81" si="140">SUM(S81:V81)</f>
        <v>-449.85143988046684</v>
      </c>
      <c r="X81" s="44"/>
      <c r="Y81"/>
      <c r="Z81"/>
      <c r="AA81"/>
      <c r="AB81"/>
      <c r="AC81"/>
      <c r="AD81"/>
      <c r="AE81"/>
    </row>
    <row r="82" spans="2:31" s="60" customFormat="1" ht="15" hidden="1" customHeight="1" outlineLevel="1" x14ac:dyDescent="0.3">
      <c r="B82" s="81" t="s">
        <v>68</v>
      </c>
      <c r="C82" s="45"/>
      <c r="D82" s="13">
        <f t="shared" ref="D82:O82" si="141">SUM(D80:D81)</f>
        <v>-83.6</v>
      </c>
      <c r="E82" s="13">
        <f t="shared" si="141"/>
        <v>-83.6</v>
      </c>
      <c r="F82" s="13">
        <f t="shared" si="141"/>
        <v>-83.6</v>
      </c>
      <c r="G82" s="184">
        <f t="shared" si="141"/>
        <v>-85</v>
      </c>
      <c r="H82" s="185">
        <f t="shared" si="141"/>
        <v>-335.8</v>
      </c>
      <c r="I82" s="186">
        <f t="shared" si="141"/>
        <v>-86.6</v>
      </c>
      <c r="J82" s="13">
        <f t="shared" si="141"/>
        <v>-85.4</v>
      </c>
      <c r="K82" s="13">
        <f t="shared" si="141"/>
        <v>-84.399999999999991</v>
      </c>
      <c r="L82" s="13">
        <f t="shared" si="141"/>
        <v>-81.7</v>
      </c>
      <c r="M82" s="185">
        <f t="shared" si="141"/>
        <v>-338.1</v>
      </c>
      <c r="N82" s="186">
        <f t="shared" si="141"/>
        <v>-91.7</v>
      </c>
      <c r="O82" s="13">
        <f t="shared" si="141"/>
        <v>-87.2</v>
      </c>
      <c r="P82" s="13">
        <f>-P83*P14</f>
        <v>-97.972366338968683</v>
      </c>
      <c r="Q82" s="184">
        <f>-Q83*Q14</f>
        <v>-107.17150852599592</v>
      </c>
      <c r="R82" s="185">
        <f>SUM(R80:R81)</f>
        <v>-384.04387486496461</v>
      </c>
      <c r="S82" s="186">
        <f>-S83*S14</f>
        <v>-108.10204993690704</v>
      </c>
      <c r="T82" s="13">
        <f>-T83*T14</f>
        <v>-114.88932784909611</v>
      </c>
      <c r="U82" s="13">
        <f>-U83*U14</f>
        <v>-122.58044977540139</v>
      </c>
      <c r="V82" s="184">
        <f>-V83*V14</f>
        <v>-133.39087765931231</v>
      </c>
      <c r="W82" s="185">
        <f>SUM(W80:W81)</f>
        <v>-478.96270522071683</v>
      </c>
      <c r="X82" s="82"/>
      <c r="Y82"/>
      <c r="Z82"/>
      <c r="AA82"/>
      <c r="AB82"/>
      <c r="AC82"/>
      <c r="AD82"/>
      <c r="AE82"/>
    </row>
    <row r="83" spans="2:31" s="58" customFormat="1" ht="15" hidden="1" customHeight="1" outlineLevel="1" x14ac:dyDescent="0.3">
      <c r="B83" s="80" t="s">
        <v>69</v>
      </c>
      <c r="C83" s="45"/>
      <c r="D83" s="30">
        <f t="shared" ref="D83:N83" si="142">-D82/D14</f>
        <v>8.3589969203695547E-2</v>
      </c>
      <c r="E83" s="30">
        <f t="shared" si="142"/>
        <v>7.8261911537827827E-2</v>
      </c>
      <c r="F83" s="30">
        <f t="shared" si="142"/>
        <v>8.3150240349947127E-2</v>
      </c>
      <c r="G83" s="47">
        <f t="shared" si="142"/>
        <v>7.9192940089143307E-2</v>
      </c>
      <c r="H83" s="41">
        <f t="shared" si="142"/>
        <v>8.0972929047410644E-2</v>
      </c>
      <c r="I83" s="46">
        <f t="shared" si="142"/>
        <v>7.8075625168480156E-2</v>
      </c>
      <c r="J83" s="30">
        <f t="shared" si="142"/>
        <v>7.3483984105431457E-2</v>
      </c>
      <c r="K83" s="30">
        <f t="shared" si="142"/>
        <v>6.9307125823637988E-2</v>
      </c>
      <c r="L83" s="30">
        <f t="shared" si="142"/>
        <v>6.2538081634777615E-2</v>
      </c>
      <c r="M83" s="41">
        <f t="shared" si="142"/>
        <v>7.0503435400314993E-2</v>
      </c>
      <c r="N83" s="46">
        <f t="shared" si="142"/>
        <v>6.6289076760148488E-2</v>
      </c>
      <c r="O83" s="30">
        <v>6.8658156852524535E-2</v>
      </c>
      <c r="P83" s="32">
        <f>AVERAGE(O83,N83)</f>
        <v>6.7473616806336512E-2</v>
      </c>
      <c r="Q83" s="68">
        <f>AVERAGE(P83,O83)</f>
        <v>6.8065886829430516E-2</v>
      </c>
      <c r="R83" s="41">
        <f>R82/R14</f>
        <v>-6.611665413318997E-2</v>
      </c>
      <c r="S83" s="70">
        <f>AVERAGE(P83,Q83)</f>
        <v>6.7769751817883514E-2</v>
      </c>
      <c r="T83" s="32">
        <f>AVERAGE(S83,Q83)</f>
        <v>6.7917819323657008E-2</v>
      </c>
      <c r="U83" s="32">
        <f>AVERAGE(T83,S83)</f>
        <v>6.7843785570770254E-2</v>
      </c>
      <c r="V83" s="68">
        <f>AVERAGE(U83,T83)</f>
        <v>6.7880802447213631E-2</v>
      </c>
      <c r="W83" s="41">
        <f>W82/W14</f>
        <v>-6.785510252311952E-2</v>
      </c>
      <c r="Y83"/>
      <c r="Z83"/>
      <c r="AA83"/>
      <c r="AB83"/>
      <c r="AC83"/>
      <c r="AD83"/>
      <c r="AE83"/>
    </row>
    <row r="84" spans="2:31" s="58" customFormat="1" ht="15" hidden="1" customHeight="1" outlineLevel="1" x14ac:dyDescent="0.3">
      <c r="B84" s="80" t="s">
        <v>67</v>
      </c>
      <c r="C84" s="45"/>
      <c r="D84" s="172">
        <v>-18.5</v>
      </c>
      <c r="E84" s="172">
        <v>-18.5</v>
      </c>
      <c r="F84" s="172">
        <v>-18.7</v>
      </c>
      <c r="G84" s="182">
        <v>-18.899999999999999</v>
      </c>
      <c r="H84" s="174">
        <f t="shared" ref="H84:H85" si="143">SUM(D84:G84)</f>
        <v>-74.599999999999994</v>
      </c>
      <c r="I84" s="183">
        <v>-19.5</v>
      </c>
      <c r="J84" s="172">
        <v>-22</v>
      </c>
      <c r="K84" s="172">
        <v>-22.8</v>
      </c>
      <c r="L84" s="182">
        <v>-19.600000000000001</v>
      </c>
      <c r="M84" s="174">
        <f t="shared" ref="M84:M85" si="144">SUM(I84:L84)</f>
        <v>-83.9</v>
      </c>
      <c r="N84" s="183">
        <v>-17.899999999999999</v>
      </c>
      <c r="O84" s="172">
        <v>-13.6</v>
      </c>
      <c r="P84" s="172">
        <f>O84/O86*P86</f>
        <v>-14.371779141104295</v>
      </c>
      <c r="Q84" s="182">
        <f>P84/P86*Q86</f>
        <v>-13.98588957055215</v>
      </c>
      <c r="R84" s="174">
        <f t="shared" ref="R84:R85" si="145">SUM(N84:Q84)</f>
        <v>-59.857668711656444</v>
      </c>
      <c r="S84" s="183">
        <f>Q84/Q86*S86</f>
        <v>-14.178834355828222</v>
      </c>
      <c r="T84" s="172">
        <f>S84/S86*T86</f>
        <v>-14.082361963190188</v>
      </c>
      <c r="U84" s="172">
        <f>T84/T86*U86</f>
        <v>-14.130598159509203</v>
      </c>
      <c r="V84" s="182">
        <f>U84/U86*V86</f>
        <v>-14.106480061349695</v>
      </c>
      <c r="W84" s="174">
        <f t="shared" ref="W84:W85" si="146">SUM(S84:V84)</f>
        <v>-56.498274539877308</v>
      </c>
      <c r="Y84"/>
      <c r="Z84"/>
      <c r="AA84"/>
      <c r="AB84"/>
      <c r="AC84"/>
      <c r="AD84"/>
      <c r="AE84"/>
    </row>
    <row r="85" spans="2:31" s="58" customFormat="1" ht="15" hidden="1" customHeight="1" outlineLevel="1" x14ac:dyDescent="0.45">
      <c r="B85" s="80" t="s">
        <v>169</v>
      </c>
      <c r="C85" s="45"/>
      <c r="D85" s="277">
        <v>-13.6</v>
      </c>
      <c r="E85" s="277">
        <v>-13.4</v>
      </c>
      <c r="F85" s="277">
        <v>-13.1</v>
      </c>
      <c r="G85" s="278">
        <v>-12.4</v>
      </c>
      <c r="H85" s="279">
        <f t="shared" si="143"/>
        <v>-52.5</v>
      </c>
      <c r="I85" s="280">
        <v>-14.3</v>
      </c>
      <c r="J85" s="277">
        <v>-18.100000000000001</v>
      </c>
      <c r="K85" s="277">
        <v>-18.2</v>
      </c>
      <c r="L85" s="278">
        <v>-18.100000000000001</v>
      </c>
      <c r="M85" s="279">
        <f t="shared" si="144"/>
        <v>-68.700000000000017</v>
      </c>
      <c r="N85" s="280">
        <v>-18.399999999999999</v>
      </c>
      <c r="O85" s="277">
        <v>-19</v>
      </c>
      <c r="P85" s="277">
        <f>O85/O86*P86</f>
        <v>-20.078220858895705</v>
      </c>
      <c r="Q85" s="278">
        <f>P85/P86*Q86</f>
        <v>-19.539110429447856</v>
      </c>
      <c r="R85" s="279">
        <f t="shared" si="145"/>
        <v>-77.017331288343556</v>
      </c>
      <c r="S85" s="280">
        <f>Q85/Q86*S86</f>
        <v>-19.808665644171782</v>
      </c>
      <c r="T85" s="277">
        <f>S85/S86*T86</f>
        <v>-19.673888036809821</v>
      </c>
      <c r="U85" s="277">
        <f>T85/T86*U86</f>
        <v>-19.741276840490798</v>
      </c>
      <c r="V85" s="278">
        <f>U85/U86*V86</f>
        <v>-19.707582438650309</v>
      </c>
      <c r="W85" s="279">
        <f t="shared" si="146"/>
        <v>-78.931412960122714</v>
      </c>
      <c r="Y85"/>
      <c r="Z85"/>
      <c r="AA85"/>
      <c r="AB85"/>
      <c r="AC85"/>
      <c r="AD85"/>
      <c r="AE85"/>
    </row>
    <row r="86" spans="2:31" s="58" customFormat="1" ht="15" hidden="1" customHeight="1" outlineLevel="1" x14ac:dyDescent="0.3">
      <c r="B86" s="81" t="s">
        <v>70</v>
      </c>
      <c r="C86" s="45"/>
      <c r="D86" s="13">
        <f t="shared" ref="D86:O86" si="147">SUM(D84:D85)</f>
        <v>-32.1</v>
      </c>
      <c r="E86" s="13">
        <f t="shared" si="147"/>
        <v>-31.9</v>
      </c>
      <c r="F86" s="13">
        <f t="shared" si="147"/>
        <v>-31.799999999999997</v>
      </c>
      <c r="G86" s="184">
        <f t="shared" si="147"/>
        <v>-31.299999999999997</v>
      </c>
      <c r="H86" s="185">
        <f t="shared" si="147"/>
        <v>-127.1</v>
      </c>
      <c r="I86" s="186">
        <f t="shared" si="147"/>
        <v>-33.799999999999997</v>
      </c>
      <c r="J86" s="13">
        <f t="shared" si="147"/>
        <v>-40.1</v>
      </c>
      <c r="K86" s="13">
        <f t="shared" si="147"/>
        <v>-41</v>
      </c>
      <c r="L86" s="13">
        <f t="shared" si="147"/>
        <v>-37.700000000000003</v>
      </c>
      <c r="M86" s="185">
        <f t="shared" si="147"/>
        <v>-152.60000000000002</v>
      </c>
      <c r="N86" s="186">
        <f t="shared" si="147"/>
        <v>-36.299999999999997</v>
      </c>
      <c r="O86" s="13">
        <f t="shared" si="147"/>
        <v>-32.6</v>
      </c>
      <c r="P86" s="283">
        <f t="shared" ref="P86:Q89" si="148">AVERAGE(O86,N86)</f>
        <v>-34.450000000000003</v>
      </c>
      <c r="Q86" s="284">
        <f t="shared" si="148"/>
        <v>-33.525000000000006</v>
      </c>
      <c r="R86" s="185">
        <f>SUM(R84:R85)</f>
        <v>-136.875</v>
      </c>
      <c r="S86" s="282">
        <f>AVERAGE(P86,Q86)</f>
        <v>-33.987500000000004</v>
      </c>
      <c r="T86" s="283">
        <f>AVERAGE(S86,Q86)</f>
        <v>-33.756250000000009</v>
      </c>
      <c r="U86" s="283">
        <f t="shared" ref="U86:V89" si="149">AVERAGE(T86,S86)</f>
        <v>-33.871875000000003</v>
      </c>
      <c r="V86" s="284">
        <f t="shared" si="149"/>
        <v>-33.814062500000006</v>
      </c>
      <c r="W86" s="185">
        <f>SUM(W84:W85)</f>
        <v>-135.42968750000003</v>
      </c>
      <c r="Y86"/>
      <c r="Z86"/>
      <c r="AA86"/>
      <c r="AB86"/>
      <c r="AC86"/>
      <c r="AD86"/>
      <c r="AE86"/>
    </row>
    <row r="87" spans="2:31" s="59" customFormat="1" ht="15" hidden="1" customHeight="1" outlineLevel="1" x14ac:dyDescent="0.3">
      <c r="B87" s="195" t="s">
        <v>170</v>
      </c>
      <c r="C87" s="95"/>
      <c r="D87" s="172">
        <v>-0.7</v>
      </c>
      <c r="E87" s="172">
        <v>0.4</v>
      </c>
      <c r="F87" s="172">
        <v>-0.2</v>
      </c>
      <c r="G87" s="182">
        <v>-19.399999999999999</v>
      </c>
      <c r="H87" s="174">
        <f>SUM(D87:G87)</f>
        <v>-19.899999999999999</v>
      </c>
      <c r="I87" s="183">
        <v>-1.8</v>
      </c>
      <c r="J87" s="172">
        <v>0</v>
      </c>
      <c r="K87" s="172">
        <v>0.8</v>
      </c>
      <c r="L87" s="172">
        <v>-0.5</v>
      </c>
      <c r="M87" s="174">
        <f>SUM(I87:L87)</f>
        <v>-1.5</v>
      </c>
      <c r="N87" s="183">
        <v>0.4</v>
      </c>
      <c r="O87" s="172">
        <v>0.5</v>
      </c>
      <c r="P87" s="286">
        <f t="shared" si="148"/>
        <v>0.45</v>
      </c>
      <c r="Q87" s="287">
        <f t="shared" si="148"/>
        <v>0.47499999999999998</v>
      </c>
      <c r="R87" s="174">
        <f>SUM(N87:Q87)</f>
        <v>1.8250000000000002</v>
      </c>
      <c r="S87" s="285">
        <f>AVERAGE(P87,Q87)</f>
        <v>0.46250000000000002</v>
      </c>
      <c r="T87" s="286">
        <f>AVERAGE(S87,Q87)</f>
        <v>0.46875</v>
      </c>
      <c r="U87" s="286">
        <f t="shared" si="149"/>
        <v>0.46562500000000001</v>
      </c>
      <c r="V87" s="287">
        <f t="shared" si="149"/>
        <v>0.46718749999999998</v>
      </c>
      <c r="W87" s="174">
        <f>SUM(S87:V87)</f>
        <v>1.8640625000000002</v>
      </c>
    </row>
    <row r="88" spans="2:31" s="59" customFormat="1" ht="15" hidden="1" customHeight="1" outlineLevel="1" x14ac:dyDescent="0.3">
      <c r="B88" s="80" t="s">
        <v>199</v>
      </c>
      <c r="C88" s="95"/>
      <c r="D88" s="172">
        <v>-10</v>
      </c>
      <c r="E88" s="90">
        <v>0</v>
      </c>
      <c r="F88" s="90">
        <v>0</v>
      </c>
      <c r="G88" s="93">
        <v>0</v>
      </c>
      <c r="H88" s="174">
        <f t="shared" ref="H88" si="150">SUM(D88:G88)</f>
        <v>-10</v>
      </c>
      <c r="I88" s="94">
        <v>0</v>
      </c>
      <c r="J88" s="90">
        <v>0</v>
      </c>
      <c r="K88" s="172">
        <v>10</v>
      </c>
      <c r="L88" s="93">
        <v>0</v>
      </c>
      <c r="M88" s="174">
        <f t="shared" ref="M88" si="151">SUM(I88:L88)</f>
        <v>10</v>
      </c>
      <c r="N88" s="183">
        <v>0</v>
      </c>
      <c r="O88" s="172">
        <f>AVERAGE(N88,L88)</f>
        <v>0</v>
      </c>
      <c r="P88" s="286">
        <f t="shared" si="148"/>
        <v>0</v>
      </c>
      <c r="Q88" s="287">
        <f t="shared" si="148"/>
        <v>0</v>
      </c>
      <c r="R88" s="174">
        <f t="shared" ref="R88:R89" si="152">SUM(N88:Q88)</f>
        <v>0</v>
      </c>
      <c r="S88" s="285">
        <f>AVERAGE(P88,Q88)</f>
        <v>0</v>
      </c>
      <c r="T88" s="286">
        <f>AVERAGE(S88,Q88)</f>
        <v>0</v>
      </c>
      <c r="U88" s="286">
        <f t="shared" si="149"/>
        <v>0</v>
      </c>
      <c r="V88" s="287">
        <f t="shared" si="149"/>
        <v>0</v>
      </c>
      <c r="W88" s="174">
        <f t="shared" ref="W88:W89" si="153">SUM(S88:V88)</f>
        <v>0</v>
      </c>
      <c r="Y88"/>
      <c r="Z88"/>
      <c r="AA88"/>
      <c r="AB88"/>
      <c r="AC88"/>
      <c r="AD88"/>
      <c r="AE88"/>
    </row>
    <row r="89" spans="2:31" s="59" customFormat="1" ht="15" hidden="1" customHeight="1" outlineLevel="1" x14ac:dyDescent="0.3">
      <c r="B89" s="181" t="s">
        <v>200</v>
      </c>
      <c r="C89" s="95"/>
      <c r="D89" s="172">
        <v>0.4</v>
      </c>
      <c r="E89" s="172">
        <v>-0.6</v>
      </c>
      <c r="F89" s="172">
        <v>-0.7</v>
      </c>
      <c r="G89" s="172">
        <v>-0.3</v>
      </c>
      <c r="H89" s="174">
        <f>SUM(D89:G89)</f>
        <v>-1.2</v>
      </c>
      <c r="I89" s="172">
        <v>-1.4</v>
      </c>
      <c r="J89" s="172">
        <v>-0.2</v>
      </c>
      <c r="K89" s="172">
        <v>1.3</v>
      </c>
      <c r="L89" s="172">
        <f>-21.415-0.622</f>
        <v>-22.036999999999999</v>
      </c>
      <c r="M89" s="183">
        <f>SUM(I89:L89)</f>
        <v>-22.337</v>
      </c>
      <c r="N89" s="183">
        <v>1.2</v>
      </c>
      <c r="O89" s="172">
        <v>3.3180000000000001</v>
      </c>
      <c r="P89" s="286">
        <f t="shared" si="148"/>
        <v>2.2589999999999999</v>
      </c>
      <c r="Q89" s="287">
        <f t="shared" si="148"/>
        <v>2.7885</v>
      </c>
      <c r="R89" s="174">
        <f t="shared" si="152"/>
        <v>9.5655000000000001</v>
      </c>
      <c r="S89" s="285">
        <f>AVERAGE(P89,Q89)</f>
        <v>2.5237499999999997</v>
      </c>
      <c r="T89" s="286">
        <f>AVERAGE(S89,Q89)</f>
        <v>2.6561249999999998</v>
      </c>
      <c r="U89" s="286">
        <f t="shared" si="149"/>
        <v>2.5899374999999996</v>
      </c>
      <c r="V89" s="287">
        <f t="shared" si="149"/>
        <v>2.6230312499999995</v>
      </c>
      <c r="W89" s="174">
        <f t="shared" si="153"/>
        <v>10.392843749999997</v>
      </c>
      <c r="Y89"/>
      <c r="Z89"/>
      <c r="AA89"/>
      <c r="AB89"/>
      <c r="AC89"/>
      <c r="AD89"/>
      <c r="AE89"/>
    </row>
    <row r="90" spans="2:31" s="59" customFormat="1" ht="15" hidden="1" customHeight="1" outlineLevel="1" x14ac:dyDescent="0.3">
      <c r="B90" s="181" t="s">
        <v>201</v>
      </c>
      <c r="C90" s="95"/>
      <c r="D90" s="172">
        <v>22.4</v>
      </c>
      <c r="E90" s="172">
        <v>16.8</v>
      </c>
      <c r="F90" s="172">
        <v>19.100000000000001</v>
      </c>
      <c r="G90" s="182">
        <v>27.9</v>
      </c>
      <c r="H90" s="174">
        <f>SUM(D90:G90)</f>
        <v>86.2</v>
      </c>
      <c r="I90" s="183">
        <v>-18.7</v>
      </c>
      <c r="J90" s="172">
        <v>30.8</v>
      </c>
      <c r="K90" s="172">
        <v>15.1</v>
      </c>
      <c r="L90" s="182">
        <v>8.6739999999999995</v>
      </c>
      <c r="M90" s="174">
        <f>SUM(I90:L90)</f>
        <v>35.874000000000002</v>
      </c>
      <c r="N90" s="183">
        <v>50.4</v>
      </c>
      <c r="O90" s="172">
        <v>9.3000000000000007</v>
      </c>
      <c r="P90" s="172">
        <f t="shared" ref="P90:Q90" si="154">-(P82+P86+P87+P88+P89)*P91</f>
        <v>12.971336633896872</v>
      </c>
      <c r="Q90" s="172">
        <f t="shared" si="154"/>
        <v>12.381673444060148</v>
      </c>
      <c r="R90" s="174">
        <f>SUM(N90:Q90)</f>
        <v>85.053010077957026</v>
      </c>
      <c r="S90" s="183">
        <f t="shared" ref="S90:V90" si="155">-(S82+S86+S87+S88+S89)*S91</f>
        <v>13.22124202332677</v>
      </c>
      <c r="T90" s="172">
        <f t="shared" si="155"/>
        <v>13.470752668961257</v>
      </c>
      <c r="U90" s="172">
        <f t="shared" si="155"/>
        <v>14.38980782376486</v>
      </c>
      <c r="V90" s="172">
        <f t="shared" si="155"/>
        <v>15.293611993405191</v>
      </c>
      <c r="W90" s="174">
        <f>SUM(S90:V90)</f>
        <v>56.375414509458082</v>
      </c>
      <c r="Y90"/>
      <c r="Z90"/>
      <c r="AA90"/>
      <c r="AB90"/>
      <c r="AC90"/>
      <c r="AD90"/>
      <c r="AE90"/>
    </row>
    <row r="91" spans="2:31" s="59" customFormat="1" ht="15" hidden="1" customHeight="1" outlineLevel="1" x14ac:dyDescent="0.3">
      <c r="B91" s="195" t="s">
        <v>202</v>
      </c>
      <c r="C91" s="95"/>
      <c r="D91" s="30">
        <f>-D90/(D82+D86+D87+D88+D89)</f>
        <v>0.17777777777777778</v>
      </c>
      <c r="E91" s="30">
        <f t="shared" ref="E91:W91" si="156">-E90/(E82+E86+E87+E88+E89)</f>
        <v>0.14520311149524634</v>
      </c>
      <c r="F91" s="30">
        <f t="shared" si="156"/>
        <v>0.16423043852106622</v>
      </c>
      <c r="G91" s="47">
        <f t="shared" si="156"/>
        <v>0.2051470588235294</v>
      </c>
      <c r="H91" s="41">
        <f t="shared" si="156"/>
        <v>0.1744939271255061</v>
      </c>
      <c r="I91" s="46">
        <f t="shared" si="156"/>
        <v>-0.15129449838187703</v>
      </c>
      <c r="J91" s="30">
        <f t="shared" si="156"/>
        <v>0.24502784407319014</v>
      </c>
      <c r="K91" s="30">
        <f t="shared" si="156"/>
        <v>0.13327449249779347</v>
      </c>
      <c r="L91" s="47">
        <f t="shared" si="156"/>
        <v>6.1111619944059677E-2</v>
      </c>
      <c r="M91" s="41">
        <f t="shared" si="156"/>
        <v>7.1102813074165022E-2</v>
      </c>
      <c r="N91" s="46">
        <f t="shared" si="156"/>
        <v>0.39873417721518989</v>
      </c>
      <c r="O91" s="30">
        <f t="shared" si="156"/>
        <v>8.0184856270800645E-2</v>
      </c>
      <c r="P91" s="32">
        <v>0.1</v>
      </c>
      <c r="Q91" s="68">
        <f>AVERAGE(P91,O91)</f>
        <v>9.0092428135400332E-2</v>
      </c>
      <c r="R91" s="41">
        <f t="shared" si="156"/>
        <v>0.1669249727269807</v>
      </c>
      <c r="S91" s="70">
        <f>AVERAGE(P91,Q91)</f>
        <v>9.5046214067700169E-2</v>
      </c>
      <c r="T91" s="32">
        <f>AVERAGE(S91,Q91)</f>
        <v>9.256932110155025E-2</v>
      </c>
      <c r="U91" s="32">
        <f>AVERAGE(T91,S91)</f>
        <v>9.380776758462521E-2</v>
      </c>
      <c r="V91" s="68">
        <f>AVERAGE(U91,T91)</f>
        <v>9.3188544343087737E-2</v>
      </c>
      <c r="W91" s="41">
        <f t="shared" si="156"/>
        <v>9.3625796479609641E-2</v>
      </c>
      <c r="Y91" s="58"/>
      <c r="Z91" s="58"/>
      <c r="AA91" s="58"/>
      <c r="AB91" s="58"/>
      <c r="AC91" s="58"/>
      <c r="AD91" s="58"/>
      <c r="AE91" s="58"/>
    </row>
    <row r="92" spans="2:31" s="27" customFormat="1" ht="15" customHeight="1" collapsed="1" x14ac:dyDescent="0.3">
      <c r="B92" s="349" t="s">
        <v>65</v>
      </c>
      <c r="C92" s="350"/>
      <c r="D92" s="55"/>
      <c r="E92" s="55"/>
      <c r="F92" s="55"/>
      <c r="G92" s="54"/>
      <c r="H92" s="49"/>
      <c r="I92" s="48"/>
      <c r="J92" s="55"/>
      <c r="K92" s="55"/>
      <c r="L92" s="54"/>
      <c r="M92" s="49"/>
      <c r="N92" s="48"/>
      <c r="O92" s="55"/>
      <c r="P92" s="55"/>
      <c r="Q92" s="54"/>
      <c r="R92" s="49"/>
      <c r="S92" s="48"/>
      <c r="T92" s="55"/>
      <c r="U92" s="55"/>
      <c r="V92" s="54"/>
      <c r="W92" s="49"/>
      <c r="Y92"/>
      <c r="Z92"/>
      <c r="AA92"/>
      <c r="AB92"/>
      <c r="AC92"/>
      <c r="AD92"/>
      <c r="AE92"/>
    </row>
    <row r="93" spans="2:31" s="27" customFormat="1" ht="15" hidden="1" customHeight="1" outlineLevel="1" x14ac:dyDescent="0.45">
      <c r="B93" s="342" t="s">
        <v>20</v>
      </c>
      <c r="C93" s="351"/>
      <c r="D93" s="2"/>
      <c r="E93" s="30"/>
      <c r="F93" s="30"/>
      <c r="G93" s="30"/>
      <c r="H93" s="41"/>
      <c r="I93" s="30">
        <f>(I39+I97)/G39-1</f>
        <v>6.0828227509615029E-3</v>
      </c>
      <c r="J93" s="30">
        <f>(J39+J97)/I39-1</f>
        <v>6.287668870826213E-3</v>
      </c>
      <c r="K93" s="30">
        <f>(K39+K97)/J39-1</f>
        <v>2.0829578000760574E-3</v>
      </c>
      <c r="L93" s="30">
        <f>(L39+L97)/K39-1</f>
        <v>2.4085995628020385E-3</v>
      </c>
      <c r="M93" s="300"/>
      <c r="N93" s="30">
        <f>(N39+N97)/L39-1</f>
        <v>4.4965327939900934E-3</v>
      </c>
      <c r="O93" s="30">
        <f>(O39+O97)/M39-1</f>
        <v>6.9371905875565965E-3</v>
      </c>
      <c r="P93" s="32">
        <f>O93</f>
        <v>6.9371905875565965E-3</v>
      </c>
      <c r="Q93" s="32">
        <f>P93</f>
        <v>6.9371905875565965E-3</v>
      </c>
      <c r="R93" s="300"/>
      <c r="S93" s="32">
        <f>Q93</f>
        <v>6.9371905875565965E-3</v>
      </c>
      <c r="T93" s="32">
        <f t="shared" ref="T93:V94" si="157">S93</f>
        <v>6.9371905875565965E-3</v>
      </c>
      <c r="U93" s="32">
        <f t="shared" si="157"/>
        <v>6.9371905875565965E-3</v>
      </c>
      <c r="V93" s="32">
        <f t="shared" si="157"/>
        <v>6.9371905875565965E-3</v>
      </c>
      <c r="W93" s="10"/>
      <c r="Y93"/>
      <c r="Z93"/>
      <c r="AA93"/>
      <c r="AB93"/>
      <c r="AC93"/>
      <c r="AD93"/>
      <c r="AE93"/>
    </row>
    <row r="94" spans="2:31" s="27" customFormat="1" ht="15" hidden="1" customHeight="1" outlineLevel="1" x14ac:dyDescent="0.45">
      <c r="B94" s="342" t="s">
        <v>21</v>
      </c>
      <c r="C94" s="351"/>
      <c r="D94" s="2"/>
      <c r="E94" s="30"/>
      <c r="F94" s="30"/>
      <c r="G94" s="30"/>
      <c r="H94" s="41"/>
      <c r="I94" s="30">
        <f>(I40+I97)/G40-1</f>
        <v>4.877318204122183E-3</v>
      </c>
      <c r="J94" s="30">
        <f>(J40+J97)/I40-1</f>
        <v>1.2925446184037792E-3</v>
      </c>
      <c r="K94" s="30">
        <f>(K40+K97)/J40-1</f>
        <v>3.8114489835476828E-3</v>
      </c>
      <c r="L94" s="30">
        <f>(L40+L97)/K40-1</f>
        <v>3.262100911608945E-3</v>
      </c>
      <c r="M94" s="300"/>
      <c r="N94" s="30">
        <f>(N40+N97)/L40-1</f>
        <v>2.3003407033825862E-3</v>
      </c>
      <c r="O94" s="30">
        <f>(O40+O97)/M40-1</f>
        <v>1.7109700336253031E-3</v>
      </c>
      <c r="P94" s="32">
        <f>O94</f>
        <v>1.7109700336253031E-3</v>
      </c>
      <c r="Q94" s="32">
        <f>P94</f>
        <v>1.7109700336253031E-3</v>
      </c>
      <c r="R94" s="300"/>
      <c r="S94" s="32">
        <f>Q94</f>
        <v>1.7109700336253031E-3</v>
      </c>
      <c r="T94" s="32">
        <f t="shared" si="157"/>
        <v>1.7109700336253031E-3</v>
      </c>
      <c r="U94" s="32">
        <f t="shared" si="157"/>
        <v>1.7109700336253031E-3</v>
      </c>
      <c r="V94" s="32">
        <f t="shared" si="157"/>
        <v>1.7109700336253031E-3</v>
      </c>
      <c r="W94" s="10"/>
      <c r="Y94"/>
      <c r="Z94"/>
      <c r="AA94"/>
      <c r="AB94"/>
      <c r="AC94"/>
      <c r="AD94"/>
      <c r="AE94"/>
    </row>
    <row r="95" spans="2:31" s="75" customFormat="1" ht="15" hidden="1" customHeight="1" outlineLevel="1" x14ac:dyDescent="0.45">
      <c r="B95" s="342" t="s">
        <v>22</v>
      </c>
      <c r="C95" s="351"/>
      <c r="D95" s="190"/>
      <c r="E95" s="2"/>
      <c r="F95" s="2"/>
      <c r="G95" s="2"/>
      <c r="H95" s="10"/>
      <c r="I95" s="189">
        <v>72.39</v>
      </c>
      <c r="J95" s="189">
        <v>74.44</v>
      </c>
      <c r="K95" s="189">
        <v>75.930000000000007</v>
      </c>
      <c r="L95" s="189">
        <v>83.94</v>
      </c>
      <c r="M95" s="290"/>
      <c r="N95" s="189">
        <v>88.67</v>
      </c>
      <c r="O95" s="189">
        <f>O96/O97</f>
        <v>93.181818181818173</v>
      </c>
      <c r="P95" s="281">
        <v>100</v>
      </c>
      <c r="Q95" s="281">
        <v>100</v>
      </c>
      <c r="R95" s="290"/>
      <c r="S95" s="281">
        <v>100</v>
      </c>
      <c r="T95" s="281">
        <v>100</v>
      </c>
      <c r="U95" s="281">
        <v>100</v>
      </c>
      <c r="V95" s="281">
        <v>100</v>
      </c>
      <c r="W95" s="290"/>
      <c r="X95" s="16"/>
      <c r="Y95"/>
      <c r="Z95"/>
      <c r="AA95"/>
      <c r="AB95"/>
      <c r="AC95"/>
      <c r="AD95"/>
      <c r="AE95"/>
    </row>
    <row r="96" spans="2:31" s="75" customFormat="1" ht="15" hidden="1" customHeight="1" outlineLevel="1" x14ac:dyDescent="0.45">
      <c r="B96" s="342" t="s">
        <v>23</v>
      </c>
      <c r="C96" s="351"/>
      <c r="D96" s="135"/>
      <c r="E96" s="2"/>
      <c r="F96" s="2"/>
      <c r="G96" s="2"/>
      <c r="H96" s="10"/>
      <c r="I96" s="172">
        <v>173.73599999999999</v>
      </c>
      <c r="J96" s="289">
        <v>193.54400000000001</v>
      </c>
      <c r="K96" s="172">
        <v>129.08099999999999</v>
      </c>
      <c r="L96" s="172">
        <v>117.51600000000001</v>
      </c>
      <c r="M96" s="31"/>
      <c r="N96" s="43">
        <v>133.005</v>
      </c>
      <c r="O96" s="43">
        <v>205</v>
      </c>
      <c r="P96" s="136">
        <v>150</v>
      </c>
      <c r="Q96" s="136">
        <v>150</v>
      </c>
      <c r="R96" s="31"/>
      <c r="S96" s="136">
        <v>150</v>
      </c>
      <c r="T96" s="136">
        <v>150</v>
      </c>
      <c r="U96" s="136">
        <v>150</v>
      </c>
      <c r="V96" s="136">
        <v>150</v>
      </c>
      <c r="W96" s="31"/>
      <c r="X96" s="16"/>
      <c r="Y96"/>
      <c r="Z96"/>
      <c r="AA96"/>
      <c r="AB96"/>
      <c r="AC96"/>
      <c r="AD96"/>
      <c r="AE96"/>
    </row>
    <row r="97" spans="2:38" s="75" customFormat="1" ht="15" hidden="1" customHeight="1" outlineLevel="1" x14ac:dyDescent="0.45">
      <c r="B97" s="342" t="s">
        <v>24</v>
      </c>
      <c r="C97" s="351"/>
      <c r="D97" s="33">
        <v>0</v>
      </c>
      <c r="E97" s="33">
        <f t="shared" ref="E97:G97" si="158">IF((E96)&gt;0,(E96/E95),0)</f>
        <v>0</v>
      </c>
      <c r="F97" s="33">
        <f t="shared" si="158"/>
        <v>0</v>
      </c>
      <c r="G97" s="33">
        <f t="shared" si="158"/>
        <v>0</v>
      </c>
      <c r="H97" s="10"/>
      <c r="I97" s="33">
        <v>2.4</v>
      </c>
      <c r="J97" s="33">
        <v>2.6</v>
      </c>
      <c r="K97" s="33">
        <v>1.7</v>
      </c>
      <c r="L97" s="33">
        <v>1.4470000000000001</v>
      </c>
      <c r="M97" s="191"/>
      <c r="N97" s="33">
        <f>IF((N96)&gt;0,(N96/N95),0)</f>
        <v>1.5</v>
      </c>
      <c r="O97" s="33">
        <v>2.2000000000000002</v>
      </c>
      <c r="P97" s="33">
        <f t="shared" ref="P97" si="159">IF((P96)&gt;0,(P96/P95),0)</f>
        <v>1.5</v>
      </c>
      <c r="Q97" s="33">
        <f t="shared" ref="Q97" si="160">IF((Q96)&gt;0,(Q96/Q95),0)</f>
        <v>1.5</v>
      </c>
      <c r="R97" s="40"/>
      <c r="S97" s="33">
        <f>IF((S96)&gt;0,(S96/S95),0)</f>
        <v>1.5</v>
      </c>
      <c r="T97" s="33">
        <f t="shared" ref="T97" si="161">IF((T96)&gt;0,(T96/T95),0)</f>
        <v>1.5</v>
      </c>
      <c r="U97" s="33">
        <f t="shared" ref="U97" si="162">IF((U96)&gt;0,(U96/U95),0)</f>
        <v>1.5</v>
      </c>
      <c r="V97" s="33">
        <f t="shared" ref="V97" si="163">IF((V96)&gt;0,(V96/V95),0)</f>
        <v>1.5</v>
      </c>
      <c r="W97" s="40"/>
      <c r="X97" s="16"/>
    </row>
    <row r="98" spans="2:38" s="27" customFormat="1" ht="15" customHeight="1" collapsed="1" x14ac:dyDescent="0.45">
      <c r="B98" s="67" t="s">
        <v>19</v>
      </c>
      <c r="C98" s="29"/>
      <c r="D98" s="133"/>
      <c r="E98" s="133"/>
      <c r="F98" s="133"/>
      <c r="G98" s="133"/>
      <c r="H98" s="134"/>
      <c r="I98" s="133"/>
      <c r="J98" s="133"/>
      <c r="K98" s="133"/>
      <c r="L98" s="133"/>
      <c r="M98" s="134"/>
      <c r="N98" s="133"/>
      <c r="O98" s="133"/>
      <c r="P98" s="133"/>
      <c r="Q98" s="133"/>
      <c r="R98" s="134"/>
      <c r="S98" s="133"/>
      <c r="T98" s="133"/>
      <c r="U98" s="133"/>
      <c r="V98" s="133"/>
      <c r="W98" s="134"/>
    </row>
    <row r="99" spans="2:38" s="58" customFormat="1" ht="15" customHeight="1" x14ac:dyDescent="0.3">
      <c r="B99" s="23"/>
      <c r="C99" s="119"/>
      <c r="D99" s="43"/>
      <c r="E99" s="43"/>
      <c r="F99" s="43"/>
      <c r="G99" s="43"/>
      <c r="H99" s="43"/>
      <c r="I99" s="43"/>
      <c r="J99" s="43"/>
      <c r="K99" s="43"/>
      <c r="L99" s="43"/>
      <c r="M99" s="43"/>
      <c r="N99" s="43"/>
      <c r="O99" s="43"/>
      <c r="P99" s="43"/>
      <c r="Q99" s="43"/>
      <c r="R99" s="43"/>
      <c r="S99" s="43"/>
      <c r="T99" s="43"/>
      <c r="U99" s="43"/>
      <c r="V99" s="43"/>
      <c r="W99" s="43"/>
      <c r="X99" s="88"/>
    </row>
    <row r="100" spans="2:38" s="58" customFormat="1" ht="15.6" x14ac:dyDescent="0.3">
      <c r="B100" s="332" t="s">
        <v>84</v>
      </c>
      <c r="C100" s="333"/>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row>
    <row r="101" spans="2:38" s="58" customFormat="1" hidden="1" outlineLevel="1" x14ac:dyDescent="0.3">
      <c r="B101" s="352" t="s">
        <v>0</v>
      </c>
      <c r="C101" s="353"/>
      <c r="D101" s="61" t="s">
        <v>183</v>
      </c>
      <c r="E101" s="61" t="s">
        <v>184</v>
      </c>
      <c r="F101" s="61" t="s">
        <v>185</v>
      </c>
      <c r="G101" s="61" t="s">
        <v>186</v>
      </c>
      <c r="H101" s="61" t="s">
        <v>186</v>
      </c>
      <c r="I101" s="61" t="s">
        <v>187</v>
      </c>
      <c r="J101" s="61" t="s">
        <v>188</v>
      </c>
      <c r="K101" s="61" t="s">
        <v>189</v>
      </c>
      <c r="L101" s="61" t="s">
        <v>190</v>
      </c>
      <c r="M101" s="61" t="s">
        <v>190</v>
      </c>
      <c r="N101" s="61" t="s">
        <v>191</v>
      </c>
      <c r="O101" s="314" t="s">
        <v>192</v>
      </c>
    </row>
    <row r="102" spans="2:38" s="58" customFormat="1" ht="16.2" hidden="1" outlineLevel="1" x14ac:dyDescent="0.45">
      <c r="B102" s="352"/>
      <c r="C102" s="353"/>
      <c r="D102" s="62" t="s">
        <v>25</v>
      </c>
      <c r="E102" s="62" t="s">
        <v>26</v>
      </c>
      <c r="F102" s="62" t="s">
        <v>27</v>
      </c>
      <c r="G102" s="62" t="s">
        <v>28</v>
      </c>
      <c r="H102" s="62" t="s">
        <v>13</v>
      </c>
      <c r="I102" s="62" t="s">
        <v>29</v>
      </c>
      <c r="J102" s="62" t="s">
        <v>30</v>
      </c>
      <c r="K102" s="62" t="s">
        <v>37</v>
      </c>
      <c r="L102" s="62" t="s">
        <v>72</v>
      </c>
      <c r="M102" s="62" t="s">
        <v>73</v>
      </c>
      <c r="N102" s="62" t="s">
        <v>172</v>
      </c>
      <c r="O102" s="303" t="s">
        <v>212</v>
      </c>
    </row>
    <row r="103" spans="2:38" s="58" customFormat="1" hidden="1" outlineLevel="1" x14ac:dyDescent="0.3">
      <c r="B103" s="354" t="s">
        <v>85</v>
      </c>
      <c r="C103" s="355"/>
      <c r="D103" s="160"/>
      <c r="E103" s="161"/>
      <c r="F103" s="161"/>
      <c r="G103" s="121"/>
      <c r="H103" s="122"/>
      <c r="I103" s="162"/>
      <c r="J103" s="163"/>
      <c r="K103" s="164"/>
      <c r="L103" s="164"/>
      <c r="M103" s="165"/>
      <c r="N103" s="307"/>
      <c r="O103" s="317"/>
    </row>
    <row r="104" spans="2:38" s="58" customFormat="1" hidden="1" outlineLevel="1" x14ac:dyDescent="0.3">
      <c r="B104" s="342" t="s">
        <v>86</v>
      </c>
      <c r="C104" s="351"/>
      <c r="D104" s="127">
        <v>733.91600000000005</v>
      </c>
      <c r="E104" s="135">
        <v>817.02</v>
      </c>
      <c r="F104" s="135">
        <v>903.32899999999995</v>
      </c>
      <c r="G104" s="218">
        <v>1117.4000000000001</v>
      </c>
      <c r="H104" s="219">
        <f>G104</f>
        <v>1117.4000000000001</v>
      </c>
      <c r="I104" s="148">
        <v>712.88400000000001</v>
      </c>
      <c r="J104" s="148">
        <v>956.14700000000005</v>
      </c>
      <c r="K104" s="220">
        <v>829.29200000000003</v>
      </c>
      <c r="L104" s="148">
        <v>876.56</v>
      </c>
      <c r="M104" s="130">
        <f>L104</f>
        <v>876.56</v>
      </c>
      <c r="N104" s="240">
        <v>830.69600000000003</v>
      </c>
      <c r="O104" s="129">
        <v>886.37900000000002</v>
      </c>
    </row>
    <row r="105" spans="2:38" s="58" customFormat="1" hidden="1" outlineLevel="1" x14ac:dyDescent="0.3">
      <c r="B105" s="342" t="s">
        <v>118</v>
      </c>
      <c r="C105" s="351"/>
      <c r="D105" s="127">
        <v>2398.1759999999999</v>
      </c>
      <c r="E105" s="135">
        <v>2513.1909999999998</v>
      </c>
      <c r="F105" s="135">
        <v>2616.8679999999999</v>
      </c>
      <c r="G105" s="218">
        <v>2622.0909999999999</v>
      </c>
      <c r="H105" s="219">
        <f t="shared" ref="H105:H108" si="164">G105</f>
        <v>2622.0909999999999</v>
      </c>
      <c r="I105" s="148">
        <v>2463.9360000000001</v>
      </c>
      <c r="J105" s="148">
        <v>2457.1010000000001</v>
      </c>
      <c r="K105" s="148">
        <v>2839.4409999999998</v>
      </c>
      <c r="L105" s="148">
        <v>3111.5239999999999</v>
      </c>
      <c r="M105" s="130">
        <f>L105</f>
        <v>3111.5239999999999</v>
      </c>
      <c r="N105" s="240">
        <v>3267.192</v>
      </c>
      <c r="O105" s="129">
        <v>3432.029</v>
      </c>
    </row>
    <row r="106" spans="2:38" s="58" customFormat="1" hidden="1" outlineLevel="1" x14ac:dyDescent="0.3">
      <c r="B106" s="342" t="s">
        <v>87</v>
      </c>
      <c r="C106" s="351"/>
      <c r="D106" s="127">
        <v>510.50700000000001</v>
      </c>
      <c r="E106" s="135">
        <v>531.55700000000002</v>
      </c>
      <c r="F106" s="135">
        <v>528.33100000000002</v>
      </c>
      <c r="G106" s="218">
        <v>591.79999999999995</v>
      </c>
      <c r="H106" s="219">
        <f t="shared" si="164"/>
        <v>591.79999999999995</v>
      </c>
      <c r="I106" s="148">
        <v>532.42700000000002</v>
      </c>
      <c r="J106" s="148">
        <v>502.61700000000002</v>
      </c>
      <c r="K106" s="148">
        <v>593.55399999999997</v>
      </c>
      <c r="L106" s="148">
        <v>672.00599999999997</v>
      </c>
      <c r="M106" s="130">
        <f>L106</f>
        <v>672.00599999999997</v>
      </c>
      <c r="N106" s="240">
        <v>599.20699999999999</v>
      </c>
      <c r="O106" s="129">
        <v>666.73599999999999</v>
      </c>
    </row>
    <row r="107" spans="2:38" s="58" customFormat="1" hidden="1" outlineLevel="1" x14ac:dyDescent="0.3">
      <c r="B107" s="146" t="s">
        <v>126</v>
      </c>
      <c r="C107" s="147"/>
      <c r="D107" s="127">
        <v>91.149000000000001</v>
      </c>
      <c r="E107" s="135">
        <v>72.489000000000004</v>
      </c>
      <c r="F107" s="135">
        <v>79.712999999999994</v>
      </c>
      <c r="G107" s="218">
        <v>95.278999999999996</v>
      </c>
      <c r="H107" s="219">
        <f>G107</f>
        <v>95.278999999999996</v>
      </c>
      <c r="I107" s="148">
        <v>60.47</v>
      </c>
      <c r="J107" s="148">
        <v>71.218000000000004</v>
      </c>
      <c r="K107" s="148">
        <v>82.438000000000002</v>
      </c>
      <c r="L107" s="148">
        <v>0</v>
      </c>
      <c r="M107" s="130">
        <f>L107</f>
        <v>0</v>
      </c>
      <c r="N107" s="240">
        <f>M107</f>
        <v>0</v>
      </c>
      <c r="O107" s="129">
        <v>0</v>
      </c>
    </row>
    <row r="108" spans="2:38" s="58" customFormat="1" hidden="1" outlineLevel="1" x14ac:dyDescent="0.3">
      <c r="B108" s="342" t="s">
        <v>88</v>
      </c>
      <c r="C108" s="351"/>
      <c r="D108" s="127">
        <v>208.643</v>
      </c>
      <c r="E108" s="135">
        <v>180.08600000000001</v>
      </c>
      <c r="F108" s="135">
        <v>151.227</v>
      </c>
      <c r="G108" s="218">
        <v>175.75800000000001</v>
      </c>
      <c r="H108" s="219">
        <f t="shared" si="164"/>
        <v>175.75800000000001</v>
      </c>
      <c r="I108" s="148">
        <v>202.44200000000001</v>
      </c>
      <c r="J108" s="148">
        <v>191.31399999999999</v>
      </c>
      <c r="K108" s="148">
        <v>181.16300000000001</v>
      </c>
      <c r="L108" s="148">
        <v>161.80199999999999</v>
      </c>
      <c r="M108" s="130">
        <f>L108</f>
        <v>161.80199999999999</v>
      </c>
      <c r="N108" s="240">
        <v>238.29499999999999</v>
      </c>
      <c r="O108" s="129">
        <v>253.42</v>
      </c>
    </row>
    <row r="109" spans="2:38" s="58" customFormat="1" hidden="1" outlineLevel="1" x14ac:dyDescent="0.3">
      <c r="B109" s="356" t="s">
        <v>89</v>
      </c>
      <c r="C109" s="357"/>
      <c r="D109" s="221">
        <f t="shared" ref="D109:L109" si="165">SUM(D104:D108)</f>
        <v>3942.3910000000001</v>
      </c>
      <c r="E109" s="221">
        <f t="shared" si="165"/>
        <v>4114.3429999999998</v>
      </c>
      <c r="F109" s="221">
        <f t="shared" si="165"/>
        <v>4279.4679999999998</v>
      </c>
      <c r="G109" s="222">
        <f t="shared" si="165"/>
        <v>4602.3279999999995</v>
      </c>
      <c r="H109" s="151">
        <f t="shared" si="165"/>
        <v>4602.3279999999995</v>
      </c>
      <c r="I109" s="149">
        <f t="shared" si="165"/>
        <v>3972.1590000000001</v>
      </c>
      <c r="J109" s="149">
        <f t="shared" si="165"/>
        <v>4178.3969999999999</v>
      </c>
      <c r="K109" s="149">
        <f t="shared" si="165"/>
        <v>4525.887999999999</v>
      </c>
      <c r="L109" s="149">
        <f t="shared" si="165"/>
        <v>4821.8919999999998</v>
      </c>
      <c r="M109" s="223">
        <f>SUM(M104:M108)</f>
        <v>4821.8919999999998</v>
      </c>
      <c r="N109" s="248">
        <f>SUM(N104:N108)</f>
        <v>4935.3900000000003</v>
      </c>
      <c r="O109" s="247">
        <f>SUM(O104:O108)</f>
        <v>5238.5640000000003</v>
      </c>
    </row>
    <row r="110" spans="2:38" s="58" customFormat="1" hidden="1" outlineLevel="1" x14ac:dyDescent="0.3">
      <c r="B110" s="342" t="s">
        <v>90</v>
      </c>
      <c r="C110" s="351"/>
      <c r="D110" s="127">
        <v>651.08299999999997</v>
      </c>
      <c r="E110" s="135">
        <v>642.45000000000005</v>
      </c>
      <c r="F110" s="135">
        <v>785.85599999999999</v>
      </c>
      <c r="G110" s="218">
        <v>785.12300000000005</v>
      </c>
      <c r="H110" s="219">
        <f t="shared" ref="H110:H114" si="166">G110</f>
        <v>785.12300000000005</v>
      </c>
      <c r="I110" s="148">
        <v>784.31399999999996</v>
      </c>
      <c r="J110" s="148">
        <v>785.19899999999996</v>
      </c>
      <c r="K110" s="148">
        <v>797.46400000000006</v>
      </c>
      <c r="L110" s="148">
        <v>787.42100000000005</v>
      </c>
      <c r="M110" s="130">
        <f>L110</f>
        <v>787.42100000000005</v>
      </c>
      <c r="N110" s="240">
        <v>794.87599999999998</v>
      </c>
      <c r="O110" s="129">
        <v>796.077</v>
      </c>
    </row>
    <row r="111" spans="2:38" s="58" customFormat="1" hidden="1" outlineLevel="1" x14ac:dyDescent="0.3">
      <c r="B111" s="114" t="s">
        <v>119</v>
      </c>
      <c r="C111" s="115"/>
      <c r="D111" s="127">
        <v>570.17100000000005</v>
      </c>
      <c r="E111" s="135">
        <v>532.31700000000001</v>
      </c>
      <c r="F111" s="135">
        <v>490.839</v>
      </c>
      <c r="G111" s="218">
        <v>469.66199999999998</v>
      </c>
      <c r="H111" s="219">
        <f t="shared" si="166"/>
        <v>469.66199999999998</v>
      </c>
      <c r="I111" s="148">
        <v>629.31700000000001</v>
      </c>
      <c r="J111" s="148">
        <v>583.19799999999998</v>
      </c>
      <c r="K111" s="148">
        <v>556.80999999999995</v>
      </c>
      <c r="L111" s="148">
        <v>510.00700000000001</v>
      </c>
      <c r="M111" s="130">
        <f>L111</f>
        <v>510.00700000000001</v>
      </c>
      <c r="N111" s="240">
        <v>518.68600000000004</v>
      </c>
      <c r="O111" s="129">
        <v>494.19299999999998</v>
      </c>
    </row>
    <row r="112" spans="2:38" s="58" customFormat="1" hidden="1" outlineLevel="1" x14ac:dyDescent="0.3">
      <c r="B112" s="137" t="s">
        <v>120</v>
      </c>
      <c r="C112" s="138"/>
      <c r="D112" s="127">
        <v>4782.4480000000003</v>
      </c>
      <c r="E112" s="135">
        <v>4773.7979999999998</v>
      </c>
      <c r="F112" s="135">
        <v>4746.7809999999999</v>
      </c>
      <c r="G112" s="218">
        <v>4721.9620000000004</v>
      </c>
      <c r="H112" s="219">
        <f t="shared" si="166"/>
        <v>4721.9620000000004</v>
      </c>
      <c r="I112" s="148">
        <v>5396.174</v>
      </c>
      <c r="J112" s="148">
        <v>5388.9709999999995</v>
      </c>
      <c r="K112" s="148">
        <v>5402.1589999999997</v>
      </c>
      <c r="L112" s="148">
        <v>5366.8810000000003</v>
      </c>
      <c r="M112" s="130">
        <f>L112</f>
        <v>5366.8810000000003</v>
      </c>
      <c r="N112" s="240">
        <v>5389</v>
      </c>
      <c r="O112" s="129">
        <v>5444.5559999999996</v>
      </c>
    </row>
    <row r="113" spans="2:15" s="58" customFormat="1" hidden="1" outlineLevel="1" x14ac:dyDescent="0.3">
      <c r="B113" s="146" t="s">
        <v>139</v>
      </c>
      <c r="C113" s="147"/>
      <c r="D113" s="127">
        <v>207.239</v>
      </c>
      <c r="E113" s="135">
        <v>207.239</v>
      </c>
      <c r="F113" s="135">
        <v>80.438999999999993</v>
      </c>
      <c r="G113" s="218">
        <v>80.438999999999993</v>
      </c>
      <c r="H113" s="219">
        <f t="shared" si="166"/>
        <v>80.438999999999993</v>
      </c>
      <c r="I113" s="148">
        <v>80.438999999999993</v>
      </c>
      <c r="J113" s="148">
        <v>80.438999999999993</v>
      </c>
      <c r="K113" s="148">
        <v>80.438999999999993</v>
      </c>
      <c r="L113" s="148">
        <v>80.438999999999993</v>
      </c>
      <c r="M113" s="130">
        <f>L113</f>
        <v>80.438999999999993</v>
      </c>
      <c r="N113" s="240">
        <v>80.438999999999993</v>
      </c>
      <c r="O113" s="129">
        <v>80.438999999999993</v>
      </c>
    </row>
    <row r="114" spans="2:15" s="58" customFormat="1" hidden="1" outlineLevel="1" x14ac:dyDescent="0.3">
      <c r="B114" s="342" t="s">
        <v>121</v>
      </c>
      <c r="C114" s="351"/>
      <c r="D114" s="127">
        <v>92.55</v>
      </c>
      <c r="E114" s="135">
        <v>102.05200000000001</v>
      </c>
      <c r="F114" s="135">
        <v>110.297</v>
      </c>
      <c r="G114" s="218">
        <v>126.315</v>
      </c>
      <c r="H114" s="219">
        <f t="shared" si="166"/>
        <v>126.315</v>
      </c>
      <c r="I114" s="148">
        <v>146.01900000000001</v>
      </c>
      <c r="J114" s="148">
        <v>149.179</v>
      </c>
      <c r="K114" s="148">
        <v>145.63499999999999</v>
      </c>
      <c r="L114" s="148">
        <v>159.83199999999999</v>
      </c>
      <c r="M114" s="130">
        <f>L114</f>
        <v>159.83199999999999</v>
      </c>
      <c r="N114" s="240">
        <v>178.291</v>
      </c>
      <c r="O114" s="129">
        <v>162.95400000000001</v>
      </c>
    </row>
    <row r="115" spans="2:15" s="58" customFormat="1" hidden="1" outlineLevel="1" x14ac:dyDescent="0.3">
      <c r="B115" s="356" t="s">
        <v>91</v>
      </c>
      <c r="C115" s="357"/>
      <c r="D115" s="221">
        <f t="shared" ref="D115:I115" si="167">SUM(D109:D114)</f>
        <v>10245.882</v>
      </c>
      <c r="E115" s="221">
        <f t="shared" si="167"/>
        <v>10372.198999999999</v>
      </c>
      <c r="F115" s="221">
        <f t="shared" si="167"/>
        <v>10493.68</v>
      </c>
      <c r="G115" s="222">
        <f t="shared" si="167"/>
        <v>10785.829000000002</v>
      </c>
      <c r="H115" s="151">
        <f t="shared" si="167"/>
        <v>10785.829000000002</v>
      </c>
      <c r="I115" s="149">
        <f t="shared" si="167"/>
        <v>11008.422</v>
      </c>
      <c r="J115" s="149">
        <f t="shared" ref="J115:L115" si="168">SUM(J109:J114)</f>
        <v>11165.383</v>
      </c>
      <c r="K115" s="149">
        <f t="shared" si="168"/>
        <v>11508.394999999999</v>
      </c>
      <c r="L115" s="149">
        <f t="shared" si="168"/>
        <v>11726.472000000002</v>
      </c>
      <c r="M115" s="223">
        <f>SUM(M109:M114)</f>
        <v>11726.472000000002</v>
      </c>
      <c r="N115" s="248">
        <f>SUM(N109:N114)</f>
        <v>11896.682000000001</v>
      </c>
      <c r="O115" s="247">
        <f>SUM(O109:O114)</f>
        <v>12216.782999999999</v>
      </c>
    </row>
    <row r="116" spans="2:15" s="58" customFormat="1" ht="6.75" hidden="1" customHeight="1" outlineLevel="1" x14ac:dyDescent="0.3">
      <c r="B116" s="358"/>
      <c r="C116" s="359"/>
      <c r="D116" s="127"/>
      <c r="E116" s="135"/>
      <c r="F116" s="135"/>
      <c r="G116" s="218"/>
      <c r="H116" s="219"/>
      <c r="I116" s="148"/>
      <c r="J116" s="148"/>
      <c r="K116" s="148"/>
      <c r="L116" s="148"/>
      <c r="M116" s="130"/>
      <c r="N116" s="240"/>
      <c r="O116" s="129"/>
    </row>
    <row r="117" spans="2:15" s="58" customFormat="1" hidden="1" outlineLevel="1" x14ac:dyDescent="0.3">
      <c r="B117" s="354" t="s">
        <v>92</v>
      </c>
      <c r="C117" s="355"/>
      <c r="D117" s="127"/>
      <c r="E117" s="135"/>
      <c r="F117" s="135"/>
      <c r="G117" s="218"/>
      <c r="H117" s="219"/>
      <c r="I117" s="148"/>
      <c r="J117" s="148"/>
      <c r="K117" s="148"/>
      <c r="L117" s="148"/>
      <c r="M117" s="130"/>
      <c r="N117" s="240"/>
      <c r="O117" s="129"/>
    </row>
    <row r="118" spans="2:15" s="58" customFormat="1" hidden="1" outlineLevel="1" x14ac:dyDescent="0.3">
      <c r="B118" s="342" t="s">
        <v>93</v>
      </c>
      <c r="C118" s="351"/>
      <c r="D118" s="224">
        <v>64.507999999999996</v>
      </c>
      <c r="E118" s="225">
        <v>54.857999999999997</v>
      </c>
      <c r="F118" s="225">
        <v>53.790999999999997</v>
      </c>
      <c r="G118" s="226">
        <v>68.376999999999995</v>
      </c>
      <c r="H118" s="150">
        <f t="shared" ref="H118:H120" si="169">G118</f>
        <v>68.376999999999995</v>
      </c>
      <c r="I118" s="148">
        <v>71.67</v>
      </c>
      <c r="J118" s="148">
        <v>56.539000000000001</v>
      </c>
      <c r="K118" s="148">
        <v>69.822999999999993</v>
      </c>
      <c r="L118" s="148">
        <v>93.307000000000002</v>
      </c>
      <c r="M118" s="130">
        <f t="shared" ref="M118:M130" si="170">L118</f>
        <v>93.307000000000002</v>
      </c>
      <c r="N118" s="240">
        <v>71.706000000000003</v>
      </c>
      <c r="O118" s="129">
        <v>75.581999999999994</v>
      </c>
    </row>
    <row r="119" spans="2:15" s="58" customFormat="1" hidden="1" outlineLevel="1" x14ac:dyDescent="0.3">
      <c r="B119" s="330" t="s">
        <v>143</v>
      </c>
      <c r="C119" s="362"/>
      <c r="D119" s="224">
        <v>584.27300000000002</v>
      </c>
      <c r="E119" s="225">
        <v>656.94</v>
      </c>
      <c r="F119" s="225">
        <v>630.67899999999997</v>
      </c>
      <c r="G119" s="226">
        <v>683.86599999999999</v>
      </c>
      <c r="H119" s="150">
        <f t="shared" si="169"/>
        <v>683.86599999999999</v>
      </c>
      <c r="I119" s="148">
        <v>564.21100000000001</v>
      </c>
      <c r="J119" s="148">
        <v>647.78399999999999</v>
      </c>
      <c r="K119" s="148">
        <v>658.34199999999998</v>
      </c>
      <c r="L119" s="148">
        <v>678.36400000000003</v>
      </c>
      <c r="M119" s="130">
        <f t="shared" si="170"/>
        <v>678.36400000000003</v>
      </c>
      <c r="N119" s="240">
        <v>591.82100000000003</v>
      </c>
      <c r="O119" s="129">
        <v>661.01300000000003</v>
      </c>
    </row>
    <row r="120" spans="2:15" s="58" customFormat="1" hidden="1" outlineLevel="1" x14ac:dyDescent="0.3">
      <c r="B120" s="330" t="s">
        <v>144</v>
      </c>
      <c r="C120" s="362"/>
      <c r="D120" s="224">
        <v>613.30999999999995</v>
      </c>
      <c r="E120" s="225">
        <v>609.74199999999996</v>
      </c>
      <c r="F120" s="225">
        <v>606.42600000000004</v>
      </c>
      <c r="G120" s="226">
        <v>603.22900000000004</v>
      </c>
      <c r="H120" s="150">
        <f t="shared" si="169"/>
        <v>603.22900000000004</v>
      </c>
      <c r="I120" s="148">
        <v>6.4000000000000001E-2</v>
      </c>
      <c r="J120" s="148">
        <v>0</v>
      </c>
      <c r="K120" s="148">
        <v>0</v>
      </c>
      <c r="L120" s="148">
        <v>0</v>
      </c>
      <c r="M120" s="130">
        <f t="shared" si="170"/>
        <v>0</v>
      </c>
      <c r="N120" s="240">
        <f>M120</f>
        <v>0</v>
      </c>
      <c r="O120" s="129">
        <v>0</v>
      </c>
    </row>
    <row r="121" spans="2:15" s="58" customFormat="1" hidden="1" outlineLevel="1" x14ac:dyDescent="0.3">
      <c r="B121" s="152" t="s">
        <v>140</v>
      </c>
      <c r="C121" s="153"/>
      <c r="D121" s="225">
        <v>6.1929999999999996</v>
      </c>
      <c r="E121" s="225">
        <v>3.6269999999999998</v>
      </c>
      <c r="F121" s="225">
        <v>2.351</v>
      </c>
      <c r="G121" s="226">
        <v>17.12</v>
      </c>
      <c r="H121" s="150">
        <f t="shared" ref="H121:H130" si="171">G121</f>
        <v>17.12</v>
      </c>
      <c r="I121" s="148">
        <v>2.58</v>
      </c>
      <c r="J121" s="148">
        <v>1.6950000000000001</v>
      </c>
      <c r="K121" s="148">
        <v>1.45</v>
      </c>
      <c r="L121" s="148">
        <v>1.52</v>
      </c>
      <c r="M121" s="130">
        <f t="shared" si="170"/>
        <v>1.52</v>
      </c>
      <c r="N121" s="240">
        <f>M121</f>
        <v>1.52</v>
      </c>
      <c r="O121" s="129">
        <v>0</v>
      </c>
    </row>
    <row r="122" spans="2:15" s="58" customFormat="1" hidden="1" outlineLevel="1" x14ac:dyDescent="0.3">
      <c r="B122" s="152" t="s">
        <v>141</v>
      </c>
      <c r="C122" s="153"/>
      <c r="D122" s="225">
        <v>12.986000000000001</v>
      </c>
      <c r="E122" s="225">
        <v>13.696</v>
      </c>
      <c r="F122" s="225">
        <v>4.4379999999999997</v>
      </c>
      <c r="G122" s="226">
        <v>23.92</v>
      </c>
      <c r="H122" s="150">
        <f t="shared" si="171"/>
        <v>23.92</v>
      </c>
      <c r="I122" s="148">
        <v>19.934000000000001</v>
      </c>
      <c r="J122" s="148">
        <v>55.472999999999999</v>
      </c>
      <c r="K122" s="148">
        <v>71.486999999999995</v>
      </c>
      <c r="L122" s="148">
        <v>6.165</v>
      </c>
      <c r="M122" s="130">
        <f t="shared" si="170"/>
        <v>6.165</v>
      </c>
      <c r="N122" s="240">
        <v>4.4580000000000002</v>
      </c>
      <c r="O122" s="129">
        <v>15.773999999999999</v>
      </c>
    </row>
    <row r="123" spans="2:15" s="58" customFormat="1" hidden="1" outlineLevel="1" x14ac:dyDescent="0.3">
      <c r="B123" s="152" t="s">
        <v>142</v>
      </c>
      <c r="C123" s="153"/>
      <c r="D123" s="225">
        <v>831.077</v>
      </c>
      <c r="E123" s="225">
        <v>879.10900000000004</v>
      </c>
      <c r="F123" s="225">
        <v>947.56299999999999</v>
      </c>
      <c r="G123" s="226">
        <v>1097.923</v>
      </c>
      <c r="H123" s="150">
        <f t="shared" si="171"/>
        <v>1097.923</v>
      </c>
      <c r="I123" s="148">
        <v>1129.701</v>
      </c>
      <c r="J123" s="148">
        <v>1175.5419999999999</v>
      </c>
      <c r="K123" s="148">
        <v>1259.712</v>
      </c>
      <c r="L123" s="148">
        <v>1434.2</v>
      </c>
      <c r="M123" s="130">
        <f t="shared" si="170"/>
        <v>1434.2</v>
      </c>
      <c r="N123" s="240">
        <v>1563.8209999999999</v>
      </c>
      <c r="O123" s="129">
        <v>1633.221</v>
      </c>
    </row>
    <row r="124" spans="2:15" s="58" customFormat="1" hidden="1" outlineLevel="1" x14ac:dyDescent="0.3">
      <c r="B124" s="356" t="s">
        <v>94</v>
      </c>
      <c r="C124" s="357"/>
      <c r="D124" s="221">
        <f>SUM(D118:D123)</f>
        <v>2112.3469999999998</v>
      </c>
      <c r="E124" s="221">
        <f>SUM(E118:E123)</f>
        <v>2217.9719999999998</v>
      </c>
      <c r="F124" s="221">
        <f>SUM(F118:F123)</f>
        <v>2245.2480000000005</v>
      </c>
      <c r="G124" s="222">
        <f>SUM(G118:G123)</f>
        <v>2494.4349999999999</v>
      </c>
      <c r="H124" s="151">
        <f t="shared" si="171"/>
        <v>2494.4349999999999</v>
      </c>
      <c r="I124" s="149">
        <f>SUM(I118:I123)</f>
        <v>1788.1599999999999</v>
      </c>
      <c r="J124" s="149">
        <f>SUM(J118:J123)</f>
        <v>1937.0329999999999</v>
      </c>
      <c r="K124" s="149">
        <f>SUM(K118:K123)</f>
        <v>2060.8139999999999</v>
      </c>
      <c r="L124" s="149">
        <f>SUM(L118:L123)</f>
        <v>2213.556</v>
      </c>
      <c r="M124" s="223">
        <f t="shared" si="170"/>
        <v>2213.556</v>
      </c>
      <c r="N124" s="248">
        <f>SUM(N118:N123)</f>
        <v>2233.326</v>
      </c>
      <c r="O124" s="247">
        <f>SUM(O118:O123)</f>
        <v>2385.59</v>
      </c>
    </row>
    <row r="125" spans="2:15" s="59" customFormat="1" hidden="1" outlineLevel="1" x14ac:dyDescent="0.3">
      <c r="B125" s="116" t="s">
        <v>144</v>
      </c>
      <c r="C125" s="117"/>
      <c r="D125" s="224">
        <v>896.41800000000001</v>
      </c>
      <c r="E125" s="225">
        <v>896.55100000000004</v>
      </c>
      <c r="F125" s="225">
        <v>901.83</v>
      </c>
      <c r="G125" s="226">
        <v>911.08600000000001</v>
      </c>
      <c r="H125" s="150">
        <f t="shared" si="171"/>
        <v>911.08600000000001</v>
      </c>
      <c r="I125" s="148">
        <v>1901.5540000000001</v>
      </c>
      <c r="J125" s="148">
        <v>1904.376</v>
      </c>
      <c r="K125" s="148">
        <v>1906.0940000000001</v>
      </c>
      <c r="L125" s="148">
        <f>1907.231</f>
        <v>1907.231</v>
      </c>
      <c r="M125" s="227">
        <f t="shared" si="170"/>
        <v>1907.231</v>
      </c>
      <c r="N125" s="251">
        <v>1916.8309999999999</v>
      </c>
      <c r="O125" s="250">
        <v>1918.3889999999999</v>
      </c>
    </row>
    <row r="126" spans="2:15" s="59" customFormat="1" hidden="1" outlineLevel="1" x14ac:dyDescent="0.3">
      <c r="B126" s="139" t="s">
        <v>142</v>
      </c>
      <c r="C126" s="140"/>
      <c r="D126" s="224">
        <v>50.01</v>
      </c>
      <c r="E126" s="225">
        <v>49.494999999999997</v>
      </c>
      <c r="F126" s="225">
        <v>48.975000000000001</v>
      </c>
      <c r="G126" s="226">
        <v>57.401000000000003</v>
      </c>
      <c r="H126" s="150">
        <f t="shared" si="171"/>
        <v>57.401000000000003</v>
      </c>
      <c r="I126" s="148">
        <v>53.567999999999998</v>
      </c>
      <c r="J126" s="148">
        <v>52.613</v>
      </c>
      <c r="K126" s="148">
        <v>46.317</v>
      </c>
      <c r="L126" s="148">
        <v>51.094000000000001</v>
      </c>
      <c r="M126" s="227">
        <f t="shared" si="170"/>
        <v>51.094000000000001</v>
      </c>
      <c r="N126" s="251">
        <v>44.838999999999999</v>
      </c>
      <c r="O126" s="250">
        <v>48.411000000000001</v>
      </c>
    </row>
    <row r="127" spans="2:15" s="59" customFormat="1" hidden="1" outlineLevel="1" x14ac:dyDescent="0.3">
      <c r="B127" s="139" t="s">
        <v>140</v>
      </c>
      <c r="C127" s="140"/>
      <c r="D127" s="224">
        <v>6.992</v>
      </c>
      <c r="E127" s="225">
        <v>6.0990000000000002</v>
      </c>
      <c r="F127" s="225">
        <v>5.7759999999999998</v>
      </c>
      <c r="G127" s="226">
        <v>5.194</v>
      </c>
      <c r="H127" s="150">
        <f t="shared" si="171"/>
        <v>5.194</v>
      </c>
      <c r="I127" s="148">
        <v>4.4950000000000001</v>
      </c>
      <c r="J127" s="148">
        <v>4.3470000000000004</v>
      </c>
      <c r="K127" s="148">
        <v>3.1419999999999999</v>
      </c>
      <c r="L127" s="148">
        <v>3.214</v>
      </c>
      <c r="M127" s="227">
        <f t="shared" si="170"/>
        <v>3.214</v>
      </c>
      <c r="N127" s="251">
        <v>0</v>
      </c>
      <c r="O127" s="250">
        <v>0</v>
      </c>
    </row>
    <row r="128" spans="2:15" s="59" customFormat="1" hidden="1" outlineLevel="1" x14ac:dyDescent="0.3">
      <c r="B128" s="152" t="s">
        <v>141</v>
      </c>
      <c r="C128" s="153"/>
      <c r="D128" s="224">
        <v>135.202</v>
      </c>
      <c r="E128" s="225">
        <v>139.87</v>
      </c>
      <c r="F128" s="225">
        <v>141.47300000000001</v>
      </c>
      <c r="G128" s="226">
        <v>125.746</v>
      </c>
      <c r="H128" s="150">
        <f t="shared" si="171"/>
        <v>125.746</v>
      </c>
      <c r="I128" s="148">
        <v>245.06299999999999</v>
      </c>
      <c r="J128" s="148">
        <v>244.79900000000001</v>
      </c>
      <c r="K128" s="148">
        <v>250.56899999999999</v>
      </c>
      <c r="L128" s="148">
        <v>256.12900000000002</v>
      </c>
      <c r="M128" s="227">
        <f t="shared" si="170"/>
        <v>256.12900000000002</v>
      </c>
      <c r="N128" s="251">
        <v>261.30500000000001</v>
      </c>
      <c r="O128" s="250">
        <v>273.221</v>
      </c>
    </row>
    <row r="129" spans="2:15" s="59" customFormat="1" hidden="1" outlineLevel="1" x14ac:dyDescent="0.3">
      <c r="B129" s="152" t="s">
        <v>126</v>
      </c>
      <c r="C129" s="153"/>
      <c r="D129" s="224">
        <v>362.85899999999998</v>
      </c>
      <c r="E129" s="225">
        <v>351.61200000000002</v>
      </c>
      <c r="F129" s="225">
        <v>344.71499999999997</v>
      </c>
      <c r="G129" s="226">
        <v>342.315</v>
      </c>
      <c r="H129" s="150">
        <f t="shared" si="171"/>
        <v>342.315</v>
      </c>
      <c r="I129" s="148">
        <v>348.64400000000001</v>
      </c>
      <c r="J129" s="148">
        <v>326.92200000000003</v>
      </c>
      <c r="K129" s="148">
        <v>316.142</v>
      </c>
      <c r="L129" s="148">
        <v>208.209</v>
      </c>
      <c r="M129" s="227">
        <f t="shared" si="170"/>
        <v>208.209</v>
      </c>
      <c r="N129" s="251">
        <v>265.74799999999999</v>
      </c>
      <c r="O129" s="250">
        <v>245.61099999999999</v>
      </c>
    </row>
    <row r="130" spans="2:15" s="58" customFormat="1" ht="15.75" hidden="1" customHeight="1" outlineLevel="1" x14ac:dyDescent="0.3">
      <c r="B130" s="342" t="s">
        <v>95</v>
      </c>
      <c r="C130" s="351"/>
      <c r="D130" s="224">
        <v>71.171000000000006</v>
      </c>
      <c r="E130" s="228">
        <v>73.712000000000003</v>
      </c>
      <c r="F130" s="225">
        <v>74.403000000000006</v>
      </c>
      <c r="G130" s="226">
        <v>73.747</v>
      </c>
      <c r="H130" s="150">
        <f t="shared" si="171"/>
        <v>73.747</v>
      </c>
      <c r="I130" s="148">
        <v>77.918000000000006</v>
      </c>
      <c r="J130" s="148">
        <v>85.19</v>
      </c>
      <c r="K130" s="148">
        <v>83.984999999999999</v>
      </c>
      <c r="L130" s="148">
        <v>85.459000000000003</v>
      </c>
      <c r="M130" s="130">
        <f t="shared" si="170"/>
        <v>85.459000000000003</v>
      </c>
      <c r="N130" s="240">
        <v>94.950999999999993</v>
      </c>
      <c r="O130" s="129">
        <v>96.95</v>
      </c>
    </row>
    <row r="131" spans="2:15" s="58" customFormat="1" hidden="1" outlineLevel="1" x14ac:dyDescent="0.3">
      <c r="B131" s="356" t="s">
        <v>96</v>
      </c>
      <c r="C131" s="357"/>
      <c r="D131" s="221">
        <f>SUM(D124:D130)</f>
        <v>3634.9989999999998</v>
      </c>
      <c r="E131" s="221">
        <f t="shared" ref="E131:L131" si="172">SUM(E124:E130)</f>
        <v>3735.3109999999997</v>
      </c>
      <c r="F131" s="221">
        <f t="shared" si="172"/>
        <v>3762.42</v>
      </c>
      <c r="G131" s="222">
        <f t="shared" si="172"/>
        <v>4009.9239999999995</v>
      </c>
      <c r="H131" s="151">
        <f t="shared" si="172"/>
        <v>4009.9239999999995</v>
      </c>
      <c r="I131" s="149">
        <f t="shared" si="172"/>
        <v>4419.402</v>
      </c>
      <c r="J131" s="149">
        <f t="shared" si="172"/>
        <v>4555.28</v>
      </c>
      <c r="K131" s="229">
        <f t="shared" si="172"/>
        <v>4667.0629999999992</v>
      </c>
      <c r="L131" s="149">
        <f t="shared" si="172"/>
        <v>4724.8919999999998</v>
      </c>
      <c r="M131" s="223">
        <f>SUM(M124:M130)</f>
        <v>4724.8919999999998</v>
      </c>
      <c r="N131" s="248">
        <f>SUM(N124:N130)</f>
        <v>4817</v>
      </c>
      <c r="O131" s="247">
        <f>SUM(O124:O130)</f>
        <v>4968.1720000000005</v>
      </c>
    </row>
    <row r="132" spans="2:15" s="58" customFormat="1" ht="6.75" hidden="1" customHeight="1" outlineLevel="1" x14ac:dyDescent="0.3">
      <c r="B132" s="358"/>
      <c r="C132" s="359"/>
      <c r="D132" s="224"/>
      <c r="E132" s="225"/>
      <c r="F132" s="225"/>
      <c r="G132" s="226"/>
      <c r="H132" s="150"/>
      <c r="I132" s="148"/>
      <c r="J132" s="148"/>
      <c r="K132" s="220"/>
      <c r="L132" s="148"/>
      <c r="M132" s="130"/>
      <c r="N132" s="240"/>
      <c r="O132" s="129"/>
    </row>
    <row r="133" spans="2:15" s="58" customFormat="1" ht="15.45" hidden="1" customHeight="1" outlineLevel="1" x14ac:dyDescent="0.3">
      <c r="B133" s="141" t="s">
        <v>122</v>
      </c>
      <c r="C133" s="142"/>
      <c r="D133" s="224"/>
      <c r="E133" s="225"/>
      <c r="F133" s="225"/>
      <c r="G133" s="226"/>
      <c r="H133" s="150">
        <v>0</v>
      </c>
      <c r="I133" s="148"/>
      <c r="J133" s="148"/>
      <c r="K133" s="220"/>
      <c r="L133" s="148"/>
      <c r="M133" s="130">
        <v>0</v>
      </c>
      <c r="N133" s="240">
        <v>0</v>
      </c>
      <c r="O133" s="129">
        <v>0</v>
      </c>
    </row>
    <row r="134" spans="2:15" s="58" customFormat="1" hidden="1" outlineLevel="1" x14ac:dyDescent="0.3">
      <c r="B134" s="354" t="s">
        <v>97</v>
      </c>
      <c r="C134" s="355"/>
      <c r="D134" s="224"/>
      <c r="E134" s="225"/>
      <c r="F134" s="225"/>
      <c r="G134" s="226"/>
      <c r="H134" s="150"/>
      <c r="I134" s="148"/>
      <c r="J134" s="148"/>
      <c r="K134" s="220"/>
      <c r="L134" s="148"/>
      <c r="M134" s="130"/>
      <c r="N134" s="240"/>
      <c r="O134" s="129"/>
    </row>
    <row r="135" spans="2:15" s="59" customFormat="1" hidden="1" outlineLevel="1" x14ac:dyDescent="0.3">
      <c r="B135" s="116" t="s">
        <v>123</v>
      </c>
      <c r="C135" s="117"/>
      <c r="D135" s="127">
        <v>0</v>
      </c>
      <c r="E135" s="135">
        <v>0</v>
      </c>
      <c r="F135" s="135">
        <v>0</v>
      </c>
      <c r="G135" s="218">
        <v>0</v>
      </c>
      <c r="H135" s="219">
        <v>0</v>
      </c>
      <c r="I135" s="148">
        <v>0</v>
      </c>
      <c r="J135" s="148">
        <v>0</v>
      </c>
      <c r="K135" s="220">
        <v>0</v>
      </c>
      <c r="L135" s="220">
        <v>0</v>
      </c>
      <c r="M135" s="130">
        <f t="shared" ref="M135:M140" si="173">L135</f>
        <v>0</v>
      </c>
      <c r="N135" s="240">
        <v>0</v>
      </c>
      <c r="O135" s="129">
        <v>0</v>
      </c>
    </row>
    <row r="136" spans="2:15" s="58" customFormat="1" hidden="1" outlineLevel="1" x14ac:dyDescent="0.3">
      <c r="B136" s="330" t="s">
        <v>125</v>
      </c>
      <c r="C136" s="362"/>
      <c r="D136" s="224">
        <v>6.0999999999999999E-2</v>
      </c>
      <c r="E136" s="228">
        <v>6.0999999999999999E-2</v>
      </c>
      <c r="F136" s="225">
        <v>6.0999999999999999E-2</v>
      </c>
      <c r="G136" s="226">
        <v>6.0999999999999999E-2</v>
      </c>
      <c r="H136" s="150">
        <f>G136</f>
        <v>6.0999999999999999E-2</v>
      </c>
      <c r="I136" s="148">
        <v>6.0999999999999999E-2</v>
      </c>
      <c r="J136" s="148">
        <v>6.0999999999999999E-2</v>
      </c>
      <c r="K136" s="148">
        <v>6.0999999999999999E-2</v>
      </c>
      <c r="L136" s="148">
        <v>6.0999999999999999E-2</v>
      </c>
      <c r="M136" s="130">
        <f t="shared" si="173"/>
        <v>6.0999999999999999E-2</v>
      </c>
      <c r="N136" s="240">
        <v>6.0999999999999999E-5</v>
      </c>
      <c r="O136" s="129">
        <v>6.0999999999999999E-5</v>
      </c>
    </row>
    <row r="137" spans="2:15" s="58" customFormat="1" hidden="1" outlineLevel="1" x14ac:dyDescent="0.3">
      <c r="B137" s="139" t="s">
        <v>124</v>
      </c>
      <c r="C137" s="140"/>
      <c r="D137" s="224">
        <v>3475.1860000000001</v>
      </c>
      <c r="E137" s="228">
        <v>3562.6819999999998</v>
      </c>
      <c r="F137" s="225">
        <v>3675.6289999999999</v>
      </c>
      <c r="G137" s="226">
        <v>3778.4949999999999</v>
      </c>
      <c r="H137" s="150">
        <f>G137</f>
        <v>3778.4949999999999</v>
      </c>
      <c r="I137" s="148">
        <v>3897.8380000000002</v>
      </c>
      <c r="J137" s="148">
        <v>3994.652</v>
      </c>
      <c r="K137" s="220">
        <v>4094.1329999999998</v>
      </c>
      <c r="L137" s="220">
        <v>4184.8829999999998</v>
      </c>
      <c r="M137" s="130">
        <f t="shared" si="173"/>
        <v>4184.8829999999998</v>
      </c>
      <c r="N137" s="240">
        <v>4292.4859999999999</v>
      </c>
      <c r="O137" s="129">
        <v>4428.2700000000004</v>
      </c>
    </row>
    <row r="138" spans="2:15" s="58" customFormat="1" hidden="1" outlineLevel="1" x14ac:dyDescent="0.3">
      <c r="B138" s="139" t="s">
        <v>145</v>
      </c>
      <c r="C138" s="140"/>
      <c r="D138" s="224">
        <v>6734.701</v>
      </c>
      <c r="E138" s="228">
        <v>6806.1040000000003</v>
      </c>
      <c r="F138" s="225">
        <v>6850.79</v>
      </c>
      <c r="G138" s="226">
        <v>6924.2939999999999</v>
      </c>
      <c r="H138" s="150">
        <f>G138</f>
        <v>6924.2939999999999</v>
      </c>
      <c r="I138" s="148">
        <v>6756.8029999999999</v>
      </c>
      <c r="J138" s="148">
        <v>6879.4440000000004</v>
      </c>
      <c r="K138" s="220">
        <v>7049.6289999999999</v>
      </c>
      <c r="L138" s="220">
        <v>7253.4309999999996</v>
      </c>
      <c r="M138" s="130">
        <f t="shared" si="173"/>
        <v>7253.4309999999996</v>
      </c>
      <c r="N138" s="240">
        <v>7221.0829999999996</v>
      </c>
      <c r="O138" s="129">
        <v>7444.1149999999998</v>
      </c>
    </row>
    <row r="139" spans="2:15" s="58" customFormat="1" hidden="1" outlineLevel="1" x14ac:dyDescent="0.3">
      <c r="B139" s="376" t="s">
        <v>146</v>
      </c>
      <c r="C139" s="377"/>
      <c r="D139" s="224">
        <v>56.591999999999999</v>
      </c>
      <c r="E139" s="228">
        <v>46.642000000000003</v>
      </c>
      <c r="F139" s="225">
        <v>20.067</v>
      </c>
      <c r="G139" s="226">
        <v>-8.0939999999999994</v>
      </c>
      <c r="H139" s="150">
        <f>G139</f>
        <v>-8.0939999999999994</v>
      </c>
      <c r="I139" s="148">
        <v>-103.81</v>
      </c>
      <c r="J139" s="148">
        <v>-129.47300000000001</v>
      </c>
      <c r="K139" s="148">
        <v>-140.83099999999999</v>
      </c>
      <c r="L139" s="148">
        <v>-169.08</v>
      </c>
      <c r="M139" s="130">
        <f t="shared" si="173"/>
        <v>-169.08</v>
      </c>
      <c r="N139" s="240">
        <v>-151.679</v>
      </c>
      <c r="O139" s="129">
        <v>-133.047</v>
      </c>
    </row>
    <row r="140" spans="2:15" s="58" customFormat="1" hidden="1" outlineLevel="1" x14ac:dyDescent="0.3">
      <c r="B140" s="158" t="s">
        <v>147</v>
      </c>
      <c r="C140" s="159"/>
      <c r="D140" s="225">
        <v>-3655.6570000000002</v>
      </c>
      <c r="E140" s="228">
        <v>-3778.6010000000001</v>
      </c>
      <c r="F140" s="225">
        <v>-3815.2869999999998</v>
      </c>
      <c r="G140" s="226">
        <v>-3918.8510000000001</v>
      </c>
      <c r="H140" s="150">
        <f>G140</f>
        <v>-3918.8510000000001</v>
      </c>
      <c r="I140" s="148">
        <v>-3961.8719999999998</v>
      </c>
      <c r="J140" s="148">
        <v>-4134.5810000000001</v>
      </c>
      <c r="K140" s="148">
        <v>-4161.66</v>
      </c>
      <c r="L140" s="148">
        <v>-4267.7150000000001</v>
      </c>
      <c r="M140" s="130">
        <f t="shared" si="173"/>
        <v>-4267.7150000000001</v>
      </c>
      <c r="N140" s="240">
        <v>-4280.7489999999998</v>
      </c>
      <c r="O140" s="129">
        <v>-4490.7879999999996</v>
      </c>
    </row>
    <row r="141" spans="2:15" s="58" customFormat="1" hidden="1" outlineLevel="1" x14ac:dyDescent="0.3">
      <c r="B141" s="356" t="s">
        <v>98</v>
      </c>
      <c r="C141" s="357"/>
      <c r="D141" s="221">
        <f>SUM(D135:D140)</f>
        <v>6610.8830000000007</v>
      </c>
      <c r="E141" s="221">
        <f t="shared" ref="E141:F141" si="174">SUM(E135:E140)</f>
        <v>6636.887999999999</v>
      </c>
      <c r="F141" s="221">
        <f t="shared" si="174"/>
        <v>6731.2599999999984</v>
      </c>
      <c r="G141" s="222">
        <f t="shared" ref="G141:L141" si="175">SUM(G135:G140)</f>
        <v>6775.9050000000007</v>
      </c>
      <c r="H141" s="151">
        <f t="shared" si="175"/>
        <v>6775.9050000000007</v>
      </c>
      <c r="I141" s="221">
        <f t="shared" si="175"/>
        <v>6589.0200000000023</v>
      </c>
      <c r="J141" s="221">
        <f t="shared" si="175"/>
        <v>6610.103000000001</v>
      </c>
      <c r="K141" s="230">
        <f t="shared" si="175"/>
        <v>6841.3320000000003</v>
      </c>
      <c r="L141" s="230">
        <f t="shared" si="175"/>
        <v>7001.58</v>
      </c>
      <c r="M141" s="223">
        <f>SUM(M135:M140)</f>
        <v>7001.58</v>
      </c>
      <c r="N141" s="248">
        <f>SUM(N135:N140)</f>
        <v>7081.1410609999984</v>
      </c>
      <c r="O141" s="247">
        <f>SUM(O135:O140)</f>
        <v>7248.5500610000008</v>
      </c>
    </row>
    <row r="142" spans="2:15" s="58" customFormat="1" hidden="1" outlineLevel="1" x14ac:dyDescent="0.3">
      <c r="B142" s="374" t="s">
        <v>99</v>
      </c>
      <c r="C142" s="375"/>
      <c r="D142" s="231">
        <f>D141+D131</f>
        <v>10245.882000000001</v>
      </c>
      <c r="E142" s="231">
        <f>E141+E131</f>
        <v>10372.198999999999</v>
      </c>
      <c r="F142" s="231">
        <f>F141+F131</f>
        <v>10493.679999999998</v>
      </c>
      <c r="G142" s="232">
        <f>G141+G131</f>
        <v>10785.829</v>
      </c>
      <c r="H142" s="233">
        <f t="shared" ref="H142:I142" si="176">H141+H131</f>
        <v>10785.829</v>
      </c>
      <c r="I142" s="231">
        <f t="shared" si="176"/>
        <v>11008.422000000002</v>
      </c>
      <c r="J142" s="231">
        <f t="shared" ref="J142:L142" si="177">J141+J131</f>
        <v>11165.383000000002</v>
      </c>
      <c r="K142" s="234">
        <f>K141+K131</f>
        <v>11508.395</v>
      </c>
      <c r="L142" s="234">
        <f t="shared" si="177"/>
        <v>11726.472</v>
      </c>
      <c r="M142" s="235">
        <f>M141+M131</f>
        <v>11726.472</v>
      </c>
      <c r="N142" s="308">
        <f>N141+N131</f>
        <v>11898.141060999998</v>
      </c>
      <c r="O142" s="318">
        <f>O141+O131</f>
        <v>12216.722061</v>
      </c>
    </row>
    <row r="143" spans="2:15" s="58" customFormat="1" collapsed="1" x14ac:dyDescent="0.3">
      <c r="B143" s="20"/>
      <c r="C143" s="126"/>
      <c r="D143" s="236">
        <f>D142-D115</f>
        <v>0</v>
      </c>
      <c r="E143" s="236">
        <f>E142-E115</f>
        <v>0</v>
      </c>
      <c r="F143" s="236">
        <f>F142-F115</f>
        <v>0</v>
      </c>
      <c r="G143" s="236">
        <f>G142-G115</f>
        <v>0</v>
      </c>
      <c r="H143" s="236">
        <f t="shared" ref="H143" si="178">H142-H115</f>
        <v>0</v>
      </c>
      <c r="I143" s="236">
        <f>I142-I115</f>
        <v>0</v>
      </c>
      <c r="J143" s="236">
        <f>J142-J115</f>
        <v>0</v>
      </c>
      <c r="K143" s="236">
        <f>K142-K115</f>
        <v>0</v>
      </c>
      <c r="L143" s="236">
        <f>L142-L115</f>
        <v>0</v>
      </c>
      <c r="M143" s="236">
        <f>M142-M115</f>
        <v>0</v>
      </c>
      <c r="N143" s="1"/>
    </row>
    <row r="144" spans="2:15" s="58" customFormat="1" ht="15.6" x14ac:dyDescent="0.3">
      <c r="B144" s="332" t="s">
        <v>100</v>
      </c>
      <c r="C144" s="333"/>
      <c r="D144" s="236"/>
      <c r="E144" s="236"/>
      <c r="F144" s="236"/>
      <c r="G144" s="236"/>
      <c r="H144" s="236"/>
      <c r="I144" s="237"/>
      <c r="J144" s="236"/>
      <c r="K144" s="238"/>
      <c r="L144" s="238"/>
      <c r="M144" s="238"/>
    </row>
    <row r="145" spans="2:15" s="58" customFormat="1" hidden="1" outlineLevel="1" x14ac:dyDescent="0.3">
      <c r="B145" s="352" t="s">
        <v>0</v>
      </c>
      <c r="C145" s="353"/>
      <c r="D145" s="61" t="s">
        <v>183</v>
      </c>
      <c r="E145" s="61" t="s">
        <v>184</v>
      </c>
      <c r="F145" s="61" t="s">
        <v>185</v>
      </c>
      <c r="G145" s="61" t="s">
        <v>186</v>
      </c>
      <c r="H145" s="61" t="s">
        <v>186</v>
      </c>
      <c r="I145" s="61" t="s">
        <v>187</v>
      </c>
      <c r="J145" s="61" t="s">
        <v>188</v>
      </c>
      <c r="K145" s="61" t="s">
        <v>189</v>
      </c>
      <c r="L145" s="61" t="s">
        <v>190</v>
      </c>
      <c r="M145" s="61" t="s">
        <v>190</v>
      </c>
      <c r="N145" s="305" t="s">
        <v>209</v>
      </c>
      <c r="O145" s="312" t="s">
        <v>210</v>
      </c>
    </row>
    <row r="146" spans="2:15" s="58" customFormat="1" ht="16.2" hidden="1" outlineLevel="1" x14ac:dyDescent="0.45">
      <c r="B146" s="352"/>
      <c r="C146" s="353"/>
      <c r="D146" s="62" t="s">
        <v>25</v>
      </c>
      <c r="E146" s="62" t="s">
        <v>26</v>
      </c>
      <c r="F146" s="62" t="s">
        <v>27</v>
      </c>
      <c r="G146" s="62" t="s">
        <v>28</v>
      </c>
      <c r="H146" s="62" t="s">
        <v>13</v>
      </c>
      <c r="I146" s="62" t="s">
        <v>29</v>
      </c>
      <c r="J146" s="62" t="s">
        <v>30</v>
      </c>
      <c r="K146" s="62" t="s">
        <v>37</v>
      </c>
      <c r="L146" s="62" t="s">
        <v>72</v>
      </c>
      <c r="M146" s="62" t="s">
        <v>73</v>
      </c>
      <c r="N146" s="306" t="s">
        <v>211</v>
      </c>
      <c r="O146" s="313" t="s">
        <v>213</v>
      </c>
    </row>
    <row r="147" spans="2:15" s="58" customFormat="1" hidden="1" outlineLevel="1" x14ac:dyDescent="0.3">
      <c r="B147" s="354" t="s">
        <v>101</v>
      </c>
      <c r="C147" s="355"/>
      <c r="D147" s="127"/>
      <c r="E147" s="128"/>
      <c r="F147" s="128"/>
      <c r="G147" s="129"/>
      <c r="H147" s="130"/>
      <c r="I147" s="131"/>
      <c r="J147" s="125"/>
      <c r="K147" s="123"/>
      <c r="L147" s="123"/>
      <c r="M147" s="124"/>
      <c r="N147" s="309"/>
      <c r="O147" s="319"/>
    </row>
    <row r="148" spans="2:15" s="58" customFormat="1" hidden="1" outlineLevel="1" x14ac:dyDescent="0.3">
      <c r="B148" s="342" t="s">
        <v>102</v>
      </c>
      <c r="C148" s="351"/>
      <c r="D148" s="127">
        <f>D36</f>
        <v>47.04599999999985</v>
      </c>
      <c r="E148" s="135">
        <f>E36</f>
        <v>88.527000000000029</v>
      </c>
      <c r="F148" s="135">
        <f>F36</f>
        <v>44.686000000000149</v>
      </c>
      <c r="G148" s="218">
        <f>G36</f>
        <v>88.13600000000001</v>
      </c>
      <c r="H148" s="130">
        <f>SUM(D148:G148)</f>
        <v>268.39500000000004</v>
      </c>
      <c r="I148" s="127">
        <f t="shared" ref="I148:O148" si="179">I36</f>
        <v>84.887999999999991</v>
      </c>
      <c r="J148" s="135">
        <f t="shared" si="179"/>
        <v>147.49299999999999</v>
      </c>
      <c r="K148" s="135">
        <f t="shared" si="179"/>
        <v>174.46499999999989</v>
      </c>
      <c r="L148" s="218">
        <f t="shared" si="179"/>
        <v>222.70499999999976</v>
      </c>
      <c r="M148" s="239">
        <f t="shared" si="179"/>
        <v>629.55100000000164</v>
      </c>
      <c r="N148" s="310">
        <f t="shared" si="179"/>
        <v>254.30699999999996</v>
      </c>
      <c r="O148" s="320">
        <f t="shared" si="179"/>
        <v>244.0740000000001</v>
      </c>
    </row>
    <row r="149" spans="2:15" s="58" customFormat="1" hidden="1" outlineLevel="1" x14ac:dyDescent="0.3">
      <c r="B149" s="342" t="s">
        <v>103</v>
      </c>
      <c r="C149" s="351"/>
      <c r="D149" s="127">
        <v>77.635999999999996</v>
      </c>
      <c r="E149" s="135">
        <f>155.289-D149</f>
        <v>77.652999999999992</v>
      </c>
      <c r="F149" s="135">
        <f>235.443-D149-E149</f>
        <v>80.154000000000025</v>
      </c>
      <c r="G149" s="135">
        <f>313.59-D149-E149-F149</f>
        <v>78.146999999999963</v>
      </c>
      <c r="H149" s="130">
        <f t="shared" ref="H149:H165" si="180">SUM(D149:G149)</f>
        <v>313.58999999999997</v>
      </c>
      <c r="I149" s="127">
        <v>79.635000000000005</v>
      </c>
      <c r="J149" s="135">
        <f>165.564-I149</f>
        <v>85.928999999999988</v>
      </c>
      <c r="K149" s="135">
        <f>253.114-I149-J149</f>
        <v>87.55</v>
      </c>
      <c r="L149" s="135">
        <f>339.473-I149-J149-K149</f>
        <v>86.359000000000052</v>
      </c>
      <c r="M149" s="219">
        <f>SUM(I149:L149)</f>
        <v>339.47300000000001</v>
      </c>
      <c r="N149" s="127">
        <v>81.2</v>
      </c>
      <c r="O149" s="218">
        <v>84.460999999999999</v>
      </c>
    </row>
    <row r="150" spans="2:15" s="58" customFormat="1" hidden="1" outlineLevel="1" x14ac:dyDescent="0.3">
      <c r="B150" s="114" t="s">
        <v>104</v>
      </c>
      <c r="C150" s="115"/>
      <c r="D150" s="127">
        <v>82.787999999999997</v>
      </c>
      <c r="E150" s="128">
        <f>165.798-D150</f>
        <v>83.01</v>
      </c>
      <c r="F150" s="135">
        <f>248.811-D150-E150</f>
        <v>83.013000000000019</v>
      </c>
      <c r="G150" s="135">
        <f>333.701-D150-E150-F150</f>
        <v>84.89</v>
      </c>
      <c r="H150" s="130">
        <f>SUM(D150:G150)</f>
        <v>333.70100000000002</v>
      </c>
      <c r="I150" s="240">
        <v>84.207999999999998</v>
      </c>
      <c r="J150" s="135">
        <f>168.86-I150</f>
        <v>84.652000000000015</v>
      </c>
      <c r="K150" s="135">
        <f>254.836-I150-J150</f>
        <v>85.975999999999999</v>
      </c>
      <c r="L150" s="135">
        <f>335.859-I150-J150-K150</f>
        <v>81.022999999999968</v>
      </c>
      <c r="M150" s="219">
        <f t="shared" ref="M150:M155" si="181">SUM(I150:L150)</f>
        <v>335.85899999999998</v>
      </c>
      <c r="N150" s="127">
        <v>92.31</v>
      </c>
      <c r="O150" s="218">
        <v>85.57</v>
      </c>
    </row>
    <row r="151" spans="2:15" s="58" customFormat="1" hidden="1" outlineLevel="1" x14ac:dyDescent="0.3">
      <c r="B151" s="137" t="s">
        <v>126</v>
      </c>
      <c r="C151" s="138"/>
      <c r="D151" s="127">
        <v>-3.3410000000000002</v>
      </c>
      <c r="E151" s="128">
        <f>4.632-D151</f>
        <v>7.9729999999999999</v>
      </c>
      <c r="F151" s="135">
        <f>-7.912-D151-E151</f>
        <v>-12.544</v>
      </c>
      <c r="G151" s="135">
        <f>-26.089-D151-E151-F151</f>
        <v>-18.176999999999996</v>
      </c>
      <c r="H151" s="130">
        <f t="shared" ref="H151:H152" si="182">SUM(D151:G151)</f>
        <v>-26.088999999999999</v>
      </c>
      <c r="I151" s="240">
        <v>4.8789999999999996</v>
      </c>
      <c r="J151" s="135">
        <f>-25.431-I151</f>
        <v>-30.310000000000002</v>
      </c>
      <c r="K151" s="135">
        <f>-47.769-I151-J151</f>
        <v>-22.337999999999994</v>
      </c>
      <c r="L151" s="135">
        <f>-69.657-I151-J151-K151</f>
        <v>-21.888000000000005</v>
      </c>
      <c r="M151" s="219">
        <f t="shared" si="181"/>
        <v>-69.657000000000011</v>
      </c>
      <c r="N151" s="127">
        <v>56.905999999999999</v>
      </c>
      <c r="O151" s="218">
        <v>0</v>
      </c>
    </row>
    <row r="152" spans="2:15" s="58" customFormat="1" hidden="1" outlineLevel="1" x14ac:dyDescent="0.3">
      <c r="B152" s="137" t="s">
        <v>148</v>
      </c>
      <c r="C152" s="138"/>
      <c r="D152" s="127">
        <v>0.97499999999999998</v>
      </c>
      <c r="E152" s="128">
        <f>0.623-D152</f>
        <v>-0.35199999999999998</v>
      </c>
      <c r="F152" s="135">
        <f>0.047-D152-E152</f>
        <v>-0.57599999999999996</v>
      </c>
      <c r="G152" s="135">
        <f>-0.074-D152-E152-F152</f>
        <v>-0.121</v>
      </c>
      <c r="H152" s="130">
        <f t="shared" si="182"/>
        <v>-7.3999999999999955E-2</v>
      </c>
      <c r="I152" s="240">
        <v>-9.6869999999999994</v>
      </c>
      <c r="J152" s="135">
        <f>-9.963-I152</f>
        <v>-0.2759999999999998</v>
      </c>
      <c r="K152" s="135">
        <f>-8.548-I152-J152</f>
        <v>1.4149999999999991</v>
      </c>
      <c r="L152" s="135">
        <f>-9.21-I152-J152-K152</f>
        <v>-0.66200000000000081</v>
      </c>
      <c r="M152" s="219">
        <f t="shared" si="181"/>
        <v>-9.2100000000000009</v>
      </c>
      <c r="N152" s="127">
        <v>2.0470000000000002</v>
      </c>
      <c r="O152" s="218">
        <v>3.34</v>
      </c>
    </row>
    <row r="153" spans="2:15" s="58" customFormat="1" hidden="1" outlineLevel="1" x14ac:dyDescent="0.3">
      <c r="B153" s="166" t="s">
        <v>163</v>
      </c>
      <c r="C153" s="167"/>
      <c r="D153" s="127">
        <v>0</v>
      </c>
      <c r="E153" s="128">
        <v>0</v>
      </c>
      <c r="F153" s="135">
        <f>31.883-D153-E153</f>
        <v>31.882999999999999</v>
      </c>
      <c r="G153" s="135">
        <f>53.225-D153-E153-F153</f>
        <v>21.342000000000002</v>
      </c>
      <c r="H153" s="130">
        <f>SUM(D153:G153)</f>
        <v>53.225000000000001</v>
      </c>
      <c r="I153" s="240">
        <v>33.584000000000003</v>
      </c>
      <c r="J153" s="135">
        <f>44.721-I153</f>
        <v>11.136999999999993</v>
      </c>
      <c r="K153" s="135">
        <f>58.326-I153-J153</f>
        <v>13.605000000000004</v>
      </c>
      <c r="L153" s="135">
        <f>68.133-I153-J153-K153</f>
        <v>9.8069999999999951</v>
      </c>
      <c r="M153" s="219">
        <f t="shared" si="181"/>
        <v>68.132999999999996</v>
      </c>
      <c r="N153" s="127">
        <v>14.855</v>
      </c>
      <c r="O153" s="218">
        <v>0</v>
      </c>
    </row>
    <row r="154" spans="2:15" s="58" customFormat="1" hidden="1" outlineLevel="1" x14ac:dyDescent="0.3">
      <c r="B154" s="156" t="s">
        <v>127</v>
      </c>
      <c r="C154" s="157"/>
      <c r="D154" s="127">
        <v>-0.71899999999999997</v>
      </c>
      <c r="E154" s="128">
        <f>4.375-D154</f>
        <v>5.0940000000000003</v>
      </c>
      <c r="F154" s="135">
        <f>0.829-D154-E154</f>
        <v>-3.5460000000000003</v>
      </c>
      <c r="G154" s="135">
        <f>1.889-D154-E154-F154</f>
        <v>1.06</v>
      </c>
      <c r="H154" s="130">
        <f>SUM(D154:G154)</f>
        <v>1.8889999999999998</v>
      </c>
      <c r="I154" s="240">
        <v>-1.2410000000000001</v>
      </c>
      <c r="J154" s="135">
        <f>-0.702-I154</f>
        <v>0.53900000000000015</v>
      </c>
      <c r="K154" s="135">
        <f>0.26-I154-J154</f>
        <v>0.96199999999999997</v>
      </c>
      <c r="L154" s="135">
        <f>-20.199-I154-J154-K154</f>
        <v>-20.459000000000003</v>
      </c>
      <c r="M154" s="219">
        <f t="shared" si="181"/>
        <v>-20.199000000000002</v>
      </c>
      <c r="N154" s="127">
        <v>-1.42</v>
      </c>
      <c r="O154" s="218">
        <v>2.9140000000000001</v>
      </c>
    </row>
    <row r="155" spans="2:15" s="58" customFormat="1" hidden="1" outlineLevel="1" x14ac:dyDescent="0.3">
      <c r="B155" s="114" t="s">
        <v>162</v>
      </c>
      <c r="C155" s="115"/>
      <c r="D155" s="127">
        <v>0</v>
      </c>
      <c r="E155" s="128">
        <v>-4.875</v>
      </c>
      <c r="F155" s="135">
        <f>-31.953-D155-E155</f>
        <v>-27.077999999999999</v>
      </c>
      <c r="G155" s="135">
        <f>-53.235-D155-E155-F155</f>
        <v>-21.282</v>
      </c>
      <c r="H155" s="130">
        <f t="shared" ref="H155" si="183">SUM(D155:G155)</f>
        <v>-53.234999999999999</v>
      </c>
      <c r="I155" s="240">
        <v>-33.598999999999997</v>
      </c>
      <c r="J155" s="135">
        <f>-44.739-I155</f>
        <v>-11.14</v>
      </c>
      <c r="K155" s="135">
        <f>-58.345-I155-J155</f>
        <v>-13.606000000000002</v>
      </c>
      <c r="L155" s="135">
        <f>-68.153-I155-J155-K155</f>
        <v>-9.8080000000000069</v>
      </c>
      <c r="M155" s="219">
        <f t="shared" si="181"/>
        <v>-68.153000000000006</v>
      </c>
      <c r="N155" s="127">
        <v>-14.859</v>
      </c>
      <c r="O155" s="218">
        <v>0</v>
      </c>
    </row>
    <row r="156" spans="2:15" s="58" customFormat="1" ht="4.5" hidden="1" customHeight="1" outlineLevel="1" x14ac:dyDescent="0.3">
      <c r="B156" s="358"/>
      <c r="C156" s="359"/>
      <c r="D156" s="127"/>
      <c r="E156" s="128"/>
      <c r="F156" s="128"/>
      <c r="G156" s="129"/>
      <c r="H156" s="130"/>
      <c r="I156" s="240"/>
      <c r="J156" s="128"/>
      <c r="K156" s="128"/>
      <c r="L156" s="135"/>
      <c r="M156" s="219"/>
      <c r="N156" s="127"/>
      <c r="O156" s="218"/>
    </row>
    <row r="157" spans="2:15" s="58" customFormat="1" ht="4.5" hidden="1" customHeight="1" outlineLevel="1" x14ac:dyDescent="0.3">
      <c r="B157" s="154"/>
      <c r="C157" s="155"/>
      <c r="D157" s="127"/>
      <c r="E157" s="128"/>
      <c r="F157" s="128"/>
      <c r="G157" s="129"/>
      <c r="H157" s="130"/>
      <c r="I157" s="240"/>
      <c r="J157" s="128"/>
      <c r="K157" s="128"/>
      <c r="L157" s="135"/>
      <c r="M157" s="219"/>
      <c r="N157" s="127"/>
      <c r="O157" s="218"/>
    </row>
    <row r="158" spans="2:15" s="58" customFormat="1" hidden="1" outlineLevel="1" x14ac:dyDescent="0.3">
      <c r="B158" s="354" t="s">
        <v>105</v>
      </c>
      <c r="C158" s="355"/>
      <c r="D158" s="127"/>
      <c r="E158" s="128"/>
      <c r="F158" s="128"/>
      <c r="G158" s="129"/>
      <c r="H158" s="130"/>
      <c r="I158" s="240"/>
      <c r="J158" s="128"/>
      <c r="K158" s="128"/>
      <c r="L158" s="128"/>
      <c r="M158" s="219"/>
      <c r="N158" s="127"/>
      <c r="O158" s="218"/>
    </row>
    <row r="159" spans="2:15" s="58" customFormat="1" hidden="1" outlineLevel="1" x14ac:dyDescent="0.3">
      <c r="B159" s="330" t="s">
        <v>106</v>
      </c>
      <c r="C159" s="362"/>
      <c r="D159" s="127">
        <v>90.492000000000004</v>
      </c>
      <c r="E159" s="135">
        <f>69.337-D159</f>
        <v>-21.155000000000001</v>
      </c>
      <c r="F159" s="135">
        <f>71.973-D159-E159</f>
        <v>2.6359999999999957</v>
      </c>
      <c r="G159" s="218">
        <f>7.928-D159-E159-F159</f>
        <v>-64.045000000000002</v>
      </c>
      <c r="H159" s="130">
        <f t="shared" si="180"/>
        <v>7.9279999999999973</v>
      </c>
      <c r="I159" s="127">
        <v>62.058</v>
      </c>
      <c r="J159" s="135">
        <f>91.267-I159</f>
        <v>29.208999999999996</v>
      </c>
      <c r="K159" s="135">
        <f>-0.104-I159-J159</f>
        <v>-91.370999999999995</v>
      </c>
      <c r="L159" s="135">
        <f>-79.502-I159-J159-K159</f>
        <v>-79.39800000000001</v>
      </c>
      <c r="M159" s="130">
        <f t="shared" ref="M159:O175" si="184">SUM(I159:L159)</f>
        <v>-79.50200000000001</v>
      </c>
      <c r="N159" s="240">
        <v>74.274000000000001</v>
      </c>
      <c r="O159" s="129">
        <v>0</v>
      </c>
    </row>
    <row r="160" spans="2:15" s="58" customFormat="1" hidden="1" outlineLevel="1" x14ac:dyDescent="0.3">
      <c r="B160" s="330" t="s">
        <v>107</v>
      </c>
      <c r="C160" s="362"/>
      <c r="D160" s="127">
        <v>-43.558999999999997</v>
      </c>
      <c r="E160" s="135">
        <f>-23.977-D160</f>
        <v>19.581999999999997</v>
      </c>
      <c r="F160" s="135">
        <f>13.352-D160-E160</f>
        <v>37.329000000000008</v>
      </c>
      <c r="G160" s="218">
        <f>-1.918-D160-E160-F160</f>
        <v>-15.270000000000007</v>
      </c>
      <c r="H160" s="130">
        <f>SUM(D160:G160)</f>
        <v>-1.9179999999999993</v>
      </c>
      <c r="I160" s="127">
        <v>-23.911999999999999</v>
      </c>
      <c r="J160" s="135">
        <f>-27.307-I160</f>
        <v>-3.3949999999999996</v>
      </c>
      <c r="K160" s="135">
        <f>-24.453-I160-J160</f>
        <v>2.8539999999999992</v>
      </c>
      <c r="L160" s="135">
        <f>-7.701-I160-J160-K160</f>
        <v>16.751999999999999</v>
      </c>
      <c r="M160" s="130">
        <f>SUM(I160:L160)</f>
        <v>-7.7010000000000005</v>
      </c>
      <c r="N160" s="240">
        <v>-84.831999999999994</v>
      </c>
      <c r="O160" s="129">
        <v>0</v>
      </c>
    </row>
    <row r="161" spans="2:15" s="58" customFormat="1" hidden="1" outlineLevel="1" x14ac:dyDescent="0.3">
      <c r="B161" s="330" t="s">
        <v>93</v>
      </c>
      <c r="C161" s="362"/>
      <c r="D161" s="127">
        <v>2.4119999999999999</v>
      </c>
      <c r="E161" s="135">
        <f>-7.238-D161</f>
        <v>-9.65</v>
      </c>
      <c r="F161" s="135">
        <f>-8.305-D161-E161</f>
        <v>-1.0669999999999984</v>
      </c>
      <c r="G161" s="218">
        <f>6.211-D161-E161-F161</f>
        <v>14.516</v>
      </c>
      <c r="H161" s="219">
        <f t="shared" si="180"/>
        <v>6.2110000000000003</v>
      </c>
      <c r="I161" s="127">
        <v>1.3680000000000001</v>
      </c>
      <c r="J161" s="135">
        <f>-13.763-I161</f>
        <v>-15.131</v>
      </c>
      <c r="K161" s="135">
        <f>-0.614-I161-J161</f>
        <v>13.149000000000001</v>
      </c>
      <c r="L161" s="135">
        <f>22.87-I161-J161-K161</f>
        <v>23.484000000000002</v>
      </c>
      <c r="M161" s="219">
        <f t="shared" si="184"/>
        <v>22.870000000000005</v>
      </c>
      <c r="N161" s="127">
        <v>-21.600999999999999</v>
      </c>
      <c r="O161" s="218">
        <v>0</v>
      </c>
    </row>
    <row r="162" spans="2:15" s="58" customFormat="1" hidden="1" outlineLevel="1" x14ac:dyDescent="0.3">
      <c r="B162" s="152" t="s">
        <v>143</v>
      </c>
      <c r="C162" s="153"/>
      <c r="D162" s="127">
        <v>-60.14</v>
      </c>
      <c r="E162" s="135">
        <f>12.071-D162</f>
        <v>72.210999999999999</v>
      </c>
      <c r="F162" s="135">
        <f>-13.749-D162-E162</f>
        <v>-25.82</v>
      </c>
      <c r="G162" s="218">
        <f>37.544-D162-E162-F162</f>
        <v>51.292999999999999</v>
      </c>
      <c r="H162" s="219">
        <f>SUM(D162:G162)</f>
        <v>37.543999999999997</v>
      </c>
      <c r="I162" s="127">
        <v>-125.28100000000001</v>
      </c>
      <c r="J162" s="135">
        <f>-35.598-I162</f>
        <v>89.683000000000007</v>
      </c>
      <c r="K162" s="135">
        <f>-26.581-I162-J162</f>
        <v>9.0169999999999959</v>
      </c>
      <c r="L162" s="135">
        <f>-5.944-I162-J162-K162</f>
        <v>20.637</v>
      </c>
      <c r="M162" s="219">
        <f>SUM(I162:L162)</f>
        <v>-5.9440000000000026</v>
      </c>
      <c r="N162" s="127">
        <v>-81.111000000000004</v>
      </c>
      <c r="O162" s="218">
        <v>0</v>
      </c>
    </row>
    <row r="163" spans="2:15" s="58" customFormat="1" hidden="1" outlineLevel="1" x14ac:dyDescent="0.3">
      <c r="B163" s="152" t="s">
        <v>140</v>
      </c>
      <c r="C163" s="153"/>
      <c r="D163" s="127">
        <v>-0.52800000000000002</v>
      </c>
      <c r="E163" s="135">
        <f>-4.082-D163</f>
        <v>-3.5539999999999998</v>
      </c>
      <c r="F163" s="135">
        <f>-5.627-D163-E163</f>
        <v>-1.5450000000000004</v>
      </c>
      <c r="G163" s="218">
        <f>8.871-D163-E163-F163</f>
        <v>14.498000000000001</v>
      </c>
      <c r="H163" s="219">
        <f t="shared" ref="H163:H164" si="185">SUM(D163:G163)</f>
        <v>8.8710000000000004</v>
      </c>
      <c r="I163" s="127">
        <v>-14.539</v>
      </c>
      <c r="J163" s="135">
        <f>-15.601-I163</f>
        <v>-1.0620000000000012</v>
      </c>
      <c r="K163" s="135">
        <f>-16.824-I163-J163</f>
        <v>-1.2230000000000008</v>
      </c>
      <c r="L163" s="135">
        <f>-16.62-I163-J163-K163</f>
        <v>0.20400000000000063</v>
      </c>
      <c r="M163" s="219">
        <f t="shared" ref="M163:M164" si="186">SUM(I163:L163)</f>
        <v>-16.62</v>
      </c>
      <c r="N163" s="127">
        <v>0</v>
      </c>
      <c r="O163" s="218">
        <v>0</v>
      </c>
    </row>
    <row r="164" spans="2:15" s="58" customFormat="1" hidden="1" outlineLevel="1" x14ac:dyDescent="0.3">
      <c r="B164" s="152" t="s">
        <v>141</v>
      </c>
      <c r="C164" s="153"/>
      <c r="D164" s="127">
        <v>6.3360000000000003</v>
      </c>
      <c r="E164" s="135">
        <f>11.891-D164</f>
        <v>5.5549999999999997</v>
      </c>
      <c r="F164" s="135">
        <f>4.952-D164-E164</f>
        <v>-6.9390000000000001</v>
      </c>
      <c r="G164" s="218">
        <f>11.006-D164-E164-F164</f>
        <v>6.0540000000000003</v>
      </c>
      <c r="H164" s="219">
        <f t="shared" si="185"/>
        <v>11.006</v>
      </c>
      <c r="I164" s="127">
        <v>21.61</v>
      </c>
      <c r="J164" s="135">
        <f>60.994-I164</f>
        <v>39.384</v>
      </c>
      <c r="K164" s="135">
        <f>83.307-I164-J164</f>
        <v>22.313000000000002</v>
      </c>
      <c r="L164" s="135">
        <f>29.801-I164-J164-K164</f>
        <v>-53.506</v>
      </c>
      <c r="M164" s="219">
        <f t="shared" si="186"/>
        <v>29.801000000000002</v>
      </c>
      <c r="N164" s="127">
        <v>2.085</v>
      </c>
      <c r="O164" s="218">
        <v>0</v>
      </c>
    </row>
    <row r="165" spans="2:15" s="58" customFormat="1" hidden="1" outlineLevel="1" x14ac:dyDescent="0.3">
      <c r="B165" s="116" t="s">
        <v>142</v>
      </c>
      <c r="C165" s="117"/>
      <c r="D165" s="127">
        <v>52.274999999999999</v>
      </c>
      <c r="E165" s="135">
        <f>99.792-D165</f>
        <v>47.517000000000003</v>
      </c>
      <c r="F165" s="135">
        <f>167.726-D165-E165</f>
        <v>67.933999999999997</v>
      </c>
      <c r="G165" s="218">
        <f>326.438-D165-E165-F165</f>
        <v>158.71200000000002</v>
      </c>
      <c r="H165" s="219">
        <f t="shared" si="180"/>
        <v>326.43799999999999</v>
      </c>
      <c r="I165" s="127">
        <v>19.044</v>
      </c>
      <c r="J165" s="135">
        <f>63.816-I165</f>
        <v>44.772000000000006</v>
      </c>
      <c r="K165" s="135">
        <f>141.536-I165-J165</f>
        <v>77.72</v>
      </c>
      <c r="L165" s="135">
        <f>320.801-I165-J165-K165</f>
        <v>179.26500000000001</v>
      </c>
      <c r="M165" s="219">
        <f>SUM(I165:L165)</f>
        <v>320.80100000000004</v>
      </c>
      <c r="N165" s="127">
        <v>123.366</v>
      </c>
      <c r="O165" s="218">
        <v>68.355999999999995</v>
      </c>
    </row>
    <row r="166" spans="2:15" s="58" customFormat="1" hidden="1" outlineLevel="1" x14ac:dyDescent="0.3">
      <c r="B166" s="356" t="s">
        <v>108</v>
      </c>
      <c r="C166" s="357"/>
      <c r="D166" s="241">
        <f t="shared" ref="D166:L166" si="187">SUM(D148:D165)</f>
        <v>251.67299999999989</v>
      </c>
      <c r="E166" s="221">
        <f t="shared" si="187"/>
        <v>367.53600000000006</v>
      </c>
      <c r="F166" s="221">
        <f t="shared" si="187"/>
        <v>268.52000000000021</v>
      </c>
      <c r="G166" s="222">
        <f t="shared" si="187"/>
        <v>399.75299999999993</v>
      </c>
      <c r="H166" s="242">
        <f t="shared" si="187"/>
        <v>1287.482</v>
      </c>
      <c r="I166" s="241">
        <f t="shared" si="187"/>
        <v>183.01500000000001</v>
      </c>
      <c r="J166" s="221">
        <f t="shared" si="187"/>
        <v>471.48399999999998</v>
      </c>
      <c r="K166" s="221">
        <f t="shared" si="187"/>
        <v>360.48799999999994</v>
      </c>
      <c r="L166" s="221">
        <f t="shared" si="187"/>
        <v>454.51499999999976</v>
      </c>
      <c r="M166" s="151">
        <f t="shared" si="184"/>
        <v>1469.5019999999997</v>
      </c>
      <c r="N166" s="241">
        <f>SUM(N148:N165)</f>
        <v>497.52699999999999</v>
      </c>
      <c r="O166" s="222">
        <f>SUM(O148:O165)</f>
        <v>488.71500000000003</v>
      </c>
    </row>
    <row r="167" spans="2:15" s="58" customFormat="1" ht="4.5" hidden="1" customHeight="1" outlineLevel="1" x14ac:dyDescent="0.3">
      <c r="B167" s="358"/>
      <c r="C167" s="359"/>
      <c r="D167" s="127"/>
      <c r="E167" s="135"/>
      <c r="F167" s="135"/>
      <c r="G167" s="218"/>
      <c r="H167" s="219"/>
      <c r="I167" s="127"/>
      <c r="J167" s="135"/>
      <c r="K167" s="135"/>
      <c r="L167" s="135"/>
      <c r="M167" s="219">
        <f t="shared" si="184"/>
        <v>0</v>
      </c>
      <c r="N167" s="127">
        <f t="shared" si="184"/>
        <v>0</v>
      </c>
      <c r="O167" s="218">
        <f t="shared" si="184"/>
        <v>0</v>
      </c>
    </row>
    <row r="168" spans="2:15" s="58" customFormat="1" hidden="1" outlineLevel="1" x14ac:dyDescent="0.3">
      <c r="B168" s="354" t="s">
        <v>109</v>
      </c>
      <c r="C168" s="355"/>
      <c r="D168" s="127"/>
      <c r="E168" s="135"/>
      <c r="F168" s="135"/>
      <c r="G168" s="218"/>
      <c r="H168" s="219"/>
      <c r="I168" s="127"/>
      <c r="J168" s="135"/>
      <c r="K168" s="135"/>
      <c r="L168" s="135"/>
      <c r="M168" s="219"/>
      <c r="N168" s="127"/>
      <c r="O168" s="218"/>
    </row>
    <row r="169" spans="2:15" s="58" customFormat="1" hidden="1" outlineLevel="1" x14ac:dyDescent="0.3">
      <c r="B169" s="330" t="s">
        <v>149</v>
      </c>
      <c r="C169" s="362"/>
      <c r="D169" s="127">
        <v>-377.59800000000001</v>
      </c>
      <c r="E169" s="135">
        <f>-895.758-D169</f>
        <v>-518.16000000000008</v>
      </c>
      <c r="F169" s="135">
        <f>-1412.539-D169-E169</f>
        <v>-516.78099999999995</v>
      </c>
      <c r="G169" s="218">
        <f>-2014.186-D169-E169-F169</f>
        <v>-601.64699999999993</v>
      </c>
      <c r="H169" s="219">
        <f>SUM(D169:G169)</f>
        <v>-2014.1859999999999</v>
      </c>
      <c r="I169" s="127">
        <v>-318.93799999999999</v>
      </c>
      <c r="J169" s="135">
        <f>-679.378-I169</f>
        <v>-360.44000000000005</v>
      </c>
      <c r="K169" s="135">
        <f>-1424.288-I169-J169</f>
        <v>-744.90999999999985</v>
      </c>
      <c r="L169" s="135">
        <f>-2064.833-I169-J169-K169</f>
        <v>-640.54500000000007</v>
      </c>
      <c r="M169" s="219">
        <f t="shared" si="184"/>
        <v>-2064.8330000000001</v>
      </c>
      <c r="N169" s="127">
        <v>-534.30999999999995</v>
      </c>
      <c r="O169" s="218">
        <v>-148.797</v>
      </c>
    </row>
    <row r="170" spans="2:15" s="58" customFormat="1" hidden="1" outlineLevel="1" x14ac:dyDescent="0.3">
      <c r="B170" s="330" t="s">
        <v>150</v>
      </c>
      <c r="C170" s="362"/>
      <c r="D170" s="127">
        <v>46.12</v>
      </c>
      <c r="E170" s="135">
        <f>128.661-D170</f>
        <v>82.540999999999997</v>
      </c>
      <c r="F170" s="135">
        <f>913.308-D170-E170</f>
        <v>784.64699999999993</v>
      </c>
      <c r="G170" s="218">
        <f>272.076-D170-E170-F170</f>
        <v>-641.23199999999997</v>
      </c>
      <c r="H170" s="219">
        <f>SUM(D170:G170)</f>
        <v>272.07600000000002</v>
      </c>
      <c r="I170" s="127">
        <v>88.728999999999999</v>
      </c>
      <c r="J170" s="135">
        <f>174.139-I170</f>
        <v>85.410000000000011</v>
      </c>
      <c r="K170" s="135">
        <f>254.02-I170-J170</f>
        <v>79.880999999999986</v>
      </c>
      <c r="L170" s="135">
        <f>371.79-I170-J170-K170</f>
        <v>117.77000000000002</v>
      </c>
      <c r="M170" s="219">
        <f t="shared" si="184"/>
        <v>371.79</v>
      </c>
      <c r="N170" s="127">
        <v>178.93899999999999</v>
      </c>
      <c r="O170" s="218">
        <v>0</v>
      </c>
    </row>
    <row r="171" spans="2:15" s="58" customFormat="1" hidden="1" outlineLevel="1" x14ac:dyDescent="0.3">
      <c r="B171" s="139" t="s">
        <v>151</v>
      </c>
      <c r="C171" s="140"/>
      <c r="D171" s="127">
        <v>269.73200000000003</v>
      </c>
      <c r="E171" s="135">
        <f>587.384-D171</f>
        <v>317.65199999999999</v>
      </c>
      <c r="F171" s="135">
        <f>209.172-D171-E171</f>
        <v>-378.21199999999999</v>
      </c>
      <c r="G171" s="218">
        <f>1443.577-D171-E171-F171</f>
        <v>1234.405</v>
      </c>
      <c r="H171" s="219">
        <f t="shared" ref="H171:H174" si="188">SUM(D171:G171)</f>
        <v>1443.577</v>
      </c>
      <c r="I171" s="127">
        <v>382.61099999999999</v>
      </c>
      <c r="J171" s="135">
        <f>661.182-I171</f>
        <v>278.57100000000003</v>
      </c>
      <c r="K171" s="135">
        <f>931.267-I171-J171</f>
        <v>270.08500000000004</v>
      </c>
      <c r="L171" s="135">
        <f>1176.476-I171-J171-K171</f>
        <v>245.20900000000006</v>
      </c>
      <c r="M171" s="219">
        <f t="shared" si="184"/>
        <v>1176.4760000000001</v>
      </c>
      <c r="N171" s="127">
        <v>194.51499999999999</v>
      </c>
      <c r="O171" s="218">
        <v>0</v>
      </c>
    </row>
    <row r="172" spans="2:15" s="58" customFormat="1" hidden="1" outlineLevel="1" x14ac:dyDescent="0.3">
      <c r="B172" s="139" t="s">
        <v>152</v>
      </c>
      <c r="C172" s="140"/>
      <c r="D172" s="127">
        <v>0</v>
      </c>
      <c r="E172" s="135">
        <v>0</v>
      </c>
      <c r="F172" s="135">
        <f>0-D172-E172</f>
        <v>0</v>
      </c>
      <c r="G172" s="218">
        <f>-29.802-D172-E172-F172</f>
        <v>-29.802</v>
      </c>
      <c r="H172" s="219">
        <f t="shared" si="188"/>
        <v>-29.802</v>
      </c>
      <c r="I172" s="127">
        <v>-800.34199999999998</v>
      </c>
      <c r="J172" s="135">
        <f>-805.979-I172</f>
        <v>-5.6370000000000573</v>
      </c>
      <c r="K172" s="135">
        <f>-826.004-I172-J172</f>
        <v>-20.024999999999977</v>
      </c>
      <c r="L172" s="135">
        <f>-826.004-I172-J172-K172</f>
        <v>0</v>
      </c>
      <c r="M172" s="219">
        <f t="shared" si="184"/>
        <v>-826.00400000000002</v>
      </c>
      <c r="N172" s="127">
        <v>0</v>
      </c>
      <c r="O172" s="218">
        <v>-48.427</v>
      </c>
    </row>
    <row r="173" spans="2:15" s="58" customFormat="1" hidden="1" outlineLevel="1" x14ac:dyDescent="0.3">
      <c r="B173" s="139" t="s">
        <v>128</v>
      </c>
      <c r="C173" s="140"/>
      <c r="D173" s="127">
        <v>-29.393000000000001</v>
      </c>
      <c r="E173" s="135">
        <f>-56.591-D173</f>
        <v>-27.198</v>
      </c>
      <c r="F173" s="135">
        <f>-111.557-D173-E173</f>
        <v>-54.966000000000001</v>
      </c>
      <c r="G173" s="218">
        <f>-148.332-D173-E173-F173</f>
        <v>-36.774999999999984</v>
      </c>
      <c r="H173" s="219">
        <f t="shared" si="188"/>
        <v>-148.33199999999999</v>
      </c>
      <c r="I173" s="127">
        <v>-35.545999999999999</v>
      </c>
      <c r="J173" s="135">
        <f>-71.276-I173</f>
        <v>-35.729999999999997</v>
      </c>
      <c r="K173" s="135">
        <f>-120.26-I173-J173</f>
        <v>-48.984000000000002</v>
      </c>
      <c r="L173" s="135">
        <f>-184.936-I173-J173-K173</f>
        <v>-64.676000000000016</v>
      </c>
      <c r="M173" s="219">
        <f t="shared" si="184"/>
        <v>-184.93600000000001</v>
      </c>
      <c r="N173" s="127">
        <v>-46.2</v>
      </c>
      <c r="O173" s="218">
        <v>-53.759</v>
      </c>
    </row>
    <row r="174" spans="2:15" s="58" customFormat="1" hidden="1" outlineLevel="1" x14ac:dyDescent="0.3">
      <c r="B174" s="139" t="s">
        <v>153</v>
      </c>
      <c r="C174" s="140"/>
      <c r="D174" s="127">
        <v>-4.0620000000000003</v>
      </c>
      <c r="E174" s="135">
        <f>-6.946-D174</f>
        <v>-2.8839999999999995</v>
      </c>
      <c r="F174" s="135">
        <f>-12.496-D174-E174</f>
        <v>-5.5500000000000016</v>
      </c>
      <c r="G174" s="218">
        <f>-17.572-D174-E174-F174</f>
        <v>-5.0759999999999961</v>
      </c>
      <c r="H174" s="219">
        <f t="shared" si="188"/>
        <v>-17.571999999999999</v>
      </c>
      <c r="I174" s="127">
        <v>-16.030999999999999</v>
      </c>
      <c r="J174" s="135">
        <f>-17.954-I174</f>
        <v>-1.9230000000000018</v>
      </c>
      <c r="K174" s="135">
        <f>-20.853-I174-J174</f>
        <v>-2.8990000000000009</v>
      </c>
      <c r="L174" s="135">
        <f>-22.779-I174-J174-K174</f>
        <v>-1.9259999999999984</v>
      </c>
      <c r="M174" s="219">
        <f t="shared" si="184"/>
        <v>-22.779</v>
      </c>
      <c r="N174" s="127">
        <v>-51.892000000000003</v>
      </c>
      <c r="O174" s="218">
        <v>-5.22E-4</v>
      </c>
    </row>
    <row r="175" spans="2:15" s="58" customFormat="1" ht="16.2" hidden="1" outlineLevel="1" x14ac:dyDescent="0.45">
      <c r="B175" s="116" t="s">
        <v>154</v>
      </c>
      <c r="C175" s="132"/>
      <c r="D175" s="243">
        <v>0.77900000000000003</v>
      </c>
      <c r="E175" s="244">
        <f>0.896-D175</f>
        <v>0.11699999999999999</v>
      </c>
      <c r="F175" s="244">
        <f>1.364-D175-E175</f>
        <v>0.46800000000000008</v>
      </c>
      <c r="G175" s="245">
        <f>3.532-D175-E175-F175</f>
        <v>2.1680000000000001</v>
      </c>
      <c r="H175" s="246">
        <f t="shared" ref="H175" si="189">SUM(D175:G175)</f>
        <v>3.532</v>
      </c>
      <c r="I175" s="243">
        <v>1.1459999999999999</v>
      </c>
      <c r="J175" s="244">
        <f>1.986-I175</f>
        <v>0.84000000000000008</v>
      </c>
      <c r="K175" s="244">
        <f>3.747-I175-J175</f>
        <v>1.7609999999999999</v>
      </c>
      <c r="L175" s="244">
        <f>61.928-I175-J175-K175</f>
        <v>58.18099999999999</v>
      </c>
      <c r="M175" s="246">
        <f t="shared" si="184"/>
        <v>61.92799999999999</v>
      </c>
      <c r="N175" s="243">
        <v>1.06E-4</v>
      </c>
      <c r="O175" s="245">
        <v>0</v>
      </c>
    </row>
    <row r="176" spans="2:15" s="58" customFormat="1" hidden="1" outlineLevel="1" x14ac:dyDescent="0.3">
      <c r="B176" s="356" t="s">
        <v>110</v>
      </c>
      <c r="C176" s="357"/>
      <c r="D176" s="241">
        <f t="shared" ref="D176:M176" si="190">SUM(D169:D175)</f>
        <v>-94.421999999999983</v>
      </c>
      <c r="E176" s="221">
        <f t="shared" si="190"/>
        <v>-147.9320000000001</v>
      </c>
      <c r="F176" s="221">
        <f t="shared" si="190"/>
        <v>-170.39400000000003</v>
      </c>
      <c r="G176" s="222">
        <f t="shared" si="190"/>
        <v>-77.958999999999904</v>
      </c>
      <c r="H176" s="242">
        <f t="shared" si="190"/>
        <v>-490.70699999999994</v>
      </c>
      <c r="I176" s="241">
        <f t="shared" si="190"/>
        <v>-698.37100000000009</v>
      </c>
      <c r="J176" s="221">
        <f t="shared" si="190"/>
        <v>-38.909000000000056</v>
      </c>
      <c r="K176" s="221">
        <f t="shared" si="190"/>
        <v>-465.09099999999978</v>
      </c>
      <c r="L176" s="221">
        <f t="shared" si="190"/>
        <v>-285.98700000000008</v>
      </c>
      <c r="M176" s="242">
        <f t="shared" si="190"/>
        <v>-1488.3579999999999</v>
      </c>
      <c r="N176" s="311">
        <f t="shared" ref="N176:O176" si="191">SUM(N169:N175)</f>
        <v>-258.94789399999996</v>
      </c>
      <c r="O176" s="321">
        <f t="shared" si="191"/>
        <v>-250.98352199999999</v>
      </c>
    </row>
    <row r="177" spans="2:24" s="58" customFormat="1" ht="4.5" hidden="1" customHeight="1" outlineLevel="1" x14ac:dyDescent="0.3">
      <c r="B177" s="358"/>
      <c r="C177" s="359"/>
      <c r="D177" s="127"/>
      <c r="E177" s="135"/>
      <c r="F177" s="135"/>
      <c r="G177" s="218"/>
      <c r="H177" s="219"/>
      <c r="I177" s="127"/>
      <c r="J177" s="135"/>
      <c r="K177" s="135"/>
      <c r="L177" s="135"/>
      <c r="M177" s="219"/>
      <c r="N177" s="127"/>
      <c r="O177" s="218"/>
    </row>
    <row r="178" spans="2:24" s="58" customFormat="1" hidden="1" outlineLevel="1" x14ac:dyDescent="0.3">
      <c r="B178" s="354" t="s">
        <v>111</v>
      </c>
      <c r="C178" s="355"/>
      <c r="D178" s="127"/>
      <c r="E178" s="135"/>
      <c r="F178" s="135"/>
      <c r="G178" s="218"/>
      <c r="H178" s="219"/>
      <c r="I178" s="127"/>
      <c r="J178" s="135"/>
      <c r="K178" s="135"/>
      <c r="L178" s="135"/>
      <c r="M178" s="219"/>
      <c r="N178" s="127"/>
      <c r="O178" s="218"/>
    </row>
    <row r="179" spans="2:24" s="58" customFormat="1" hidden="1" outlineLevel="1" x14ac:dyDescent="0.3">
      <c r="B179" s="116" t="s">
        <v>155</v>
      </c>
      <c r="C179" s="117"/>
      <c r="D179" s="127">
        <v>-200</v>
      </c>
      <c r="E179" s="135">
        <f>-350-D179</f>
        <v>-150</v>
      </c>
      <c r="F179" s="135">
        <f>-475-D179-E179</f>
        <v>-125</v>
      </c>
      <c r="G179" s="218">
        <f>-600-D179-E179-F179</f>
        <v>-125</v>
      </c>
      <c r="H179" s="219">
        <f t="shared" ref="H179:H183" si="192">SUM(D179:G179)</f>
        <v>-600</v>
      </c>
      <c r="I179" s="127">
        <v>-200</v>
      </c>
      <c r="J179" s="135">
        <f>-400-I179</f>
        <v>-200</v>
      </c>
      <c r="K179" s="135">
        <f>-500-I179-J179</f>
        <v>-100</v>
      </c>
      <c r="L179" s="135">
        <f>-625-I179-J179-K179</f>
        <v>-125</v>
      </c>
      <c r="M179" s="219">
        <f t="shared" ref="M179:M180" si="193">SUM(I179:L179)</f>
        <v>-625</v>
      </c>
      <c r="N179" s="127">
        <v>-150</v>
      </c>
      <c r="O179" s="218">
        <v>-225</v>
      </c>
    </row>
    <row r="180" spans="2:24" s="58" customFormat="1" hidden="1" outlineLevel="1" x14ac:dyDescent="0.3">
      <c r="B180" s="116" t="s">
        <v>159</v>
      </c>
      <c r="C180" s="117"/>
      <c r="D180" s="127">
        <v>-53.776000000000003</v>
      </c>
      <c r="E180" s="135">
        <f>109.143-D180</f>
        <v>162.91900000000001</v>
      </c>
      <c r="F180" s="135">
        <f>213.841-D180-E180</f>
        <v>104.69800000000001</v>
      </c>
      <c r="G180" s="218">
        <f>227.841-D180-E180-F180</f>
        <v>14</v>
      </c>
      <c r="H180" s="219">
        <f t="shared" si="192"/>
        <v>227.84100000000001</v>
      </c>
      <c r="I180" s="127">
        <v>56.32</v>
      </c>
      <c r="J180" s="135">
        <f>71.169-I180</f>
        <v>14.848999999999997</v>
      </c>
      <c r="K180" s="135">
        <f>154.759-I180-J180</f>
        <v>83.59</v>
      </c>
      <c r="L180" s="135">
        <f>164.27-I180-J180-K180</f>
        <v>9.5110000000000241</v>
      </c>
      <c r="M180" s="219">
        <f t="shared" si="193"/>
        <v>164.27000000000004</v>
      </c>
      <c r="N180" s="127">
        <v>45.543999999999997</v>
      </c>
      <c r="O180" s="218">
        <v>0</v>
      </c>
    </row>
    <row r="181" spans="2:24" s="58" customFormat="1" hidden="1" outlineLevel="1" x14ac:dyDescent="0.3">
      <c r="B181" s="152" t="s">
        <v>160</v>
      </c>
      <c r="C181" s="153"/>
      <c r="D181" s="127">
        <v>0</v>
      </c>
      <c r="E181" s="135">
        <v>-150.095</v>
      </c>
      <c r="F181" s="135">
        <f>-163.293-D181-E181</f>
        <v>-13.198000000000008</v>
      </c>
      <c r="G181" s="218">
        <f>-173.675-D181-E181-F181</f>
        <v>-10.382000000000005</v>
      </c>
      <c r="H181" s="219">
        <f>SUM(D181:G181)</f>
        <v>-173.67500000000001</v>
      </c>
      <c r="I181" s="127">
        <v>-150.017</v>
      </c>
      <c r="J181" s="135">
        <f>-161.955-I181</f>
        <v>-11.938000000000017</v>
      </c>
      <c r="K181" s="135">
        <f>-176.904-I181-J181</f>
        <v>-14.948999999999984</v>
      </c>
      <c r="L181" s="135">
        <f>-186.373-I181-J181-K181</f>
        <v>-9.4689999999999941</v>
      </c>
      <c r="M181" s="219">
        <f>SUM(I181:L181)</f>
        <v>-186.37299999999999</v>
      </c>
      <c r="N181" s="127">
        <v>-194.79499999999999</v>
      </c>
      <c r="O181" s="218">
        <v>-6.2969999999999997</v>
      </c>
    </row>
    <row r="182" spans="2:24" s="58" customFormat="1" hidden="1" outlineLevel="1" x14ac:dyDescent="0.3">
      <c r="B182" s="152" t="s">
        <v>161</v>
      </c>
      <c r="C182" s="153"/>
      <c r="D182" s="127">
        <v>0</v>
      </c>
      <c r="E182" s="135">
        <f>4.875</f>
        <v>4.875</v>
      </c>
      <c r="F182" s="135">
        <f>31.953-D182-E182</f>
        <v>27.077999999999999</v>
      </c>
      <c r="G182" s="218">
        <f>53.235-D182-E182-F182</f>
        <v>21.282</v>
      </c>
      <c r="H182" s="219">
        <f>SUM(D182:G182)</f>
        <v>53.234999999999999</v>
      </c>
      <c r="I182" s="127">
        <v>33.598999999999997</v>
      </c>
      <c r="J182" s="135">
        <f>44.739-I182</f>
        <v>11.14</v>
      </c>
      <c r="K182" s="135">
        <f>58.345-I182-J182</f>
        <v>13.606000000000002</v>
      </c>
      <c r="L182" s="135">
        <f>68.153-I182-J182-K182</f>
        <v>9.8080000000000069</v>
      </c>
      <c r="M182" s="219">
        <f>SUM(I182:L182)</f>
        <v>68.153000000000006</v>
      </c>
      <c r="N182" s="127">
        <v>14.859</v>
      </c>
      <c r="O182" s="218">
        <v>50.43</v>
      </c>
    </row>
    <row r="183" spans="2:24" s="58" customFormat="1" hidden="1" outlineLevel="1" x14ac:dyDescent="0.3">
      <c r="B183" s="330" t="s">
        <v>156</v>
      </c>
      <c r="C183" s="362"/>
      <c r="D183" s="127">
        <v>0</v>
      </c>
      <c r="E183" s="135">
        <v>0</v>
      </c>
      <c r="F183" s="135">
        <f>0-D183-E183</f>
        <v>0</v>
      </c>
      <c r="G183" s="218">
        <f t="shared" ref="G183:G185" si="194">0-D183-E183-F183</f>
        <v>0</v>
      </c>
      <c r="H183" s="219">
        <f t="shared" si="192"/>
        <v>0</v>
      </c>
      <c r="I183" s="127">
        <v>989.28</v>
      </c>
      <c r="J183" s="135">
        <f>989.28-I183</f>
        <v>0</v>
      </c>
      <c r="K183" s="135">
        <f>989.28-I183-J183</f>
        <v>0</v>
      </c>
      <c r="L183" s="135">
        <f>989.28-I183-J183-K183</f>
        <v>0</v>
      </c>
      <c r="M183" s="219">
        <f>SUM(I183:L183)</f>
        <v>989.28</v>
      </c>
      <c r="N183" s="127">
        <v>0</v>
      </c>
      <c r="O183" s="218">
        <v>0</v>
      </c>
    </row>
    <row r="184" spans="2:24" s="58" customFormat="1" hidden="1" outlineLevel="1" x14ac:dyDescent="0.3">
      <c r="B184" s="330" t="s">
        <v>157</v>
      </c>
      <c r="C184" s="362"/>
      <c r="D184" s="127">
        <v>-4.4329999999999998</v>
      </c>
      <c r="E184" s="135">
        <f>-8.059-D184</f>
        <v>-3.6259999999999994</v>
      </c>
      <c r="F184" s="135">
        <f>-11.341-D184-E184</f>
        <v>-3.282</v>
      </c>
      <c r="G184" s="218">
        <f>-14.684-D184-E184-F184</f>
        <v>-3.343</v>
      </c>
      <c r="H184" s="219">
        <f>SUM(D184:G184)</f>
        <v>-14.683999999999999</v>
      </c>
      <c r="I184" s="127">
        <v>-602.18899999999996</v>
      </c>
      <c r="J184" s="135">
        <f>-602.189-I184</f>
        <v>0</v>
      </c>
      <c r="K184" s="135">
        <f>-602.189-I184-J184</f>
        <v>0</v>
      </c>
      <c r="L184" s="135">
        <f>-602.189-I184-J184-K184</f>
        <v>0</v>
      </c>
      <c r="M184" s="219">
        <f t="shared" ref="M184:M185" si="195">SUM(I184:L184)</f>
        <v>-602.18899999999996</v>
      </c>
      <c r="N184" s="127">
        <v>0</v>
      </c>
      <c r="O184" s="218">
        <v>-2.0999999999999999E-5</v>
      </c>
    </row>
    <row r="185" spans="2:24" s="58" customFormat="1" hidden="1" outlineLevel="1" x14ac:dyDescent="0.3">
      <c r="B185" s="330" t="s">
        <v>158</v>
      </c>
      <c r="C185" s="362"/>
      <c r="D185" s="127">
        <v>0</v>
      </c>
      <c r="E185" s="135">
        <v>0</v>
      </c>
      <c r="F185" s="135">
        <f>0-D185-E185</f>
        <v>0</v>
      </c>
      <c r="G185" s="218">
        <f t="shared" si="194"/>
        <v>0</v>
      </c>
      <c r="H185" s="219">
        <f>SUM(D185:G185)</f>
        <v>0</v>
      </c>
      <c r="I185" s="127">
        <v>-7.718</v>
      </c>
      <c r="J185" s="135">
        <f>-7.871-I185</f>
        <v>-0.15300000000000047</v>
      </c>
      <c r="K185" s="135">
        <f>-8.828-I185-J185</f>
        <v>-0.95699999999999896</v>
      </c>
      <c r="L185" s="135">
        <f>-8.828-I185-J185-K185</f>
        <v>0</v>
      </c>
      <c r="M185" s="219">
        <f t="shared" si="195"/>
        <v>-8.8279999999999994</v>
      </c>
      <c r="N185" s="127">
        <v>0</v>
      </c>
      <c r="O185" s="218">
        <v>0</v>
      </c>
    </row>
    <row r="186" spans="2:24" s="58" customFormat="1" hidden="1" outlineLevel="1" x14ac:dyDescent="0.3">
      <c r="B186" s="356" t="s">
        <v>112</v>
      </c>
      <c r="C186" s="357"/>
      <c r="D186" s="241">
        <f t="shared" ref="D186:M186" si="196">SUM(D179:D185)</f>
        <v>-258.209</v>
      </c>
      <c r="E186" s="221">
        <f t="shared" si="196"/>
        <v>-135.92699999999999</v>
      </c>
      <c r="F186" s="221">
        <f t="shared" si="196"/>
        <v>-9.7040000000000006</v>
      </c>
      <c r="G186" s="222">
        <f t="shared" si="196"/>
        <v>-103.44300000000001</v>
      </c>
      <c r="H186" s="219">
        <f t="shared" si="196"/>
        <v>-507.28300000000007</v>
      </c>
      <c r="I186" s="241">
        <f t="shared" si="196"/>
        <v>119.27500000000005</v>
      </c>
      <c r="J186" s="221">
        <f t="shared" si="196"/>
        <v>-186.102</v>
      </c>
      <c r="K186" s="221">
        <f t="shared" si="196"/>
        <v>-18.70999999999998</v>
      </c>
      <c r="L186" s="221">
        <f t="shared" si="196"/>
        <v>-115.14999999999996</v>
      </c>
      <c r="M186" s="219">
        <f t="shared" si="196"/>
        <v>-200.68699999999993</v>
      </c>
      <c r="N186" s="127">
        <f>SUM(N179:N185)</f>
        <v>-284.392</v>
      </c>
      <c r="O186" s="218">
        <f>SUM(O179:O185)</f>
        <v>-180.86702099999999</v>
      </c>
    </row>
    <row r="187" spans="2:24" s="58" customFormat="1" hidden="1" outlineLevel="1" x14ac:dyDescent="0.3">
      <c r="B187" s="356" t="s">
        <v>113</v>
      </c>
      <c r="C187" s="357"/>
      <c r="D187" s="241">
        <f t="shared" ref="D187:M187" si="197">D186+D176+D166</f>
        <v>-100.95800000000008</v>
      </c>
      <c r="E187" s="230">
        <f t="shared" si="197"/>
        <v>83.676999999999964</v>
      </c>
      <c r="F187" s="230">
        <f t="shared" si="197"/>
        <v>88.422000000000168</v>
      </c>
      <c r="G187" s="247">
        <f t="shared" si="197"/>
        <v>218.351</v>
      </c>
      <c r="H187" s="223">
        <f t="shared" si="197"/>
        <v>289.49199999999996</v>
      </c>
      <c r="I187" s="248">
        <f t="shared" si="197"/>
        <v>-396.08100000000002</v>
      </c>
      <c r="J187" s="230">
        <f t="shared" si="197"/>
        <v>246.47299999999993</v>
      </c>
      <c r="K187" s="221">
        <f t="shared" si="197"/>
        <v>-123.31299999999982</v>
      </c>
      <c r="L187" s="230">
        <f t="shared" si="197"/>
        <v>53.377999999999702</v>
      </c>
      <c r="M187" s="223">
        <f t="shared" si="197"/>
        <v>-219.54300000000012</v>
      </c>
      <c r="N187" s="248">
        <f t="shared" ref="N187:O187" si="198">N186+N176+N166</f>
        <v>-45.812893999999972</v>
      </c>
      <c r="O187" s="247">
        <f t="shared" si="198"/>
        <v>56.864457000000016</v>
      </c>
    </row>
    <row r="188" spans="2:24" s="59" customFormat="1" hidden="1" outlineLevel="1" x14ac:dyDescent="0.3">
      <c r="B188" s="116" t="s">
        <v>114</v>
      </c>
      <c r="C188" s="117"/>
      <c r="D188" s="224">
        <v>0.318</v>
      </c>
      <c r="E188" s="249">
        <f>0.255-D188-0.3</f>
        <v>-0.36299999999999999</v>
      </c>
      <c r="F188" s="249">
        <f>-2.278-D188-E188</f>
        <v>-2.2330000000000001</v>
      </c>
      <c r="G188" s="250">
        <f>-6.648-D188-E188-F188</f>
        <v>-4.3699999999999992</v>
      </c>
      <c r="H188" s="227">
        <f>SUM(D188:G188)</f>
        <v>-6.6479999999999997</v>
      </c>
      <c r="I188" s="251">
        <v>-8.4350000000000005</v>
      </c>
      <c r="J188" s="249">
        <f>-11.645-I188</f>
        <v>-3.2099999999999991</v>
      </c>
      <c r="K188" s="225">
        <f>-15.187-I188-J188</f>
        <v>-3.5419999999999998</v>
      </c>
      <c r="L188" s="249">
        <f>-21.297-I188-J188-K188</f>
        <v>-6.1100000000000012</v>
      </c>
      <c r="M188" s="227">
        <f>SUM(I188:L188)</f>
        <v>-21.297000000000001</v>
      </c>
      <c r="N188" s="251">
        <v>-1.5699999999999999E-4</v>
      </c>
      <c r="O188" s="250">
        <v>-6.3900000000000003E-4</v>
      </c>
    </row>
    <row r="189" spans="2:24" s="58" customFormat="1" hidden="1" outlineLevel="1" x14ac:dyDescent="0.3">
      <c r="B189" s="356" t="s">
        <v>115</v>
      </c>
      <c r="C189" s="357"/>
      <c r="D189" s="241">
        <v>834.55600000000004</v>
      </c>
      <c r="E189" s="230">
        <f>D190</f>
        <v>733.91599999999994</v>
      </c>
      <c r="F189" s="230">
        <f t="shared" ref="F189:G189" si="199">E190</f>
        <v>817.22999999999979</v>
      </c>
      <c r="G189" s="247">
        <f t="shared" si="199"/>
        <v>903.41899999999998</v>
      </c>
      <c r="H189" s="151">
        <f>D189</f>
        <v>834.55600000000004</v>
      </c>
      <c r="I189" s="248">
        <f>H190</f>
        <v>1117.4000000000001</v>
      </c>
      <c r="J189" s="230">
        <f>I190</f>
        <v>712.88400000000013</v>
      </c>
      <c r="K189" s="221">
        <f t="shared" ref="K189:L189" si="200">J190</f>
        <v>956.14700000000005</v>
      </c>
      <c r="L189" s="230">
        <f t="shared" si="200"/>
        <v>829.29200000000026</v>
      </c>
      <c r="M189" s="223">
        <f>H190</f>
        <v>1117.4000000000001</v>
      </c>
      <c r="N189" s="248">
        <f>M190</f>
        <v>876.56</v>
      </c>
      <c r="O189" s="247">
        <f>N190</f>
        <v>830.74694900000009</v>
      </c>
    </row>
    <row r="190" spans="2:24" s="58" customFormat="1" hidden="1" outlineLevel="1" x14ac:dyDescent="0.3">
      <c r="B190" s="356" t="s">
        <v>116</v>
      </c>
      <c r="C190" s="357"/>
      <c r="D190" s="241">
        <f>D189+D187+D188</f>
        <v>733.91599999999994</v>
      </c>
      <c r="E190" s="230">
        <f t="shared" ref="E190:G190" si="201">E189+E187+E188</f>
        <v>817.22999999999979</v>
      </c>
      <c r="F190" s="230">
        <f t="shared" si="201"/>
        <v>903.41899999999998</v>
      </c>
      <c r="G190" s="222">
        <f t="shared" si="201"/>
        <v>1117.4000000000001</v>
      </c>
      <c r="H190" s="223">
        <f>G190</f>
        <v>1117.4000000000001</v>
      </c>
      <c r="I190" s="241">
        <f t="shared" ref="I190:L190" si="202">I189+I187+I188</f>
        <v>712.88400000000013</v>
      </c>
      <c r="J190" s="230">
        <f t="shared" si="202"/>
        <v>956.14700000000005</v>
      </c>
      <c r="K190" s="221">
        <f t="shared" si="202"/>
        <v>829.29200000000026</v>
      </c>
      <c r="L190" s="230">
        <f t="shared" si="202"/>
        <v>876.56</v>
      </c>
      <c r="M190" s="223">
        <f t="shared" ref="M190:O190" si="203">M189+M187+M188</f>
        <v>876.56</v>
      </c>
      <c r="N190" s="248">
        <f t="shared" si="203"/>
        <v>830.74694900000009</v>
      </c>
      <c r="O190" s="247">
        <f t="shared" si="203"/>
        <v>887.61076700000012</v>
      </c>
    </row>
    <row r="191" spans="2:24" s="58" customFormat="1" hidden="1" outlineLevel="1" x14ac:dyDescent="0.3">
      <c r="B191" s="378" t="s">
        <v>117</v>
      </c>
      <c r="C191" s="379"/>
      <c r="D191" s="252">
        <f t="shared" ref="D191:L191" si="204">(D104+D105)/D40</f>
        <v>6.161411653617658</v>
      </c>
      <c r="E191" s="253">
        <f t="shared" si="204"/>
        <v>6.5725211027715327</v>
      </c>
      <c r="F191" s="253">
        <f t="shared" si="204"/>
        <v>6.9321007225129039</v>
      </c>
      <c r="G191" s="253">
        <f t="shared" si="204"/>
        <v>7.3691666781620295</v>
      </c>
      <c r="H191" s="252">
        <f t="shared" si="204"/>
        <v>7.3696928355948019</v>
      </c>
      <c r="I191" s="252">
        <f t="shared" si="204"/>
        <v>6.259423162557189</v>
      </c>
      <c r="J191" s="253">
        <f t="shared" si="204"/>
        <v>6.7511264245958129</v>
      </c>
      <c r="K191" s="253">
        <f t="shared" si="204"/>
        <v>7.2531983416665176</v>
      </c>
      <c r="L191" s="253">
        <f t="shared" si="204"/>
        <v>7.8814020220864327</v>
      </c>
      <c r="M191" s="254">
        <f>(M104+M105)/M40</f>
        <v>7.880667736283633</v>
      </c>
      <c r="N191" s="252">
        <f>(N104+N105)/N40</f>
        <v>8.1037818682318328</v>
      </c>
      <c r="O191" s="322">
        <f>(O104+O105)/O40</f>
        <v>8.5559621576105798</v>
      </c>
      <c r="P191"/>
      <c r="Q191"/>
      <c r="R191"/>
      <c r="S191"/>
      <c r="T191"/>
    </row>
    <row r="192" spans="2:24" s="58" customFormat="1" ht="15" customHeight="1" collapsed="1" x14ac:dyDescent="0.3">
      <c r="B192" s="23"/>
      <c r="C192" s="119"/>
      <c r="D192" s="144">
        <f>ROUND((D190-D104),0)</f>
        <v>0</v>
      </c>
      <c r="E192" s="144">
        <f>ROUND((E190-E104),0)</f>
        <v>0</v>
      </c>
      <c r="F192" s="144">
        <f t="shared" ref="F192:L192" si="205">ROUND((F190-F104),0)</f>
        <v>0</v>
      </c>
      <c r="G192" s="144">
        <f t="shared" si="205"/>
        <v>0</v>
      </c>
      <c r="H192" s="144">
        <f t="shared" si="205"/>
        <v>0</v>
      </c>
      <c r="I192" s="144">
        <f t="shared" si="205"/>
        <v>0</v>
      </c>
      <c r="J192" s="144">
        <f t="shared" si="205"/>
        <v>0</v>
      </c>
      <c r="K192" s="144">
        <f t="shared" si="205"/>
        <v>0</v>
      </c>
      <c r="L192" s="144">
        <f t="shared" si="205"/>
        <v>0</v>
      </c>
      <c r="M192" s="144">
        <f>ROUND((M190-M104),0)</f>
        <v>0</v>
      </c>
      <c r="N192" s="43"/>
      <c r="O192" s="43"/>
      <c r="P192" s="43"/>
      <c r="Q192" s="43"/>
      <c r="R192" s="43"/>
      <c r="S192" s="43"/>
      <c r="T192" s="43"/>
      <c r="U192" s="43"/>
      <c r="V192" s="43"/>
      <c r="W192" s="43"/>
      <c r="X192" s="88"/>
    </row>
    <row r="193" spans="2:23" ht="15.6" x14ac:dyDescent="0.3">
      <c r="B193" s="332" t="s">
        <v>1</v>
      </c>
      <c r="C193" s="333"/>
      <c r="D193" s="13"/>
      <c r="E193" s="13"/>
      <c r="F193" s="13"/>
      <c r="G193" s="13"/>
      <c r="H193" s="21"/>
      <c r="I193" s="13"/>
      <c r="J193" s="13"/>
      <c r="K193" s="57"/>
      <c r="L193" s="13"/>
      <c r="M193" s="13"/>
      <c r="N193" s="13"/>
      <c r="O193" s="13"/>
      <c r="P193" s="13"/>
      <c r="Q193" s="13"/>
      <c r="R193" s="13"/>
      <c r="S193" s="13"/>
      <c r="T193" s="13"/>
      <c r="U193" s="13"/>
      <c r="V193" s="13"/>
      <c r="W193" s="13"/>
    </row>
    <row r="194" spans="2:23" x14ac:dyDescent="0.3">
      <c r="B194" s="25" t="s">
        <v>10</v>
      </c>
      <c r="C194" s="96">
        <v>30.6</v>
      </c>
      <c r="D194" s="107"/>
      <c r="E194" s="6"/>
      <c r="F194" s="6"/>
      <c r="G194" s="6"/>
      <c r="H194" s="33"/>
      <c r="I194" s="7"/>
      <c r="J194" s="8"/>
      <c r="K194" s="5"/>
      <c r="L194" s="5"/>
      <c r="M194" s="8"/>
      <c r="N194" s="7"/>
      <c r="O194" s="8"/>
      <c r="P194" s="5"/>
      <c r="Q194" s="5"/>
      <c r="R194" s="8"/>
      <c r="S194" s="7"/>
      <c r="T194" s="8"/>
      <c r="U194" s="5"/>
      <c r="V194" s="5"/>
      <c r="W194" s="8"/>
    </row>
    <row r="195" spans="2:23" x14ac:dyDescent="0.3">
      <c r="B195" s="25" t="s">
        <v>11</v>
      </c>
      <c r="C195" s="97">
        <v>32</v>
      </c>
      <c r="D195" s="108"/>
      <c r="E195" s="21"/>
      <c r="F195" s="21"/>
      <c r="G195" s="21"/>
      <c r="H195" s="33"/>
      <c r="I195" s="21"/>
      <c r="J195" s="21"/>
      <c r="K195" s="22"/>
      <c r="L195" s="22"/>
      <c r="M195" s="22"/>
      <c r="N195" s="21"/>
      <c r="O195" s="21"/>
      <c r="P195" s="22"/>
      <c r="Q195" s="22"/>
      <c r="R195" s="22"/>
      <c r="S195" s="21"/>
      <c r="T195" s="21"/>
      <c r="U195" s="22"/>
      <c r="V195" s="22"/>
      <c r="W195" s="22"/>
    </row>
    <row r="196" spans="2:23" x14ac:dyDescent="0.3">
      <c r="B196" s="25" t="s">
        <v>12</v>
      </c>
      <c r="C196" s="97">
        <v>29.2</v>
      </c>
      <c r="D196" s="108"/>
      <c r="E196" s="21"/>
      <c r="F196" s="28"/>
      <c r="G196" s="21"/>
      <c r="H196" s="33"/>
      <c r="I196" s="21"/>
      <c r="J196" s="21"/>
      <c r="K196" s="22"/>
      <c r="L196" s="22"/>
      <c r="M196" s="22"/>
      <c r="N196" s="21"/>
      <c r="O196" s="21"/>
      <c r="P196" s="22"/>
      <c r="Q196" s="22"/>
      <c r="R196" s="22"/>
      <c r="S196" s="21"/>
      <c r="T196" s="21"/>
      <c r="U196" s="22"/>
      <c r="V196" s="22"/>
      <c r="W196" s="22"/>
    </row>
    <row r="197" spans="2:23" x14ac:dyDescent="0.3">
      <c r="B197" s="25" t="s">
        <v>2</v>
      </c>
      <c r="C197" s="98">
        <v>30.538779999999999</v>
      </c>
      <c r="D197" s="108"/>
      <c r="E197" s="21"/>
      <c r="F197" s="21"/>
      <c r="G197" s="21"/>
      <c r="H197" s="33"/>
      <c r="I197" s="21"/>
      <c r="J197" s="21"/>
      <c r="K197" s="22"/>
      <c r="L197" s="22"/>
      <c r="M197" s="22"/>
      <c r="N197" s="21"/>
      <c r="O197" s="21"/>
      <c r="P197" s="22"/>
      <c r="Q197" s="22"/>
      <c r="R197" s="22"/>
      <c r="S197" s="21"/>
      <c r="T197" s="21"/>
      <c r="U197" s="22"/>
      <c r="V197" s="22"/>
      <c r="W197" s="22"/>
    </row>
    <row r="198" spans="2:23" s="27" customFormat="1" x14ac:dyDescent="0.3">
      <c r="B198" s="4" t="s">
        <v>16</v>
      </c>
      <c r="C198" s="34">
        <f>O191</f>
        <v>8.5559621576105798</v>
      </c>
      <c r="D198" s="108"/>
      <c r="E198" s="21"/>
      <c r="F198" s="21"/>
      <c r="G198" s="21"/>
      <c r="H198" s="33"/>
      <c r="I198" s="21"/>
      <c r="J198" s="21"/>
      <c r="K198" s="22"/>
      <c r="L198" s="22"/>
      <c r="M198" s="22"/>
      <c r="N198" s="21"/>
      <c r="O198" s="21"/>
      <c r="P198" s="22"/>
      <c r="Q198" s="22"/>
      <c r="R198" s="22"/>
      <c r="S198" s="21"/>
      <c r="T198" s="21"/>
      <c r="U198" s="22"/>
      <c r="V198" s="22"/>
      <c r="W198" s="22"/>
    </row>
    <row r="199" spans="2:23" x14ac:dyDescent="0.3">
      <c r="B199" s="14" t="s">
        <v>17</v>
      </c>
      <c r="C199" s="192">
        <f>(Q43+T43+P43+S43)*C197+C198</f>
        <v>108.00000503109291</v>
      </c>
      <c r="D199" s="109"/>
      <c r="E199" s="21"/>
      <c r="F199" s="21"/>
      <c r="G199" s="21"/>
      <c r="H199" s="33"/>
      <c r="I199" s="21"/>
      <c r="J199" s="21"/>
      <c r="K199" s="22"/>
      <c r="L199" s="22"/>
      <c r="M199" s="22"/>
      <c r="N199" s="21"/>
      <c r="O199" s="21"/>
      <c r="P199" s="22"/>
      <c r="Q199" s="22"/>
      <c r="R199" s="22"/>
      <c r="S199" s="21"/>
      <c r="T199" s="21"/>
      <c r="U199" s="22"/>
      <c r="V199" s="22"/>
      <c r="W199" s="22"/>
    </row>
    <row r="200" spans="2:23" s="27" customFormat="1" ht="126.75" customHeight="1" x14ac:dyDescent="0.3">
      <c r="B200" s="340" t="s">
        <v>215</v>
      </c>
      <c r="C200" s="341"/>
      <c r="D200" s="109"/>
      <c r="E200" s="21"/>
      <c r="F200" s="21"/>
      <c r="G200" s="21"/>
      <c r="H200" s="21"/>
      <c r="I200" s="21"/>
      <c r="J200" s="21"/>
      <c r="K200" s="22"/>
      <c r="L200" s="22"/>
      <c r="M200" s="22"/>
      <c r="N200" s="21"/>
      <c r="O200" s="21"/>
      <c r="P200" s="22"/>
      <c r="Q200" s="22"/>
      <c r="R200" s="22"/>
      <c r="S200" s="21"/>
      <c r="T200" s="21"/>
      <c r="U200" s="22"/>
      <c r="V200" s="22"/>
      <c r="W200" s="22"/>
    </row>
    <row r="201" spans="2:23" s="27" customFormat="1" ht="65.25" customHeight="1" x14ac:dyDescent="0.3">
      <c r="B201" s="338" t="s">
        <v>71</v>
      </c>
      <c r="C201" s="339"/>
      <c r="D201" s="109"/>
      <c r="E201" s="21"/>
      <c r="F201" s="21"/>
      <c r="G201" s="21"/>
      <c r="H201" s="21"/>
      <c r="I201" s="21"/>
      <c r="J201" s="21"/>
      <c r="K201" s="22"/>
      <c r="L201" s="22"/>
      <c r="M201" s="22"/>
      <c r="N201" s="21"/>
      <c r="O201" s="21"/>
      <c r="P201" s="22"/>
      <c r="Q201" s="22"/>
      <c r="R201" s="22"/>
      <c r="S201" s="21"/>
      <c r="T201" s="21"/>
      <c r="U201" s="22"/>
      <c r="V201" s="22"/>
      <c r="W201" s="22"/>
    </row>
    <row r="202" spans="2:23" x14ac:dyDescent="0.3">
      <c r="B202" s="11"/>
      <c r="C202" s="1"/>
      <c r="D202" s="9"/>
    </row>
    <row r="203" spans="2:23" ht="15.6" x14ac:dyDescent="0.3">
      <c r="B203" s="332" t="s">
        <v>79</v>
      </c>
      <c r="C203" s="333"/>
      <c r="D203" s="9"/>
    </row>
    <row r="204" spans="2:23" x14ac:dyDescent="0.3">
      <c r="B204" s="102" t="s">
        <v>75</v>
      </c>
      <c r="C204" s="111">
        <v>1.2200000000000001E-2</v>
      </c>
    </row>
    <row r="205" spans="2:23" s="58" customFormat="1" x14ac:dyDescent="0.3">
      <c r="B205" s="4" t="s">
        <v>76</v>
      </c>
      <c r="C205" s="112">
        <v>5.2900000000000003E-2</v>
      </c>
      <c r="D205" s="1"/>
      <c r="E205" s="1"/>
      <c r="F205" s="1"/>
      <c r="G205" s="1"/>
      <c r="H205" s="1"/>
      <c r="I205" s="1"/>
      <c r="J205" s="1"/>
      <c r="K205" s="3"/>
      <c r="L205" s="3"/>
      <c r="M205" s="3"/>
      <c r="N205" s="1"/>
      <c r="O205" s="1"/>
      <c r="P205" s="3"/>
      <c r="Q205" s="3"/>
      <c r="R205" s="3"/>
      <c r="S205" s="1"/>
      <c r="T205" s="1"/>
      <c r="U205" s="3"/>
      <c r="V205" s="3"/>
      <c r="W205" s="3"/>
    </row>
    <row r="206" spans="2:23" s="58" customFormat="1" x14ac:dyDescent="0.3">
      <c r="B206" s="4" t="s">
        <v>80</v>
      </c>
      <c r="C206" s="103">
        <f>C199</f>
        <v>108.00000503109291</v>
      </c>
      <c r="D206" s="1"/>
      <c r="E206" s="1"/>
      <c r="F206" s="1"/>
      <c r="G206" s="1"/>
      <c r="H206" s="1"/>
      <c r="I206" s="1"/>
      <c r="J206" s="1"/>
      <c r="K206" s="3"/>
      <c r="L206" s="3"/>
      <c r="M206" s="3"/>
      <c r="N206" s="1"/>
      <c r="O206" s="1"/>
      <c r="P206" s="3"/>
      <c r="Q206" s="3"/>
      <c r="R206" s="3"/>
      <c r="S206" s="1"/>
      <c r="T206" s="1"/>
      <c r="U206" s="3"/>
      <c r="V206" s="3"/>
      <c r="W206" s="3"/>
    </row>
    <row r="207" spans="2:23" x14ac:dyDescent="0.3">
      <c r="B207" s="25" t="s">
        <v>77</v>
      </c>
      <c r="C207" s="103">
        <f>C206*(1+(C205+2*C204))</f>
        <v>116.34840541999638</v>
      </c>
      <c r="H207" s="101"/>
    </row>
    <row r="208" spans="2:23" x14ac:dyDescent="0.3">
      <c r="B208" s="104" t="s">
        <v>78</v>
      </c>
      <c r="C208" s="105">
        <f>C206*(1-(C205+2*C204))</f>
        <v>99.651604642189426</v>
      </c>
      <c r="H208" s="100"/>
    </row>
    <row r="209" spans="2:23" s="58" customFormat="1" ht="15" customHeight="1" x14ac:dyDescent="0.3">
      <c r="B209" s="334" t="s">
        <v>216</v>
      </c>
      <c r="C209" s="335"/>
      <c r="D209" s="1"/>
      <c r="E209" s="1"/>
      <c r="F209" s="1"/>
      <c r="G209" s="1"/>
      <c r="H209" s="1"/>
      <c r="I209" s="1"/>
      <c r="J209" s="1"/>
      <c r="K209" s="3"/>
      <c r="L209" s="3"/>
      <c r="M209" s="3"/>
      <c r="N209" s="1"/>
      <c r="O209" s="1"/>
      <c r="P209" s="3"/>
      <c r="Q209" s="3"/>
      <c r="R209" s="3"/>
      <c r="S209" s="1"/>
      <c r="T209" s="1"/>
      <c r="U209" s="3"/>
      <c r="V209" s="3"/>
      <c r="W209" s="3"/>
    </row>
    <row r="210" spans="2:23" x14ac:dyDescent="0.3">
      <c r="B210" s="334"/>
      <c r="C210" s="335"/>
    </row>
    <row r="211" spans="2:23" x14ac:dyDescent="0.3">
      <c r="B211" s="334"/>
      <c r="C211" s="335"/>
    </row>
    <row r="212" spans="2:23" x14ac:dyDescent="0.3">
      <c r="B212" s="334"/>
      <c r="C212" s="335"/>
    </row>
    <row r="213" spans="2:23" x14ac:dyDescent="0.3">
      <c r="B213" s="334"/>
      <c r="C213" s="335"/>
    </row>
    <row r="214" spans="2:23" x14ac:dyDescent="0.3">
      <c r="B214" s="334"/>
      <c r="C214" s="335"/>
    </row>
    <row r="215" spans="2:23" x14ac:dyDescent="0.3">
      <c r="B215" s="334"/>
      <c r="C215" s="335"/>
    </row>
    <row r="216" spans="2:23" x14ac:dyDescent="0.3">
      <c r="B216" s="334"/>
      <c r="C216" s="335"/>
    </row>
    <row r="217" spans="2:23" x14ac:dyDescent="0.3">
      <c r="B217" s="334"/>
      <c r="C217" s="335"/>
    </row>
    <row r="218" spans="2:23" x14ac:dyDescent="0.3">
      <c r="B218" s="334"/>
      <c r="C218" s="335"/>
    </row>
    <row r="219" spans="2:23" x14ac:dyDescent="0.3">
      <c r="B219" s="334"/>
      <c r="C219" s="335"/>
    </row>
    <row r="220" spans="2:23" x14ac:dyDescent="0.3">
      <c r="B220" s="334"/>
      <c r="C220" s="335"/>
    </row>
    <row r="221" spans="2:23" x14ac:dyDescent="0.3">
      <c r="B221" s="334"/>
      <c r="C221" s="335"/>
    </row>
    <row r="222" spans="2:23" x14ac:dyDescent="0.3">
      <c r="B222" s="334"/>
      <c r="C222" s="335"/>
    </row>
    <row r="223" spans="2:23" x14ac:dyDescent="0.3">
      <c r="B223" s="334"/>
      <c r="C223" s="335"/>
    </row>
    <row r="224" spans="2:23" x14ac:dyDescent="0.3">
      <c r="B224" s="336"/>
      <c r="C224" s="337"/>
    </row>
    <row r="226" spans="2:2" x14ac:dyDescent="0.3">
      <c r="B226" s="113" t="s">
        <v>82</v>
      </c>
    </row>
  </sheetData>
  <dataConsolidate/>
  <mergeCells count="104">
    <mergeCell ref="B191:C191"/>
    <mergeCell ref="B186:C186"/>
    <mergeCell ref="B187:C187"/>
    <mergeCell ref="B189:C189"/>
    <mergeCell ref="B190:C190"/>
    <mergeCell ref="B177:C177"/>
    <mergeCell ref="B178:C178"/>
    <mergeCell ref="B183:C183"/>
    <mergeCell ref="B184:C184"/>
    <mergeCell ref="B185:C185"/>
    <mergeCell ref="B168:C168"/>
    <mergeCell ref="B169:C169"/>
    <mergeCell ref="B170:C170"/>
    <mergeCell ref="B176:C176"/>
    <mergeCell ref="B158:C158"/>
    <mergeCell ref="B159:C159"/>
    <mergeCell ref="B160:C160"/>
    <mergeCell ref="B161:C161"/>
    <mergeCell ref="B166:C166"/>
    <mergeCell ref="B148:C148"/>
    <mergeCell ref="B149:C149"/>
    <mergeCell ref="B156:C156"/>
    <mergeCell ref="B144:C144"/>
    <mergeCell ref="B145:C145"/>
    <mergeCell ref="B146:C146"/>
    <mergeCell ref="B147:C147"/>
    <mergeCell ref="B167:C167"/>
    <mergeCell ref="B117:C117"/>
    <mergeCell ref="B118:C118"/>
    <mergeCell ref="B142:C142"/>
    <mergeCell ref="B132:C132"/>
    <mergeCell ref="B134:C134"/>
    <mergeCell ref="B136:C136"/>
    <mergeCell ref="B139:C139"/>
    <mergeCell ref="B141:C141"/>
    <mergeCell ref="B119:C119"/>
    <mergeCell ref="B120:C120"/>
    <mergeCell ref="B124:C124"/>
    <mergeCell ref="B130:C130"/>
    <mergeCell ref="B131:C131"/>
    <mergeCell ref="B2:C2"/>
    <mergeCell ref="B94:C94"/>
    <mergeCell ref="B93:C93"/>
    <mergeCell ref="B3:C3"/>
    <mergeCell ref="B4:C4"/>
    <mergeCell ref="B5:C5"/>
    <mergeCell ref="B9:C9"/>
    <mergeCell ref="B38:C38"/>
    <mergeCell ref="B10:C10"/>
    <mergeCell ref="B36:C36"/>
    <mergeCell ref="B14:C14"/>
    <mergeCell ref="B18:C18"/>
    <mergeCell ref="B19:C19"/>
    <mergeCell ref="B28:C28"/>
    <mergeCell ref="B34:C34"/>
    <mergeCell ref="B21:C21"/>
    <mergeCell ref="B22:C22"/>
    <mergeCell ref="B30:C30"/>
    <mergeCell ref="B52:C52"/>
    <mergeCell ref="B48:C48"/>
    <mergeCell ref="B35:C35"/>
    <mergeCell ref="B40:C40"/>
    <mergeCell ref="B13:C13"/>
    <mergeCell ref="B12:C12"/>
    <mergeCell ref="B116:C116"/>
    <mergeCell ref="B39:C39"/>
    <mergeCell ref="B42:C42"/>
    <mergeCell ref="B79:C79"/>
    <mergeCell ref="B73:C73"/>
    <mergeCell ref="B71:C71"/>
    <mergeCell ref="B64:C64"/>
    <mergeCell ref="B47:C47"/>
    <mergeCell ref="B75:C75"/>
    <mergeCell ref="B65:C65"/>
    <mergeCell ref="B74:C74"/>
    <mergeCell ref="B105:C105"/>
    <mergeCell ref="B106:C106"/>
    <mergeCell ref="B108:C108"/>
    <mergeCell ref="B109:C109"/>
    <mergeCell ref="B110:C110"/>
    <mergeCell ref="B11:C11"/>
    <mergeCell ref="B17:C17"/>
    <mergeCell ref="B16:C16"/>
    <mergeCell ref="B15:C15"/>
    <mergeCell ref="B203:C203"/>
    <mergeCell ref="B209:C224"/>
    <mergeCell ref="B201:C201"/>
    <mergeCell ref="B193:C193"/>
    <mergeCell ref="B200:C200"/>
    <mergeCell ref="B41:C41"/>
    <mergeCell ref="B63:C63"/>
    <mergeCell ref="B46:C46"/>
    <mergeCell ref="B43:C43"/>
    <mergeCell ref="B92:C92"/>
    <mergeCell ref="B97:C97"/>
    <mergeCell ref="B96:C96"/>
    <mergeCell ref="B95:C95"/>
    <mergeCell ref="B100:C100"/>
    <mergeCell ref="B101:C101"/>
    <mergeCell ref="B102:C102"/>
    <mergeCell ref="B103:C103"/>
    <mergeCell ref="B104:C104"/>
    <mergeCell ref="B114:C114"/>
    <mergeCell ref="B115:C115"/>
  </mergeCells>
  <pageMargins left="0.7" right="0.7" top="0.75" bottom="0.75" header="0.3" footer="0.3"/>
  <pageSetup scale="40" orientation="landscape" r:id="rId1"/>
  <headerFooter>
    <oddFooter xml:space="preserve">&amp;CGutenberg Research LLC prohibits the redistribution of this document in whole or part without the written permission. 
© Gutenberg Research LLC 2016.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Earnings Model</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2016-03-31T01:20:23Z</cp:lastPrinted>
  <dcterms:created xsi:type="dcterms:W3CDTF">2014-10-18T18:34:10Z</dcterms:created>
  <dcterms:modified xsi:type="dcterms:W3CDTF">2016-06-26T13:20:54Z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