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autoCompressPictures="0"/>
  <mc:AlternateContent xmlns:mc="http://schemas.openxmlformats.org/markup-compatibility/2006">
    <mc:Choice Requires="x15">
      <x15ac:absPath xmlns:x15ac="http://schemas.microsoft.com/office/spreadsheetml/2010/11/ac" url="C:\Users\Admin\Documents\Articles (2-15-2016)\Boeing\"/>
    </mc:Choice>
  </mc:AlternateContent>
  <bookViews>
    <workbookView xWindow="0" yWindow="0" windowWidth="15336" windowHeight="6144"/>
  </bookViews>
  <sheets>
    <sheet name="Earnings Model" sheetId="3" r:id="rId1"/>
  </sheets>
  <externalReferences>
    <externalReference r:id="rId2"/>
  </externalReferences>
  <definedNames>
    <definedName name="DATA">'[1]Estimates by Analyst'!$B$6:$M$50</definedName>
    <definedName name="_xlnm.Print_Area" localSheetId="0">'Earnings Model'!$A$1:$R$250</definedName>
    <definedName name="solver_eng" localSheetId="0" hidden="1">1</definedName>
    <definedName name="solver_lin" localSheetId="0" hidden="1">2</definedName>
    <definedName name="solver_neg" localSheetId="0" hidden="1">1</definedName>
    <definedName name="solver_num" localSheetId="0" hidden="1">0</definedName>
    <definedName name="solver_opt" localSheetId="0" hidden="1">'Earnings Model'!$G$35</definedName>
    <definedName name="solver_typ" localSheetId="0" hidden="1">1</definedName>
    <definedName name="solver_val" localSheetId="0" hidden="1">0</definedName>
    <definedName name="solver_ver" localSheetId="0" hidden="1">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V44" i="3" l="1"/>
  <c r="V47" i="3"/>
  <c r="P50" i="3"/>
  <c r="Q50" i="3"/>
  <c r="S50" i="3"/>
  <c r="T50" i="3"/>
  <c r="U50" i="3"/>
  <c r="V50" i="3"/>
  <c r="V52" i="3"/>
  <c r="P54" i="3"/>
  <c r="Q54" i="3"/>
  <c r="S54" i="3"/>
  <c r="T54" i="3"/>
  <c r="U54" i="3"/>
  <c r="V54" i="3"/>
  <c r="V56" i="3"/>
  <c r="P58" i="3"/>
  <c r="Q58" i="3"/>
  <c r="S58" i="3"/>
  <c r="T58" i="3"/>
  <c r="U58" i="3"/>
  <c r="V58" i="3"/>
  <c r="V60" i="3"/>
  <c r="V63" i="3"/>
  <c r="P66" i="3"/>
  <c r="Q66" i="3"/>
  <c r="S66" i="3"/>
  <c r="T66" i="3"/>
  <c r="U66" i="3"/>
  <c r="V66" i="3"/>
  <c r="V68" i="3"/>
  <c r="T72" i="3"/>
  <c r="U72" i="3"/>
  <c r="V72" i="3"/>
  <c r="V24" i="3"/>
  <c r="V62" i="3"/>
  <c r="P71" i="3"/>
  <c r="Q71" i="3"/>
  <c r="S71" i="3"/>
  <c r="T71" i="3"/>
  <c r="U71" i="3"/>
  <c r="V71" i="3"/>
  <c r="V13" i="3"/>
  <c r="V11" i="3"/>
  <c r="V14" i="3"/>
  <c r="V12" i="3"/>
  <c r="P44" i="3"/>
  <c r="P62" i="3"/>
  <c r="P13" i="3"/>
  <c r="P12" i="3"/>
  <c r="Q44" i="3"/>
  <c r="Q62" i="3"/>
  <c r="Q13" i="3"/>
  <c r="Q12" i="3"/>
  <c r="R12" i="3"/>
  <c r="O78" i="3"/>
  <c r="N78" i="3"/>
  <c r="P78" i="3"/>
  <c r="P15" i="3"/>
  <c r="Q78" i="3"/>
  <c r="Q15" i="3"/>
  <c r="R15" i="3"/>
  <c r="R78" i="3"/>
  <c r="S78" i="3"/>
  <c r="T78" i="3"/>
  <c r="U78" i="3"/>
  <c r="V78" i="3"/>
  <c r="V15" i="3"/>
  <c r="T81" i="3"/>
  <c r="U81" i="3"/>
  <c r="V81" i="3"/>
  <c r="V16" i="3"/>
  <c r="V17" i="3"/>
  <c r="V18" i="3"/>
  <c r="V23" i="3"/>
  <c r="T82" i="3"/>
  <c r="U82" i="3"/>
  <c r="V82" i="3"/>
  <c r="V19" i="3"/>
  <c r="P20" i="3"/>
  <c r="Q20" i="3"/>
  <c r="V20" i="3"/>
  <c r="V21" i="3"/>
  <c r="S44" i="3"/>
  <c r="S47" i="3"/>
  <c r="T44" i="3"/>
  <c r="T47" i="3"/>
  <c r="U44" i="3"/>
  <c r="U47" i="3"/>
  <c r="W47" i="3"/>
  <c r="W50" i="3"/>
  <c r="W52" i="3"/>
  <c r="W54" i="3"/>
  <c r="W56" i="3"/>
  <c r="W58" i="3"/>
  <c r="W60" i="3"/>
  <c r="W63" i="3"/>
  <c r="W66" i="3"/>
  <c r="W68" i="3"/>
  <c r="W72" i="3"/>
  <c r="W24" i="3"/>
  <c r="S62" i="3"/>
  <c r="S13" i="3"/>
  <c r="S11" i="3"/>
  <c r="T62" i="3"/>
  <c r="T13" i="3"/>
  <c r="T11" i="3"/>
  <c r="U62" i="3"/>
  <c r="U13" i="3"/>
  <c r="U11" i="3"/>
  <c r="W11" i="3"/>
  <c r="S12" i="3"/>
  <c r="T12" i="3"/>
  <c r="U12" i="3"/>
  <c r="W12" i="3"/>
  <c r="W13" i="3"/>
  <c r="S14" i="3"/>
  <c r="T14" i="3"/>
  <c r="U14" i="3"/>
  <c r="W14" i="3"/>
  <c r="S15" i="3"/>
  <c r="T15" i="3"/>
  <c r="U15" i="3"/>
  <c r="W15" i="3"/>
  <c r="S16" i="3"/>
  <c r="T16" i="3"/>
  <c r="U16" i="3"/>
  <c r="W16" i="3"/>
  <c r="W17" i="3"/>
  <c r="W18" i="3"/>
  <c r="W23" i="3"/>
  <c r="W22" i="3"/>
  <c r="S19" i="3"/>
  <c r="T19" i="3"/>
  <c r="U19" i="3"/>
  <c r="W19" i="3"/>
  <c r="R20" i="3"/>
  <c r="W20" i="3"/>
  <c r="W21" i="3"/>
  <c r="P68" i="3"/>
  <c r="Q68" i="3"/>
  <c r="R68" i="3"/>
  <c r="P47" i="3"/>
  <c r="Q47" i="3"/>
  <c r="R47" i="3"/>
  <c r="P52" i="3"/>
  <c r="Q52" i="3"/>
  <c r="R52" i="3"/>
  <c r="P56" i="3"/>
  <c r="Q56" i="3"/>
  <c r="R56" i="3"/>
  <c r="P60" i="3"/>
  <c r="Q60" i="3"/>
  <c r="R60" i="3"/>
  <c r="R63" i="3"/>
  <c r="P72" i="3"/>
  <c r="Q72" i="3"/>
  <c r="R72" i="3"/>
  <c r="R24" i="3"/>
  <c r="R25" i="3"/>
  <c r="R26" i="3"/>
  <c r="P63" i="3"/>
  <c r="P24" i="3"/>
  <c r="O86" i="3"/>
  <c r="P86" i="3"/>
  <c r="P28" i="3"/>
  <c r="P73" i="3"/>
  <c r="P27" i="3"/>
  <c r="P29" i="3"/>
  <c r="P30" i="3"/>
  <c r="Q63" i="3"/>
  <c r="Q24" i="3"/>
  <c r="Q86" i="3"/>
  <c r="Q28" i="3"/>
  <c r="Q73" i="3"/>
  <c r="Q27" i="3"/>
  <c r="Q29" i="3"/>
  <c r="Q30" i="3"/>
  <c r="R30" i="3"/>
  <c r="R27" i="3"/>
  <c r="R28" i="3"/>
  <c r="N90" i="3"/>
  <c r="N32" i="3"/>
  <c r="O90" i="3"/>
  <c r="O32" i="3"/>
  <c r="Q89" i="3"/>
  <c r="P89" i="3"/>
  <c r="P90" i="3"/>
  <c r="P32" i="3"/>
  <c r="Q90" i="3"/>
  <c r="Q32" i="3"/>
  <c r="R32" i="3"/>
  <c r="R33" i="3"/>
  <c r="P97" i="3"/>
  <c r="P35" i="3"/>
  <c r="Q97" i="3"/>
  <c r="Q35" i="3"/>
  <c r="R35" i="3"/>
  <c r="R38" i="3"/>
  <c r="W96" i="3"/>
  <c r="M13" i="3"/>
  <c r="I17" i="3"/>
  <c r="J17" i="3"/>
  <c r="K17" i="3"/>
  <c r="L14" i="3"/>
  <c r="L15" i="3"/>
  <c r="L16" i="3"/>
  <c r="L17" i="3"/>
  <c r="M17" i="3"/>
  <c r="M18" i="3"/>
  <c r="M23" i="3"/>
  <c r="M24" i="3"/>
  <c r="M29" i="3"/>
  <c r="M87" i="3"/>
  <c r="R44" i="3"/>
  <c r="Q11" i="3"/>
  <c r="P11" i="3"/>
  <c r="R11" i="3"/>
  <c r="R13" i="3"/>
  <c r="R50" i="3"/>
  <c r="R29" i="3"/>
  <c r="R31" i="3"/>
  <c r="R37" i="3"/>
  <c r="O96" i="3"/>
  <c r="O97" i="3"/>
  <c r="O94" i="3"/>
  <c r="Q21" i="3"/>
  <c r="R21" i="3"/>
  <c r="O82" i="3"/>
  <c r="P82" i="3"/>
  <c r="P19" i="3"/>
  <c r="Q82" i="3"/>
  <c r="Q19" i="3"/>
  <c r="R19" i="3"/>
  <c r="Q14" i="3"/>
  <c r="O81" i="3"/>
  <c r="P81" i="3"/>
  <c r="Q81" i="3"/>
  <c r="Q16" i="3"/>
  <c r="Q17" i="3"/>
  <c r="Q18" i="3"/>
  <c r="P14" i="3"/>
  <c r="R14" i="3"/>
  <c r="P16" i="3"/>
  <c r="R16" i="3"/>
  <c r="R17" i="3"/>
  <c r="R18" i="3"/>
  <c r="I13" i="3"/>
  <c r="J13" i="3"/>
  <c r="K13" i="3"/>
  <c r="L13" i="3"/>
  <c r="R23" i="3"/>
  <c r="P17" i="3"/>
  <c r="P18" i="3"/>
  <c r="P23" i="3"/>
  <c r="H192" i="3"/>
  <c r="H180" i="3"/>
  <c r="H181" i="3"/>
  <c r="H183" i="3"/>
  <c r="H184" i="3"/>
  <c r="H185" i="3"/>
  <c r="H186" i="3"/>
  <c r="H187" i="3"/>
  <c r="H188" i="3"/>
  <c r="H189" i="3"/>
  <c r="E170" i="3"/>
  <c r="H170" i="3"/>
  <c r="E171" i="3"/>
  <c r="H171" i="3"/>
  <c r="E172" i="3"/>
  <c r="H172" i="3"/>
  <c r="E173" i="3"/>
  <c r="H173" i="3"/>
  <c r="E174" i="3"/>
  <c r="H174" i="3"/>
  <c r="E176" i="3"/>
  <c r="H176" i="3"/>
  <c r="H177" i="3"/>
  <c r="D13" i="3"/>
  <c r="D17" i="3"/>
  <c r="D18" i="3"/>
  <c r="D23" i="3"/>
  <c r="D24" i="3"/>
  <c r="D29" i="3"/>
  <c r="D31" i="3"/>
  <c r="D147" i="3"/>
  <c r="E13" i="3"/>
  <c r="E17" i="3"/>
  <c r="E18" i="3"/>
  <c r="E23" i="3"/>
  <c r="E24" i="3"/>
  <c r="E29" i="3"/>
  <c r="E31" i="3"/>
  <c r="E147" i="3"/>
  <c r="H147" i="3"/>
  <c r="E148" i="3"/>
  <c r="H148" i="3"/>
  <c r="E149" i="3"/>
  <c r="H149" i="3"/>
  <c r="E150" i="3"/>
  <c r="H150" i="3"/>
  <c r="H151" i="3"/>
  <c r="H152" i="3"/>
  <c r="H153" i="3"/>
  <c r="H154" i="3"/>
  <c r="H157" i="3"/>
  <c r="H158" i="3"/>
  <c r="E159" i="3"/>
  <c r="H159" i="3"/>
  <c r="H160" i="3"/>
  <c r="E161" i="3"/>
  <c r="H161" i="3"/>
  <c r="E162" i="3"/>
  <c r="H162" i="3"/>
  <c r="E163" i="3"/>
  <c r="H163" i="3"/>
  <c r="E164" i="3"/>
  <c r="H164" i="3"/>
  <c r="E165" i="3"/>
  <c r="H165" i="3"/>
  <c r="H166" i="3"/>
  <c r="H167" i="3"/>
  <c r="H190" i="3"/>
  <c r="H193" i="3"/>
  <c r="I192" i="3"/>
  <c r="M192" i="3"/>
  <c r="J191" i="3"/>
  <c r="K191" i="3"/>
  <c r="L191" i="3"/>
  <c r="M191" i="3"/>
  <c r="K180" i="3"/>
  <c r="L180" i="3"/>
  <c r="M180" i="3"/>
  <c r="K181" i="3"/>
  <c r="L181" i="3"/>
  <c r="M181" i="3"/>
  <c r="M182" i="3"/>
  <c r="K183" i="3"/>
  <c r="L183" i="3"/>
  <c r="M183" i="3"/>
  <c r="K184" i="3"/>
  <c r="L184" i="3"/>
  <c r="M184" i="3"/>
  <c r="K185" i="3"/>
  <c r="L185" i="3"/>
  <c r="M185" i="3"/>
  <c r="K186" i="3"/>
  <c r="L186" i="3"/>
  <c r="M186" i="3"/>
  <c r="K187" i="3"/>
  <c r="L187" i="3"/>
  <c r="M187" i="3"/>
  <c r="K188" i="3"/>
  <c r="L188" i="3"/>
  <c r="M188" i="3"/>
  <c r="M189" i="3"/>
  <c r="K170" i="3"/>
  <c r="L170" i="3"/>
  <c r="M170" i="3"/>
  <c r="K171" i="3"/>
  <c r="L171" i="3"/>
  <c r="M171" i="3"/>
  <c r="L172" i="3"/>
  <c r="M172" i="3"/>
  <c r="K173" i="3"/>
  <c r="L173" i="3"/>
  <c r="M173" i="3"/>
  <c r="K174" i="3"/>
  <c r="L174" i="3"/>
  <c r="M174" i="3"/>
  <c r="K176" i="3"/>
  <c r="L176" i="3"/>
  <c r="M176" i="3"/>
  <c r="M177" i="3"/>
  <c r="K147" i="3"/>
  <c r="L147" i="3"/>
  <c r="M147" i="3"/>
  <c r="K148" i="3"/>
  <c r="L148" i="3"/>
  <c r="M148" i="3"/>
  <c r="K149" i="3"/>
  <c r="L149" i="3"/>
  <c r="M149" i="3"/>
  <c r="K150" i="3"/>
  <c r="L150" i="3"/>
  <c r="M150" i="3"/>
  <c r="K151" i="3"/>
  <c r="L151" i="3"/>
  <c r="M151" i="3"/>
  <c r="K152" i="3"/>
  <c r="L152" i="3"/>
  <c r="M152" i="3"/>
  <c r="K153" i="3"/>
  <c r="L153" i="3"/>
  <c r="M153" i="3"/>
  <c r="K154" i="3"/>
  <c r="L154" i="3"/>
  <c r="M154" i="3"/>
  <c r="M155" i="3"/>
  <c r="M156" i="3"/>
  <c r="K157" i="3"/>
  <c r="L157" i="3"/>
  <c r="M157" i="3"/>
  <c r="K158" i="3"/>
  <c r="L158" i="3"/>
  <c r="M158" i="3"/>
  <c r="K159" i="3"/>
  <c r="L159" i="3"/>
  <c r="M159" i="3"/>
  <c r="K160" i="3"/>
  <c r="L160" i="3"/>
  <c r="M160" i="3"/>
  <c r="K161" i="3"/>
  <c r="L161" i="3"/>
  <c r="M161" i="3"/>
  <c r="K162" i="3"/>
  <c r="L162" i="3"/>
  <c r="M162" i="3"/>
  <c r="K163" i="3"/>
  <c r="L163" i="3"/>
  <c r="M163" i="3"/>
  <c r="K164" i="3"/>
  <c r="L164" i="3"/>
  <c r="M164" i="3"/>
  <c r="K165" i="3"/>
  <c r="L165" i="3"/>
  <c r="M165" i="3"/>
  <c r="M166" i="3"/>
  <c r="M167" i="3"/>
  <c r="M190" i="3"/>
  <c r="M193" i="3"/>
  <c r="N192" i="3"/>
  <c r="N189" i="3"/>
  <c r="N177" i="3"/>
  <c r="N167" i="3"/>
  <c r="N190" i="3"/>
  <c r="N193" i="3"/>
  <c r="O192" i="3"/>
  <c r="O180" i="3"/>
  <c r="O181" i="3"/>
  <c r="O183" i="3"/>
  <c r="O185" i="3"/>
  <c r="O186" i="3"/>
  <c r="O187" i="3"/>
  <c r="O189" i="3"/>
  <c r="O170" i="3"/>
  <c r="O171" i="3"/>
  <c r="O173" i="3"/>
  <c r="O174" i="3"/>
  <c r="O175" i="3"/>
  <c r="O176" i="3"/>
  <c r="O177" i="3"/>
  <c r="O147" i="3"/>
  <c r="O148" i="3"/>
  <c r="O149" i="3"/>
  <c r="O150" i="3"/>
  <c r="O151" i="3"/>
  <c r="O152" i="3"/>
  <c r="O153" i="3"/>
  <c r="O157" i="3"/>
  <c r="O158" i="3"/>
  <c r="O159" i="3"/>
  <c r="O160" i="3"/>
  <c r="O161" i="3"/>
  <c r="O162" i="3"/>
  <c r="O163" i="3"/>
  <c r="O164" i="3"/>
  <c r="O165" i="3"/>
  <c r="O166" i="3"/>
  <c r="O167" i="3"/>
  <c r="O191" i="3"/>
  <c r="O190" i="3"/>
  <c r="O193" i="3"/>
  <c r="O194" i="3"/>
  <c r="O138" i="3"/>
  <c r="O140" i="3"/>
  <c r="O124" i="3"/>
  <c r="O131" i="3"/>
  <c r="O141" i="3"/>
  <c r="O109" i="3"/>
  <c r="O117" i="3"/>
  <c r="O93" i="3"/>
  <c r="L28" i="3"/>
  <c r="N86" i="3"/>
  <c r="N81" i="3"/>
  <c r="O85" i="3"/>
  <c r="O13" i="3"/>
  <c r="O84" i="3"/>
  <c r="O83" i="3"/>
  <c r="O77" i="3"/>
  <c r="O76" i="3"/>
  <c r="O75" i="3"/>
  <c r="O69" i="3"/>
  <c r="O67" i="3"/>
  <c r="O63" i="3"/>
  <c r="O62" i="3"/>
  <c r="O64" i="3"/>
  <c r="O61" i="3"/>
  <c r="O59" i="3"/>
  <c r="O57" i="3"/>
  <c r="O55" i="3"/>
  <c r="O53" i="3"/>
  <c r="O51" i="3"/>
  <c r="O46" i="3"/>
  <c r="O25" i="3"/>
  <c r="O23" i="3"/>
  <c r="N194" i="3"/>
  <c r="N109" i="3"/>
  <c r="N117" i="3"/>
  <c r="N124" i="3"/>
  <c r="N131" i="3"/>
  <c r="N138" i="3"/>
  <c r="N140" i="3"/>
  <c r="N141" i="3"/>
  <c r="N97" i="3"/>
  <c r="N94" i="3"/>
  <c r="N93" i="3"/>
  <c r="N17" i="3"/>
  <c r="N18" i="3"/>
  <c r="N23" i="3"/>
  <c r="N24" i="3"/>
  <c r="N29" i="3"/>
  <c r="N87" i="3"/>
  <c r="L22" i="3"/>
  <c r="N85" i="3"/>
  <c r="L19" i="3"/>
  <c r="N82" i="3"/>
  <c r="L82" i="3"/>
  <c r="I82" i="3"/>
  <c r="N79" i="3"/>
  <c r="N77" i="3"/>
  <c r="N76" i="3"/>
  <c r="N75" i="3"/>
  <c r="I90" i="3"/>
  <c r="N69" i="3"/>
  <c r="L66" i="3"/>
  <c r="N67" i="3"/>
  <c r="N63" i="3"/>
  <c r="N62" i="3"/>
  <c r="N64" i="3"/>
  <c r="N61" i="3"/>
  <c r="L58" i="3"/>
  <c r="N59" i="3"/>
  <c r="N57" i="3"/>
  <c r="L54" i="3"/>
  <c r="N55" i="3"/>
  <c r="N53" i="3"/>
  <c r="J50" i="3"/>
  <c r="K51" i="3"/>
  <c r="L50" i="3"/>
  <c r="N51" i="3"/>
  <c r="N48" i="3"/>
  <c r="N46" i="3"/>
  <c r="M45" i="3"/>
  <c r="M46" i="3"/>
  <c r="L18" i="3"/>
  <c r="L20" i="3"/>
  <c r="L21" i="3"/>
  <c r="L23" i="3"/>
  <c r="L24" i="3"/>
  <c r="L12" i="3"/>
  <c r="L78" i="3"/>
  <c r="R22" i="3"/>
  <c r="S97" i="3"/>
  <c r="S35" i="3"/>
  <c r="S27" i="3"/>
  <c r="S56" i="3"/>
  <c r="S60" i="3"/>
  <c r="S68" i="3"/>
  <c r="Q25" i="3"/>
  <c r="S25" i="3"/>
  <c r="T56" i="3"/>
  <c r="T60" i="3"/>
  <c r="T68" i="3"/>
  <c r="S20" i="3"/>
  <c r="U56" i="3"/>
  <c r="U60" i="3"/>
  <c r="U68" i="3"/>
  <c r="T27" i="3"/>
  <c r="U27" i="3"/>
  <c r="V27" i="3"/>
  <c r="W27" i="3"/>
  <c r="T28" i="3"/>
  <c r="U28" i="3"/>
  <c r="V28" i="3"/>
  <c r="T25" i="3"/>
  <c r="U25" i="3"/>
  <c r="V25" i="3"/>
  <c r="W28" i="3"/>
  <c r="W32" i="3"/>
  <c r="T97" i="3"/>
  <c r="T35" i="3"/>
  <c r="U97" i="3"/>
  <c r="U35" i="3"/>
  <c r="V97" i="3"/>
  <c r="V35" i="3"/>
  <c r="P93" i="3"/>
  <c r="P34" i="3"/>
  <c r="Q93" i="3"/>
  <c r="Q34" i="3"/>
  <c r="S34" i="3"/>
  <c r="T93" i="3"/>
  <c r="T34" i="3"/>
  <c r="U93" i="3"/>
  <c r="U34" i="3"/>
  <c r="V93" i="3"/>
  <c r="V34" i="3"/>
  <c r="W34" i="3"/>
  <c r="S89" i="3"/>
  <c r="T89" i="3"/>
  <c r="U89" i="3"/>
  <c r="V89" i="3"/>
  <c r="W89" i="3"/>
  <c r="R54" i="3"/>
  <c r="R58" i="3"/>
  <c r="W45" i="3"/>
  <c r="W44" i="3"/>
  <c r="W48" i="3"/>
  <c r="W25" i="3"/>
  <c r="T85" i="3"/>
  <c r="U85" i="3"/>
  <c r="V85" i="3"/>
  <c r="S73" i="3"/>
  <c r="T73" i="3"/>
  <c r="U73" i="3"/>
  <c r="V73" i="3"/>
  <c r="W73" i="3"/>
  <c r="V90" i="3"/>
  <c r="T86" i="3"/>
  <c r="U86" i="3"/>
  <c r="V86" i="3"/>
  <c r="U90" i="3"/>
  <c r="T90" i="3"/>
  <c r="S90" i="3"/>
  <c r="W39" i="3"/>
  <c r="W35" i="3"/>
  <c r="C200" i="3"/>
  <c r="L86" i="3"/>
  <c r="I25" i="3"/>
  <c r="J25" i="3"/>
  <c r="K25" i="3"/>
  <c r="L89" i="3"/>
  <c r="L25" i="3"/>
  <c r="M25" i="3"/>
  <c r="D72" i="3"/>
  <c r="E72" i="3"/>
  <c r="F72" i="3"/>
  <c r="G72" i="3"/>
  <c r="H72" i="3"/>
  <c r="I72" i="3"/>
  <c r="J72" i="3"/>
  <c r="M72" i="3"/>
  <c r="L81" i="3"/>
  <c r="H22" i="3"/>
  <c r="N25" i="3"/>
  <c r="R96" i="3"/>
  <c r="R66" i="3"/>
  <c r="P25" i="3"/>
  <c r="K23" i="3"/>
  <c r="M194" i="3"/>
  <c r="R45" i="3"/>
  <c r="R46" i="3"/>
  <c r="R57" i="3"/>
  <c r="L11" i="3"/>
  <c r="L75" i="3"/>
  <c r="K75" i="3"/>
  <c r="L77" i="3"/>
  <c r="K77" i="3"/>
  <c r="K78" i="3"/>
  <c r="L27" i="3"/>
  <c r="L29" i="3"/>
  <c r="L30" i="3"/>
  <c r="L31" i="3"/>
  <c r="L34" i="3"/>
  <c r="M93" i="3"/>
  <c r="K96" i="3"/>
  <c r="L96" i="3"/>
  <c r="L97" i="3"/>
  <c r="L93" i="3"/>
  <c r="H96" i="3"/>
  <c r="R69" i="3"/>
  <c r="J97" i="3"/>
  <c r="J93" i="3"/>
  <c r="D25" i="3"/>
  <c r="E25" i="3"/>
  <c r="F25" i="3"/>
  <c r="G25" i="3"/>
  <c r="H25" i="3"/>
  <c r="F13" i="3"/>
  <c r="F17" i="3"/>
  <c r="F18" i="3"/>
  <c r="G12" i="3"/>
  <c r="G11" i="3"/>
  <c r="G13" i="3"/>
  <c r="G18" i="3"/>
  <c r="H18" i="3"/>
  <c r="H19" i="3"/>
  <c r="H20" i="3"/>
  <c r="H21" i="3"/>
  <c r="H23" i="3"/>
  <c r="H24" i="3"/>
  <c r="H26" i="3"/>
  <c r="I18" i="3"/>
  <c r="I23" i="3"/>
  <c r="I24" i="3"/>
  <c r="I26" i="3"/>
  <c r="J18" i="3"/>
  <c r="J23" i="3"/>
  <c r="J24" i="3"/>
  <c r="J26" i="3"/>
  <c r="K24" i="3"/>
  <c r="K26" i="3"/>
  <c r="L26" i="3"/>
  <c r="M26" i="3"/>
  <c r="H27" i="3"/>
  <c r="H28" i="3"/>
  <c r="H29" i="3"/>
  <c r="I29" i="3"/>
  <c r="J29" i="3"/>
  <c r="K29" i="3"/>
  <c r="H30" i="3"/>
  <c r="H31" i="3"/>
  <c r="I31" i="3"/>
  <c r="J31" i="3"/>
  <c r="K31" i="3"/>
  <c r="M31" i="3"/>
  <c r="D90" i="3"/>
  <c r="D32" i="3"/>
  <c r="E90" i="3"/>
  <c r="E32" i="3"/>
  <c r="F90" i="3"/>
  <c r="F32" i="3"/>
  <c r="G90" i="3"/>
  <c r="G32" i="3"/>
  <c r="H32" i="3"/>
  <c r="I32" i="3"/>
  <c r="J90" i="3"/>
  <c r="J32" i="3"/>
  <c r="K90" i="3"/>
  <c r="K32" i="3"/>
  <c r="L90" i="3"/>
  <c r="L32" i="3"/>
  <c r="M32" i="3"/>
  <c r="H33" i="3"/>
  <c r="I33" i="3"/>
  <c r="J33" i="3"/>
  <c r="K33" i="3"/>
  <c r="L33" i="3"/>
  <c r="M33" i="3"/>
  <c r="H36" i="3"/>
  <c r="I36" i="3"/>
  <c r="J36" i="3"/>
  <c r="K36" i="3"/>
  <c r="M36" i="3"/>
  <c r="H37" i="3"/>
  <c r="I37" i="3"/>
  <c r="J37" i="3"/>
  <c r="K37" i="3"/>
  <c r="M37" i="3"/>
  <c r="H38" i="3"/>
  <c r="I38" i="3"/>
  <c r="J38" i="3"/>
  <c r="K38" i="3"/>
  <c r="L38" i="3"/>
  <c r="M38" i="3"/>
  <c r="H39" i="3"/>
  <c r="K39" i="3"/>
  <c r="L39" i="3"/>
  <c r="M39" i="3"/>
  <c r="I62" i="3"/>
  <c r="I63" i="3"/>
  <c r="I40" i="3"/>
  <c r="J62" i="3"/>
  <c r="J63" i="3"/>
  <c r="J40" i="3"/>
  <c r="K62" i="3"/>
  <c r="K63" i="3"/>
  <c r="K40" i="3"/>
  <c r="L44" i="3"/>
  <c r="L62" i="3"/>
  <c r="L47" i="3"/>
  <c r="L52" i="3"/>
  <c r="L56" i="3"/>
  <c r="L60" i="3"/>
  <c r="L63" i="3"/>
  <c r="L68" i="3"/>
  <c r="L40" i="3"/>
  <c r="H44" i="3"/>
  <c r="H89" i="3"/>
  <c r="M89" i="3"/>
  <c r="H53" i="3"/>
  <c r="H194" i="3"/>
  <c r="K166" i="3"/>
  <c r="L166" i="3"/>
  <c r="M168" i="3"/>
  <c r="M169" i="3"/>
  <c r="M178" i="3"/>
  <c r="M179" i="3"/>
  <c r="I189" i="3"/>
  <c r="I177" i="3"/>
  <c r="I167" i="3"/>
  <c r="I190" i="3"/>
  <c r="I193" i="3"/>
  <c r="J192" i="3"/>
  <c r="J189" i="3"/>
  <c r="J190" i="3"/>
  <c r="J193" i="3"/>
  <c r="K192" i="3"/>
  <c r="K189" i="3"/>
  <c r="K177" i="3"/>
  <c r="K167" i="3"/>
  <c r="K190" i="3"/>
  <c r="K193" i="3"/>
  <c r="L192" i="3"/>
  <c r="L189" i="3"/>
  <c r="L177" i="3"/>
  <c r="L167" i="3"/>
  <c r="L190" i="3"/>
  <c r="L193" i="3"/>
  <c r="K194" i="3"/>
  <c r="L194" i="3"/>
  <c r="K195" i="3"/>
  <c r="L195" i="3"/>
  <c r="M109" i="3"/>
  <c r="M117" i="3"/>
  <c r="M124" i="3"/>
  <c r="M131" i="3"/>
  <c r="M138" i="3"/>
  <c r="M140" i="3"/>
  <c r="M141" i="3"/>
  <c r="K138" i="3"/>
  <c r="K140" i="3"/>
  <c r="K124" i="3"/>
  <c r="K131" i="3"/>
  <c r="K141" i="3"/>
  <c r="L138" i="3"/>
  <c r="L140" i="3"/>
  <c r="J138" i="3"/>
  <c r="J140" i="3"/>
  <c r="K109" i="3"/>
  <c r="L109" i="3"/>
  <c r="K117" i="3"/>
  <c r="L117" i="3"/>
  <c r="L124" i="3"/>
  <c r="L131" i="3"/>
  <c r="L141" i="3"/>
  <c r="K69" i="3"/>
  <c r="L69" i="3"/>
  <c r="M69" i="3"/>
  <c r="K67" i="3"/>
  <c r="L67" i="3"/>
  <c r="M63" i="3"/>
  <c r="M62" i="3"/>
  <c r="M64" i="3"/>
  <c r="M61" i="3"/>
  <c r="K61" i="3"/>
  <c r="L61" i="3"/>
  <c r="K59" i="3"/>
  <c r="L59" i="3"/>
  <c r="L57" i="3"/>
  <c r="M57" i="3"/>
  <c r="K57" i="3"/>
  <c r="K55" i="3"/>
  <c r="L55" i="3"/>
  <c r="J55" i="3"/>
  <c r="J51" i="3"/>
  <c r="I51" i="3"/>
  <c r="I55" i="3"/>
  <c r="M53" i="3"/>
  <c r="K53" i="3"/>
  <c r="L53" i="3"/>
  <c r="J53" i="3"/>
  <c r="L51" i="3"/>
  <c r="M48" i="3"/>
  <c r="L48" i="3"/>
  <c r="K48" i="3"/>
  <c r="J48" i="3"/>
  <c r="L46" i="3"/>
  <c r="K46" i="3"/>
  <c r="J194" i="3"/>
  <c r="K97" i="3"/>
  <c r="K94" i="3"/>
  <c r="L94" i="3"/>
  <c r="K93" i="3"/>
  <c r="K87" i="3"/>
  <c r="L87" i="3"/>
  <c r="K86" i="3"/>
  <c r="K85" i="3"/>
  <c r="L85" i="3"/>
  <c r="K82" i="3"/>
  <c r="K81" i="3"/>
  <c r="K76" i="3"/>
  <c r="L76" i="3"/>
  <c r="J46" i="3"/>
  <c r="J86" i="3"/>
  <c r="J75" i="3"/>
  <c r="I75" i="3"/>
  <c r="J81" i="3"/>
  <c r="J82" i="3"/>
  <c r="I194" i="3"/>
  <c r="G194" i="3"/>
  <c r="F194" i="3"/>
  <c r="E194" i="3"/>
  <c r="D194" i="3"/>
  <c r="D189" i="3"/>
  <c r="D177" i="3"/>
  <c r="D167" i="3"/>
  <c r="D190" i="3"/>
  <c r="D193" i="3"/>
  <c r="E192" i="3"/>
  <c r="E189" i="3"/>
  <c r="E177" i="3"/>
  <c r="E167" i="3"/>
  <c r="E191" i="3"/>
  <c r="E190" i="3"/>
  <c r="E193" i="3"/>
  <c r="F192" i="3"/>
  <c r="F189" i="3"/>
  <c r="F177" i="3"/>
  <c r="F167" i="3"/>
  <c r="F190" i="3"/>
  <c r="F193" i="3"/>
  <c r="G192" i="3"/>
  <c r="J124" i="3"/>
  <c r="J131" i="3"/>
  <c r="J141" i="3"/>
  <c r="J109" i="3"/>
  <c r="J117" i="3"/>
  <c r="J142" i="3"/>
  <c r="I97" i="3"/>
  <c r="I93" i="3"/>
  <c r="G97" i="3"/>
  <c r="G93" i="3"/>
  <c r="I94" i="3"/>
  <c r="J94" i="3"/>
  <c r="E97" i="3"/>
  <c r="E93" i="3"/>
  <c r="J77" i="3"/>
  <c r="I77" i="3"/>
  <c r="J78" i="3"/>
  <c r="I78" i="3"/>
  <c r="E79" i="3"/>
  <c r="F23" i="3"/>
  <c r="F24" i="3"/>
  <c r="F79" i="3"/>
  <c r="G23" i="3"/>
  <c r="G24" i="3"/>
  <c r="G79" i="3"/>
  <c r="H13" i="3"/>
  <c r="H79" i="3"/>
  <c r="I79" i="3"/>
  <c r="J79" i="3"/>
  <c r="J85" i="3"/>
  <c r="P85" i="3"/>
  <c r="Q85" i="3"/>
  <c r="E26" i="3"/>
  <c r="E80" i="3"/>
  <c r="F26" i="3"/>
  <c r="F80" i="3"/>
  <c r="G26" i="3"/>
  <c r="G80" i="3"/>
  <c r="H80" i="3"/>
  <c r="I80" i="3"/>
  <c r="J80" i="3"/>
  <c r="D26" i="3"/>
  <c r="D80" i="3"/>
  <c r="D79" i="3"/>
  <c r="E87" i="3"/>
  <c r="F29" i="3"/>
  <c r="F87" i="3"/>
  <c r="G29" i="3"/>
  <c r="G87" i="3"/>
  <c r="H87" i="3"/>
  <c r="I87" i="3"/>
  <c r="J87" i="3"/>
  <c r="D87" i="3"/>
  <c r="I86" i="3"/>
  <c r="G86" i="3"/>
  <c r="F86" i="3"/>
  <c r="E86" i="3"/>
  <c r="I85" i="3"/>
  <c r="G85" i="3"/>
  <c r="F85" i="3"/>
  <c r="E85" i="3"/>
  <c r="E83" i="3"/>
  <c r="F83" i="3"/>
  <c r="G83" i="3"/>
  <c r="H83" i="3"/>
  <c r="I83" i="3"/>
  <c r="J83" i="3"/>
  <c r="E84" i="3"/>
  <c r="F84" i="3"/>
  <c r="G84" i="3"/>
  <c r="H84" i="3"/>
  <c r="I84" i="3"/>
  <c r="J84" i="3"/>
  <c r="D84" i="3"/>
  <c r="D83" i="3"/>
  <c r="G82" i="3"/>
  <c r="E82" i="3"/>
  <c r="F82" i="3"/>
  <c r="I81" i="3"/>
  <c r="F81" i="3"/>
  <c r="G81" i="3"/>
  <c r="E81" i="3"/>
  <c r="E77" i="3"/>
  <c r="F77" i="3"/>
  <c r="G77" i="3"/>
  <c r="H11" i="3"/>
  <c r="H14" i="3"/>
  <c r="H77" i="3"/>
  <c r="E78" i="3"/>
  <c r="F78" i="3"/>
  <c r="G15" i="3"/>
  <c r="G78" i="3"/>
  <c r="H12" i="3"/>
  <c r="H15" i="3"/>
  <c r="H78" i="3"/>
  <c r="D78" i="3"/>
  <c r="D77" i="3"/>
  <c r="J76" i="3"/>
  <c r="I76" i="3"/>
  <c r="E75" i="3"/>
  <c r="F75" i="3"/>
  <c r="G75" i="3"/>
  <c r="H75" i="3"/>
  <c r="E76" i="3"/>
  <c r="F76" i="3"/>
  <c r="G76" i="3"/>
  <c r="H76" i="3"/>
  <c r="D76" i="3"/>
  <c r="D75" i="3"/>
  <c r="O39" i="3"/>
  <c r="P39" i="3"/>
  <c r="Q39" i="3"/>
  <c r="R39" i="3"/>
  <c r="G62" i="3"/>
  <c r="G63" i="3"/>
  <c r="G40" i="3"/>
  <c r="F62" i="3"/>
  <c r="F63" i="3"/>
  <c r="F40" i="3"/>
  <c r="E62" i="3"/>
  <c r="E63" i="3"/>
  <c r="E40" i="3"/>
  <c r="D62" i="3"/>
  <c r="D63" i="3"/>
  <c r="D40" i="3"/>
  <c r="H68" i="3"/>
  <c r="H66" i="3"/>
  <c r="J69" i="3"/>
  <c r="I69" i="3"/>
  <c r="H69" i="3"/>
  <c r="G69" i="3"/>
  <c r="F69" i="3"/>
  <c r="E69" i="3"/>
  <c r="D69" i="3"/>
  <c r="J67" i="3"/>
  <c r="I67" i="3"/>
  <c r="G67" i="3"/>
  <c r="F67" i="3"/>
  <c r="E67" i="3"/>
  <c r="H54" i="3"/>
  <c r="H56" i="3"/>
  <c r="H57" i="3"/>
  <c r="H61" i="3"/>
  <c r="H62" i="3"/>
  <c r="H63" i="3"/>
  <c r="H64" i="3"/>
  <c r="E64" i="3"/>
  <c r="F64" i="3"/>
  <c r="G64" i="3"/>
  <c r="I64" i="3"/>
  <c r="J64" i="3"/>
  <c r="K64" i="3"/>
  <c r="L64" i="3"/>
  <c r="D64" i="3"/>
  <c r="R61" i="3"/>
  <c r="J61" i="3"/>
  <c r="I61" i="3"/>
  <c r="G61" i="3"/>
  <c r="F61" i="3"/>
  <c r="E61" i="3"/>
  <c r="D61" i="3"/>
  <c r="J59" i="3"/>
  <c r="I59" i="3"/>
  <c r="G59" i="3"/>
  <c r="F59" i="3"/>
  <c r="E59" i="3"/>
  <c r="J57" i="3"/>
  <c r="I57" i="3"/>
  <c r="G57" i="3"/>
  <c r="F57" i="3"/>
  <c r="E57" i="3"/>
  <c r="D57" i="3"/>
  <c r="I53" i="3"/>
  <c r="G53" i="3"/>
  <c r="F53" i="3"/>
  <c r="E53" i="3"/>
  <c r="D53" i="3"/>
  <c r="G55" i="3"/>
  <c r="F55" i="3"/>
  <c r="E55" i="3"/>
  <c r="E51" i="3"/>
  <c r="H47" i="3"/>
  <c r="H45" i="3"/>
  <c r="D46" i="3"/>
  <c r="E46" i="3"/>
  <c r="F46" i="3"/>
  <c r="G46" i="3"/>
  <c r="H46" i="3"/>
  <c r="I46" i="3"/>
  <c r="D48" i="3"/>
  <c r="E48" i="3"/>
  <c r="F48" i="3"/>
  <c r="G48" i="3"/>
  <c r="H48" i="3"/>
  <c r="I48" i="3"/>
  <c r="F33" i="3"/>
  <c r="F31" i="3"/>
  <c r="F38" i="3"/>
  <c r="D97" i="3"/>
  <c r="F51" i="3"/>
  <c r="H17" i="3"/>
  <c r="G195" i="3"/>
  <c r="H16" i="3"/>
  <c r="D138" i="3"/>
  <c r="D140" i="3"/>
  <c r="D124" i="3"/>
  <c r="D131" i="3"/>
  <c r="D141" i="3"/>
  <c r="E138" i="3"/>
  <c r="E140" i="3"/>
  <c r="F138" i="3"/>
  <c r="F140" i="3"/>
  <c r="E124" i="3"/>
  <c r="F124" i="3"/>
  <c r="I133" i="3"/>
  <c r="I138" i="3"/>
  <c r="I140" i="3"/>
  <c r="I124" i="3"/>
  <c r="I131" i="3"/>
  <c r="I109" i="3"/>
  <c r="I117" i="3"/>
  <c r="J195" i="3"/>
  <c r="G189" i="3"/>
  <c r="G177" i="3"/>
  <c r="G167" i="3"/>
  <c r="G191" i="3"/>
  <c r="F97" i="3"/>
  <c r="F131" i="3"/>
  <c r="F109" i="3"/>
  <c r="F117" i="3"/>
  <c r="D109" i="3"/>
  <c r="D117" i="3"/>
  <c r="E131" i="3"/>
  <c r="E109" i="3"/>
  <c r="E117" i="3"/>
  <c r="G142" i="3"/>
  <c r="E94" i="3"/>
  <c r="E141" i="3"/>
  <c r="E142" i="3"/>
  <c r="F141" i="3"/>
  <c r="F142" i="3"/>
  <c r="G94" i="3"/>
  <c r="D142" i="3"/>
  <c r="G190" i="3"/>
  <c r="I141" i="3"/>
  <c r="I142" i="3"/>
  <c r="F93" i="3"/>
  <c r="F94" i="3"/>
  <c r="F195" i="3"/>
  <c r="E36" i="3"/>
  <c r="E37" i="3"/>
  <c r="E195" i="3"/>
  <c r="F36" i="3"/>
  <c r="F37" i="3"/>
  <c r="D37" i="3"/>
  <c r="D36" i="3"/>
  <c r="D195" i="3"/>
  <c r="I195" i="3"/>
  <c r="H195" i="3"/>
  <c r="D33" i="3"/>
  <c r="D38" i="3"/>
  <c r="E33" i="3"/>
  <c r="E38" i="3"/>
  <c r="G33" i="3"/>
  <c r="G38" i="3"/>
  <c r="G31" i="3"/>
  <c r="G37" i="3"/>
  <c r="G36" i="3"/>
  <c r="G51" i="3"/>
  <c r="K83" i="3"/>
  <c r="K84" i="3"/>
  <c r="M75" i="3"/>
  <c r="M76" i="3"/>
  <c r="L80" i="3"/>
  <c r="L79" i="3"/>
  <c r="M78" i="3"/>
  <c r="M80" i="3"/>
  <c r="M79" i="3"/>
  <c r="L84" i="3"/>
  <c r="L83" i="3"/>
  <c r="M77" i="3"/>
  <c r="K79" i="3"/>
  <c r="K80" i="3"/>
  <c r="R34" i="3"/>
  <c r="N84" i="3"/>
  <c r="N83" i="3"/>
  <c r="N26" i="3"/>
  <c r="N33" i="3"/>
  <c r="N38" i="3"/>
  <c r="N40" i="3"/>
  <c r="N31" i="3"/>
  <c r="N37" i="3"/>
  <c r="N80" i="3"/>
  <c r="N36" i="3"/>
  <c r="T20" i="3"/>
  <c r="R48" i="3"/>
  <c r="O48" i="3"/>
  <c r="S17" i="3"/>
  <c r="S18" i="3"/>
  <c r="T17" i="3"/>
  <c r="T18" i="3"/>
  <c r="U17" i="3"/>
  <c r="U18" i="3"/>
  <c r="T52" i="3"/>
  <c r="T63" i="3"/>
  <c r="T24" i="3"/>
  <c r="T29" i="3"/>
  <c r="T30" i="3"/>
  <c r="U52" i="3"/>
  <c r="U63" i="3"/>
  <c r="U24" i="3"/>
  <c r="U29" i="3"/>
  <c r="U30" i="3"/>
  <c r="V29" i="3"/>
  <c r="V30" i="3"/>
  <c r="S52" i="3"/>
  <c r="S63" i="3"/>
  <c r="S24" i="3"/>
  <c r="S29" i="3"/>
  <c r="S30" i="3"/>
  <c r="W30" i="3"/>
  <c r="W29" i="3"/>
  <c r="W87" i="3"/>
  <c r="R62" i="3"/>
  <c r="W62" i="3"/>
  <c r="S26" i="3"/>
  <c r="S33" i="3"/>
  <c r="S38" i="3"/>
  <c r="W78" i="3"/>
  <c r="W64" i="3"/>
  <c r="V64" i="3"/>
  <c r="U64" i="3"/>
  <c r="T64" i="3"/>
  <c r="S23" i="3"/>
  <c r="S21" i="3"/>
  <c r="S84" i="3"/>
  <c r="S83" i="3"/>
  <c r="S80" i="3"/>
  <c r="S79" i="3"/>
  <c r="S64" i="3"/>
  <c r="W31" i="3"/>
  <c r="W36" i="3"/>
  <c r="W37" i="3"/>
  <c r="T26" i="3"/>
  <c r="U26" i="3"/>
  <c r="V26" i="3"/>
  <c r="W26" i="3"/>
  <c r="W33" i="3"/>
  <c r="W38" i="3"/>
  <c r="T31" i="3"/>
  <c r="T36" i="3"/>
  <c r="U31" i="3"/>
  <c r="U36" i="3"/>
  <c r="V31" i="3"/>
  <c r="V36" i="3"/>
  <c r="T37" i="3"/>
  <c r="U37" i="3"/>
  <c r="V37" i="3"/>
  <c r="T33" i="3"/>
  <c r="T38" i="3"/>
  <c r="U33" i="3"/>
  <c r="U38" i="3"/>
  <c r="V33" i="3"/>
  <c r="V38" i="3"/>
  <c r="S31" i="3"/>
  <c r="S36" i="3"/>
  <c r="S37" i="3"/>
  <c r="Q26" i="3"/>
  <c r="Q33" i="3"/>
  <c r="Q38" i="3"/>
  <c r="R64" i="3"/>
  <c r="R53" i="3"/>
  <c r="P64" i="3"/>
  <c r="Q64" i="3"/>
  <c r="Q40" i="3"/>
  <c r="Q80" i="3"/>
  <c r="Q79" i="3"/>
  <c r="P79" i="3"/>
  <c r="P40" i="3"/>
  <c r="P26" i="3"/>
  <c r="P33" i="3"/>
  <c r="P38" i="3"/>
  <c r="P80" i="3"/>
  <c r="Q31" i="3"/>
  <c r="Q37" i="3"/>
  <c r="P31" i="3"/>
  <c r="P37" i="3"/>
  <c r="R77" i="3"/>
  <c r="R75" i="3"/>
  <c r="R76" i="3"/>
  <c r="Q36" i="3"/>
  <c r="W80" i="3"/>
  <c r="W79" i="3"/>
  <c r="V80" i="3"/>
  <c r="V79" i="3"/>
  <c r="U80" i="3"/>
  <c r="U79" i="3"/>
  <c r="T80" i="3"/>
  <c r="T79" i="3"/>
  <c r="T23" i="3"/>
  <c r="T21" i="3"/>
  <c r="T84" i="3"/>
  <c r="T83" i="3"/>
  <c r="P36" i="3"/>
  <c r="U23" i="3"/>
  <c r="R80" i="3"/>
  <c r="R79" i="3"/>
  <c r="R87" i="3"/>
  <c r="R36" i="3"/>
  <c r="O17" i="3"/>
  <c r="O18" i="3"/>
  <c r="O24" i="3"/>
  <c r="O26" i="3"/>
  <c r="O33" i="3"/>
  <c r="O38" i="3"/>
  <c r="O29" i="3"/>
  <c r="O31" i="3"/>
  <c r="O37" i="3"/>
  <c r="Q23" i="3"/>
  <c r="O36" i="3"/>
  <c r="C202" i="3"/>
  <c r="C209" i="3"/>
  <c r="C210" i="3"/>
  <c r="C211" i="3"/>
  <c r="C7" i="3"/>
  <c r="C6" i="3"/>
  <c r="P83" i="3"/>
  <c r="P84" i="3"/>
  <c r="Q84" i="3"/>
  <c r="Q83" i="3"/>
  <c r="V84" i="3"/>
  <c r="V83" i="3"/>
  <c r="U20" i="3"/>
  <c r="U21" i="3"/>
  <c r="U84" i="3"/>
  <c r="U83" i="3"/>
  <c r="O40" i="3"/>
  <c r="O79" i="3"/>
  <c r="O80" i="3"/>
  <c r="O87" i="3"/>
</calcChain>
</file>

<file path=xl/comments1.xml><?xml version="1.0" encoding="utf-8"?>
<comments xmlns="http://schemas.openxmlformats.org/spreadsheetml/2006/main">
  <authors>
    <author>Microsoft Office User</author>
    <author>Admin</author>
    <author>Jae Lee</author>
  </authors>
  <commentList>
    <comment ref="R13" authorId="0" shapeId="0">
      <text>
        <r>
          <rPr>
            <sz val="10"/>
            <color indexed="81"/>
            <rFont val="Calibri"/>
            <family val="2"/>
          </rPr>
          <t xml:space="preserve">Management guided revenue between $90.5B and $92.5B on July 26, 2017
</t>
        </r>
      </text>
    </comment>
    <comment ref="R21" authorId="0" shapeId="0">
      <text>
        <r>
          <rPr>
            <sz val="10"/>
            <color indexed="81"/>
            <rFont val="Calibri"/>
            <family val="2"/>
          </rPr>
          <t xml:space="preserve">Management guided R&amp;D expense to ~$3.6B on July 26, 2017
</t>
        </r>
      </text>
    </comment>
    <comment ref="R35" authorId="0" shapeId="0">
      <text>
        <r>
          <rPr>
            <sz val="10"/>
            <color indexed="81"/>
            <rFont val="Calibri"/>
            <family val="2"/>
          </rPr>
          <t xml:space="preserve">Management guided diluted shares ~ 610 on July 26, 2017
</t>
        </r>
      </text>
    </comment>
    <comment ref="R37" authorId="0" shapeId="0">
      <text>
        <r>
          <rPr>
            <sz val="10"/>
            <color indexed="81"/>
            <rFont val="Calibri"/>
            <family val="2"/>
          </rPr>
          <t>Management guided GAAP diluted EPS between $11.10 and $11.30 per share on July 26, 2017</t>
        </r>
      </text>
    </comment>
    <comment ref="R38" authorId="0" shapeId="0">
      <text>
        <r>
          <rPr>
            <sz val="10"/>
            <color indexed="81"/>
            <rFont val="Calibri"/>
            <family val="2"/>
          </rPr>
          <t>Management guided non-GAAP diluted EPS between $9.80 and $10.00 per share on July 26, 2017</t>
        </r>
      </text>
    </comment>
    <comment ref="R44" authorId="0" shapeId="0">
      <text>
        <r>
          <rPr>
            <sz val="10"/>
            <color indexed="81"/>
            <rFont val="Calibri"/>
            <family val="2"/>
          </rPr>
          <t>Management guided commercial revenue between $62.5B and 63.5B on July 26, 2017</t>
        </r>
      </text>
    </comment>
    <comment ref="R45" authorId="0" shapeId="0">
      <text>
        <r>
          <rPr>
            <sz val="10"/>
            <color indexed="81"/>
            <rFont val="Calibri"/>
            <family val="2"/>
          </rPr>
          <t>Management guided commercial deliveries between 760 and 765 on July 26, 2017</t>
        </r>
      </text>
    </comment>
    <comment ref="B46" authorId="1" shapeId="0">
      <text>
        <r>
          <rPr>
            <sz val="9"/>
            <color indexed="81"/>
            <rFont val="Tahoma"/>
            <family val="2"/>
          </rPr>
          <t>This metric uses a broad assumption that revenue is recognized upon delivery, which is an over simplication, but can be considered a proxy for revenue.</t>
        </r>
      </text>
    </comment>
    <comment ref="R48" authorId="0" shapeId="0">
      <text>
        <r>
          <rPr>
            <sz val="10"/>
            <color indexed="81"/>
            <rFont val="Calibri"/>
            <family val="2"/>
          </rPr>
          <t xml:space="preserve">Management guided commercial operating margin to &gt;10% on July 26, 2017
</t>
        </r>
      </text>
    </comment>
    <comment ref="R50" authorId="0" shapeId="0">
      <text>
        <r>
          <rPr>
            <sz val="10"/>
            <color indexed="81"/>
            <rFont val="Calibri"/>
            <family val="2"/>
          </rPr>
          <t>Management guided  military revenue to ~$11.5B on July 26, 2017</t>
        </r>
      </text>
    </comment>
    <comment ref="R53" authorId="0" shapeId="0">
      <text>
        <r>
          <rPr>
            <sz val="10"/>
            <color indexed="81"/>
            <rFont val="Calibri"/>
            <family val="2"/>
          </rPr>
          <t>Management guided military operating margin to &gt;12% on July 26, 2017</t>
        </r>
      </text>
    </comment>
    <comment ref="R54" authorId="0" shapeId="0">
      <text>
        <r>
          <rPr>
            <sz val="10"/>
            <color indexed="81"/>
            <rFont val="Calibri"/>
            <family val="2"/>
          </rPr>
          <t>Management guided Network and space revenue to ~$7B on July 26, 2017</t>
        </r>
      </text>
    </comment>
    <comment ref="R57" authorId="0" shapeId="0">
      <text>
        <r>
          <rPr>
            <sz val="10"/>
            <color indexed="81"/>
            <rFont val="Calibri"/>
            <family val="2"/>
          </rPr>
          <t>Management guided Network and space systems operating margin to ~8% on July 26, 2017</t>
        </r>
      </text>
    </comment>
    <comment ref="R58" authorId="0" shapeId="0">
      <text>
        <r>
          <rPr>
            <sz val="10"/>
            <color indexed="81"/>
            <rFont val="Calibri"/>
            <family val="2"/>
          </rPr>
          <t>Management guided Global Services revenue to ~$10B on July 26, 2017</t>
        </r>
      </text>
    </comment>
    <comment ref="R61" authorId="0" shapeId="0">
      <text>
        <r>
          <rPr>
            <sz val="10"/>
            <color indexed="81"/>
            <rFont val="Calibri"/>
            <family val="2"/>
          </rPr>
          <t>Management guided Global Services operating margin to &gt;13.5% on July 26, 2017</t>
        </r>
      </text>
    </comment>
    <comment ref="R64" authorId="0" shapeId="0">
      <text>
        <r>
          <rPr>
            <sz val="10"/>
            <color indexed="81"/>
            <rFont val="Calibri"/>
            <family val="2"/>
          </rPr>
          <t>Management guided total BDS operating margin to ~11.5% on July 26, 2017</t>
        </r>
      </text>
    </comment>
    <comment ref="R66" authorId="0" shapeId="0">
      <text>
        <r>
          <rPr>
            <sz val="10"/>
            <color indexed="81"/>
            <rFont val="Calibri"/>
            <family val="2"/>
          </rPr>
          <t>Management guided Boeing Capital revenue to ~0.3B  on July 26, 2017</t>
        </r>
      </text>
    </comment>
    <comment ref="R68" authorId="0" shapeId="0">
      <text>
        <r>
          <rPr>
            <sz val="10"/>
            <color indexed="81"/>
            <rFont val="Calibri"/>
            <family val="2"/>
          </rPr>
          <t>Management guided Boeing Capital pretax earnings to ~0.08B on July 26, 2017</t>
        </r>
      </text>
    </comment>
    <comment ref="R87" authorId="0" shapeId="0">
      <text>
        <r>
          <rPr>
            <sz val="10"/>
            <color indexed="81"/>
            <rFont val="Calibri"/>
            <family val="2"/>
          </rPr>
          <t>Management guided 2017 effective tax rate of 29% on July 26, 2017</t>
        </r>
      </text>
    </comment>
    <comment ref="R89" authorId="0" shapeId="0">
      <text>
        <r>
          <rPr>
            <sz val="10"/>
            <color indexed="81"/>
            <rFont val="Calibri"/>
            <family val="2"/>
          </rPr>
          <t>Management guided unallocated pension and other postretirment expense non-gaap adjustment to ~$1.220B on July 26, 2017</t>
        </r>
      </text>
    </comment>
    <comment ref="B125" authorId="2" shapeId="0">
      <text>
        <r>
          <rPr>
            <sz val="9"/>
            <color indexed="81"/>
            <rFont val="Calibri"/>
            <family val="2"/>
          </rPr>
          <t>Deferred income taxes moved from current liabilities to under total  liabilities since the Dec 31 FY</t>
        </r>
        <r>
          <rPr>
            <b/>
            <sz val="9"/>
            <color indexed="81"/>
            <rFont val="Calibri"/>
            <family val="2"/>
          </rPr>
          <t xml:space="preserve">
</t>
        </r>
        <r>
          <rPr>
            <sz val="9"/>
            <color indexed="81"/>
            <rFont val="Calibri"/>
            <family val="2"/>
          </rPr>
          <t xml:space="preserve">
</t>
        </r>
      </text>
    </comment>
  </commentList>
</comments>
</file>

<file path=xl/sharedStrings.xml><?xml version="1.0" encoding="utf-8"?>
<sst xmlns="http://schemas.openxmlformats.org/spreadsheetml/2006/main" count="330" uniqueCount="213">
  <si>
    <t>(Dollars in millions, except per share data)</t>
  </si>
  <si>
    <t>Multiple Valuation</t>
  </si>
  <si>
    <t>P/E used for valuation</t>
  </si>
  <si>
    <t xml:space="preserve">Segment Data &amp; Income Statement Ratios </t>
  </si>
  <si>
    <t>Basic EPS (GAAP)</t>
  </si>
  <si>
    <t>Diluted EPS (GAAP)</t>
  </si>
  <si>
    <t>Basic shares outstanding (GAAP)</t>
  </si>
  <si>
    <t>Diluted shares outstanding (GAAP)</t>
  </si>
  <si>
    <t>Diluted EPS (Non-GAAP)</t>
  </si>
  <si>
    <t>NTM P/E 3-month average</t>
  </si>
  <si>
    <t>NTM P/E 3-month high</t>
  </si>
  <si>
    <t>NTM P/E 3-month low</t>
  </si>
  <si>
    <t>FY 2017E</t>
  </si>
  <si>
    <t xml:space="preserve">Plus net cash/(debt) per share </t>
  </si>
  <si>
    <t>Implied P/E 12-month target value</t>
  </si>
  <si>
    <t>Dividend per share</t>
  </si>
  <si>
    <t>Analysis of share count changes</t>
  </si>
  <si>
    <t>Change in basic shares  (excluding repurchases)</t>
  </si>
  <si>
    <t>Change in diluted shares  (excluding repurchases)</t>
  </si>
  <si>
    <t>Share repurchase assumptions: average price</t>
  </si>
  <si>
    <t>Share repurchase: amount in the period ($M)</t>
  </si>
  <si>
    <t>Shares repurchased (M) [repurchase details are rounded]</t>
  </si>
  <si>
    <t>1Q15</t>
  </si>
  <si>
    <t>2Q15</t>
  </si>
  <si>
    <t>3Q17E</t>
  </si>
  <si>
    <t>4Q17E</t>
  </si>
  <si>
    <t>3Q15</t>
  </si>
  <si>
    <t>General and administrative</t>
  </si>
  <si>
    <t>Income before income taxes (GAAP)</t>
  </si>
  <si>
    <t>Effective income tax rate</t>
  </si>
  <si>
    <t>Operating Income (GAAP)</t>
  </si>
  <si>
    <t>Operating Income (Non-GAAP)</t>
  </si>
  <si>
    <t>Operating Income Margin (GAAP)</t>
  </si>
  <si>
    <t>Operating Income Margin (Non-GAAP)</t>
  </si>
  <si>
    <t>Total Operating Expenses (ex cost of revenue)</t>
  </si>
  <si>
    <t>Net income (GAAP)</t>
  </si>
  <si>
    <t>($ in millions  unless otherwise noted)</t>
  </si>
  <si>
    <t>Average interest expense</t>
  </si>
  <si>
    <t>Research and development</t>
  </si>
  <si>
    <t>Ratio Analysis</t>
  </si>
  <si>
    <t>Gross Profit (GAAP)</t>
  </si>
  <si>
    <t>Opex adjustments (Non-GAAP)</t>
  </si>
  <si>
    <t>Non-GAAP Adjustment Analysis</t>
  </si>
  <si>
    <t xml:space="preserve">(a) Multiples are calculated excluding the value of net cash/(debt) and are based on the 3-month average daily share price compared to the consensus EPS estimates for the next twelve month period. </t>
  </si>
  <si>
    <t>4Q15</t>
  </si>
  <si>
    <t>FY 2015</t>
  </si>
  <si>
    <t>Implied target price band</t>
  </si>
  <si>
    <t>Mean monthly return</t>
  </si>
  <si>
    <t xml:space="preserve">Standard deviation </t>
  </si>
  <si>
    <t>Implied upper bound</t>
  </si>
  <si>
    <t>Implied Lower bound</t>
  </si>
  <si>
    <t>Risk Estimation Summary (b)</t>
  </si>
  <si>
    <t>Implied P/E target value</t>
  </si>
  <si>
    <t>By obtaining this model you are deemed to have read and agreed to our Terms of Use. Visit our website for details: https://www.gutenbergresearch.com/terms-of-use.html</t>
  </si>
  <si>
    <t>GR</t>
  </si>
  <si>
    <t>BALANCE SHEET</t>
  </si>
  <si>
    <t>Assets</t>
  </si>
  <si>
    <t>Cash and equivalents</t>
  </si>
  <si>
    <t xml:space="preserve">Accounts receivables, net </t>
  </si>
  <si>
    <t>Total Current Assets</t>
  </si>
  <si>
    <t xml:space="preserve">Property, plant and equipment, net </t>
  </si>
  <si>
    <t>Total Assets</t>
  </si>
  <si>
    <t>Liabilities</t>
  </si>
  <si>
    <t>Accounts payable</t>
  </si>
  <si>
    <t>Total Current liabilities</t>
  </si>
  <si>
    <t>Other long-term liabilities</t>
  </si>
  <si>
    <t>Total liabilities</t>
  </si>
  <si>
    <t>Equity</t>
  </si>
  <si>
    <t>Total shareholders' equity</t>
  </si>
  <si>
    <t>Total liabilities and equity</t>
  </si>
  <si>
    <t>CASH FLOW STATEMENT</t>
  </si>
  <si>
    <t>Cash flows from operating activities</t>
  </si>
  <si>
    <t>Net income (loss)</t>
  </si>
  <si>
    <t>Change in operating assets and liabilities</t>
  </si>
  <si>
    <t>Accounts receivable</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</si>
  <si>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</si>
  <si>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</si>
  <si>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</si>
  <si>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</si>
  <si>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</si>
  <si>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</si>
  <si>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Effect of exchange rate changes on cash</t>
  </si>
  <si>
    <t>Cash and equivalents at beginning of period</t>
  </si>
  <si>
    <t>Cash and equivalents at end of period</t>
  </si>
  <si>
    <t>Short-term investments</t>
  </si>
  <si>
    <t>Intangible assets</t>
  </si>
  <si>
    <t>Goodwill</t>
  </si>
  <si>
    <t>Other assets</t>
  </si>
  <si>
    <t>Additional paid-in capital</t>
  </si>
  <si>
    <t xml:space="preserve">Common stock </t>
  </si>
  <si>
    <t>Accumulated other comprehensive loss</t>
  </si>
  <si>
    <t>Deferred income taxes</t>
  </si>
  <si>
    <t>Business combinations, net of cash acquired</t>
  </si>
  <si>
    <t>Other investing activities</t>
  </si>
  <si>
    <t>Other financing activities</t>
  </si>
  <si>
    <t>Boeing Income Statement</t>
  </si>
  <si>
    <t>Cost of services</t>
  </si>
  <si>
    <t>Cost of products</t>
  </si>
  <si>
    <t>Income from operating investments, net</t>
  </si>
  <si>
    <t>(Loss)/gain on dispositions, net</t>
  </si>
  <si>
    <t>Interest and debt expense</t>
  </si>
  <si>
    <t>Current portion of customer financing, net</t>
  </si>
  <si>
    <t>Inventories, net of advances and progress billings</t>
  </si>
  <si>
    <t>Customer financing, net</t>
  </si>
  <si>
    <t>Advances and billings in excess of related costs</t>
  </si>
  <si>
    <t>Short-term debt and current portion of long-term debt</t>
  </si>
  <si>
    <t>Accrued retiree health care</t>
  </si>
  <si>
    <t>Accrued pension plan liability, net</t>
  </si>
  <si>
    <t>Long-term debt</t>
  </si>
  <si>
    <t>Treasury stock</t>
  </si>
  <si>
    <t>Retained earnings</t>
  </si>
  <si>
    <t>Noncontrolling interests</t>
  </si>
  <si>
    <t>Total equity</t>
  </si>
  <si>
    <t>Boeing Capital interest expense</t>
  </si>
  <si>
    <t>Deferred income taxes and income taxes payable</t>
  </si>
  <si>
    <t>Non-current income taxes payable</t>
  </si>
  <si>
    <t>Share-based plans expense</t>
  </si>
  <si>
    <t>Depreciation and amortization</t>
  </si>
  <si>
    <t>Investment/asset impairment charges, net</t>
  </si>
  <si>
    <t>Customer financing valuation benefit</t>
  </si>
  <si>
    <t>Other charges and credits, net</t>
  </si>
  <si>
    <t>Excess tax benefits from share-based payment arrangements</t>
  </si>
  <si>
    <t>Accrued liabilities</t>
  </si>
  <si>
    <t>Pension and other postretirement plans</t>
  </si>
  <si>
    <t>Other</t>
  </si>
  <si>
    <t>Property, plant and equipment reductions</t>
  </si>
  <si>
    <t>New borrowings</t>
  </si>
  <si>
    <t>Debt repayments</t>
  </si>
  <si>
    <t>Employee taxes on certain share-based payment arrangements</t>
  </si>
  <si>
    <t>Common shares repurchased</t>
  </si>
  <si>
    <t>Dividends paid</t>
  </si>
  <si>
    <t>Sept-30</t>
  </si>
  <si>
    <t>Mar-31</t>
  </si>
  <si>
    <t>June-30</t>
  </si>
  <si>
    <t>Dec-31</t>
  </si>
  <si>
    <t>1Q16</t>
  </si>
  <si>
    <t>2Q16</t>
  </si>
  <si>
    <t>Income taxes receivable, payable and deferred</t>
  </si>
  <si>
    <t>Property, plant and equipment additions</t>
  </si>
  <si>
    <t>Gain/(Loss) on dispositions, net</t>
  </si>
  <si>
    <t>Total Costs and expenses (GAAP)</t>
  </si>
  <si>
    <t>Long-term investments</t>
  </si>
  <si>
    <t>Other (loss)/income, net</t>
  </si>
  <si>
    <t>Revenue (GAAP)</t>
  </si>
  <si>
    <t>General and administrative as a % of revenue</t>
  </si>
  <si>
    <t>Research and development as a % of revenue</t>
  </si>
  <si>
    <t>Net cash/(debt) per diluted share (Non-GAAP)</t>
  </si>
  <si>
    <t>Sales of Products</t>
  </si>
  <si>
    <t>Sales of Services</t>
  </si>
  <si>
    <t>Net income (Non-GAAP)</t>
  </si>
  <si>
    <t>Income tax adjustment on Non-GAAP items</t>
  </si>
  <si>
    <t>Income Tax (expense)/Benefit</t>
  </si>
  <si>
    <t>Tax impact of Non-GAAP Adjustments ($M)</t>
  </si>
  <si>
    <t>Tax impact of Non-GAAP Adjustments (%)</t>
  </si>
  <si>
    <t>Commercial Airplanes Revenue ($M)</t>
  </si>
  <si>
    <t xml:space="preserve">Commercial Airplanes Segment </t>
  </si>
  <si>
    <t>Commercial Airplanes Deliveries (in units)</t>
  </si>
  <si>
    <t>Commerical Airplanes Segment Operating Margin ($M)</t>
  </si>
  <si>
    <t>Commerical Airplanes Segment Operating Margin (%)</t>
  </si>
  <si>
    <t xml:space="preserve">   Revenue per Delivery ($M per unit)</t>
  </si>
  <si>
    <t xml:space="preserve">Defense, Space &amp; Security Segment </t>
  </si>
  <si>
    <t xml:space="preserve">   Boeing Military Aircraft (QoQ)</t>
  </si>
  <si>
    <t xml:space="preserve">   Network &amp; Space Systems (QoQ)</t>
  </si>
  <si>
    <t xml:space="preserve">   Global Services &amp; Support (QoQ)</t>
  </si>
  <si>
    <t>Military Aircraft Operating Margin ($M)</t>
  </si>
  <si>
    <t>Boeing Military Aircraft Revenue ($M)</t>
  </si>
  <si>
    <t>Network &amp; Space Systems Operating Margin ($M)</t>
  </si>
  <si>
    <t>Network &amp; Space Systems Operating Margin (%)</t>
  </si>
  <si>
    <t>Military Aircraft  Operating Margin (%)</t>
  </si>
  <si>
    <t>Global Services &amp; Support Revenue ($M)</t>
  </si>
  <si>
    <t>Network &amp; Space Systems Revenue ($M)</t>
  </si>
  <si>
    <t>Global Services &amp; Support Operating Margin ($M)</t>
  </si>
  <si>
    <t>Global Services &amp; Support Operating Margin (%)</t>
  </si>
  <si>
    <t>Total Defense, Space &amp; Security Revenue ($M)</t>
  </si>
  <si>
    <t>Total Defense, Space &amp; Security Operating Margin ($M)</t>
  </si>
  <si>
    <t>Total Defense, Space &amp; Security Operating Margin (%)</t>
  </si>
  <si>
    <t xml:space="preserve">Boeing Capital Segment </t>
  </si>
  <si>
    <t>Boeing Capital Revenue ($M)</t>
  </si>
  <si>
    <t xml:space="preserve">   Boeing Capital (QoQ)</t>
  </si>
  <si>
    <t>Boeing Capital Operating Margin ($M)</t>
  </si>
  <si>
    <t>Boeing Capital Operating Margin (%)</t>
  </si>
  <si>
    <t>Unallocated items, eliminations and other (Revenue, $M)</t>
  </si>
  <si>
    <t>Unallocated items, eliminations and other (Operating Earnings, $M)</t>
  </si>
  <si>
    <t>Other income/(expense), net</t>
  </si>
  <si>
    <t>Other Items</t>
  </si>
  <si>
    <t>Product sales as a % of total revenue</t>
  </si>
  <si>
    <t>Services sales as a % of total revenue</t>
  </si>
  <si>
    <t>Product Gross Margin (exCap Int)</t>
  </si>
  <si>
    <t>Services Gross Margin (exCap Int)</t>
  </si>
  <si>
    <t>Average Boeing Capital interest expense</t>
  </si>
  <si>
    <t>Average Income from operating investments</t>
  </si>
  <si>
    <t xml:space="preserve">Average (Loss)/gain on dispositions, net </t>
  </si>
  <si>
    <t>Unallocated Pension/ Post Retirement Expense (adjustment to opex)</t>
  </si>
  <si>
    <t>3Q16</t>
  </si>
  <si>
    <t>4Q16</t>
  </si>
  <si>
    <t>FY 2016</t>
  </si>
  <si>
    <t>Repayments of distribution rights and other asset financing</t>
  </si>
  <si>
    <t>1Q18E</t>
  </si>
  <si>
    <t>2Q18E</t>
  </si>
  <si>
    <t>3Q18E</t>
  </si>
  <si>
    <t>4Q18E</t>
  </si>
  <si>
    <t>FY 2018E</t>
  </si>
  <si>
    <t>1Q17</t>
  </si>
  <si>
    <t>2Q17</t>
  </si>
  <si>
    <t>Proceeds from investments</t>
  </si>
  <si>
    <t>Contributions to investments</t>
  </si>
  <si>
    <t>Purchase of distribution rights</t>
  </si>
  <si>
    <t>Stock options exercised</t>
  </si>
  <si>
    <r>
      <rPr>
        <b/>
        <sz val="11"/>
        <color theme="1"/>
        <rFont val="Calibri"/>
        <family val="2"/>
        <scheme val="minor"/>
      </rPr>
      <t>NOTE:</t>
    </r>
    <r>
      <rPr>
        <sz val="11"/>
        <color theme="1"/>
        <rFont val="Calibri"/>
        <family val="2"/>
        <scheme val="minor"/>
      </rPr>
      <t xml:space="preserve"> There are many different multiples which could be applied to various earnings metrics, each of which result in different valuations. This calculation is for demonstration only. Please refer to our disclosures for important details.  Our Multiple valuation metrics are kept constant at certain points during each quarter to isolate the impact from changes in earnings estimates.   </t>
    </r>
    <r>
      <rPr>
        <b/>
        <sz val="11"/>
        <color theme="3"/>
        <rFont val="Calibri"/>
        <family val="2"/>
        <scheme val="minor"/>
      </rPr>
      <t>The multiple  in this section was last updated on 8/23/2017</t>
    </r>
  </si>
  <si>
    <r>
      <t xml:space="preserve">(b)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on our website GutenbergResearch.com. </t>
    </r>
    <r>
      <rPr>
        <b/>
        <sz val="11"/>
        <color theme="4" tint="-0.499984740745262"/>
        <rFont val="Calibri"/>
        <family val="2"/>
        <scheme val="minor"/>
      </rPr>
      <t>The mean &amp; standard deviation in this section were last updated on 8/23/2017</t>
    </r>
  </si>
  <si>
    <t>Purple cells = Company guidance (last update 7/26/2017)</t>
  </si>
  <si>
    <t>Orange cells = Consensus estimates (updated 8/23/2017)</t>
  </si>
  <si>
    <t>Blue cells = Gutenberg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</si>
</sst>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quot;$&quot;#,##0"/>
    <numFmt numFmtId="165" formatCode="_-&quot;$&quot;* #,##0_-;\-&quot;$&quot;* #,##0_-;_-&quot;$&quot;* &quot;-&quot;_-;_-@_-"/>
    <numFmt numFmtId="166" formatCode="_-&quot;$&quot;* #,##0.00_-;\-&quot;$&quot;* #,##0.00_-;_-&quot;$&quot;* &quot;-&quot;??_-;_-@_-"/>
    <numFmt numFmtId="167" formatCode="_-* #,##0.00_-;\-* #,##0.00_-;_-* &quot;-&quot;??_-;_-@_-"/>
    <numFmt numFmtId="168" formatCode="_(* #,##0.0_);_(* \(#,##0.0\);_(* &quot;-&quot;??_);_(@_)"/>
    <numFmt numFmtId="169" formatCode="_(* #,##0_);_(* \(#,##0\);_(* &quot;-&quot;??_);_(@_)"/>
    <numFmt numFmtId="170" formatCode="0.0%"/>
    <numFmt numFmtId="171" formatCode="0.0\x"/>
    <numFmt numFmtId="172" formatCode="_(* #,##0.000_);_(* \(#,##0.000\);_(* &quot;-&quot;??_);_(@_)"/>
    <numFmt numFmtId="173" formatCode="#,##0.0_);\(#,##0.0\)"/>
    <numFmt numFmtId="174" formatCode="#,##0.0\ ;\(#,##0.0\)"/>
    <numFmt numFmtId="175" formatCode="#,##0\ ;\(#,##0.0\)"/>
    <numFmt numFmtId="176" formatCode="&quot;$&quot;0.00_)"/>
    <numFmt numFmtId="177" formatCode="#,##0&quot;%&quot;"/>
    <numFmt numFmtId="178" formatCode="#,##0___);\(#,##0.00\)"/>
    <numFmt numFmtId="179" formatCode="0%;\(0%\)"/>
    <numFmt numFmtId="180" formatCode="_(* #,##0,,_);_(* \(#,##0,,\);_(* &quot;-&quot;_)"/>
    <numFmt numFmtId="181" formatCode="_(* #,##0_);[Red]_(* \(#,##0\);_(* &quot;&quot;&quot;&quot;&quot;&quot;&quot;&quot;\ \-\ &quot;&quot;&quot;&quot;&quot;&quot;&quot;&quot;_);_(@_)"/>
    <numFmt numFmtId="182" formatCode="_(* #,##0,_);[Red]_(* \(#,##0,\);_(* &quot;&quot;&quot;&quot;&quot;&quot;&quot;&quot;\ \-\ &quot;&quot;&quot;&quot;&quot;&quot;&quot;&quot;_);_(@_)"/>
    <numFmt numFmtId="183" formatCode="0%;\(0%\);;"/>
    <numFmt numFmtId="184" formatCode="0%;\(0%\);&quot;-&quot;"/>
    <numFmt numFmtId="185" formatCode="#,##0_);[Red]\(#,##0\);&quot;-&quot;"/>
    <numFmt numFmtId="186" formatCode="*-"/>
    <numFmt numFmtId="187" formatCode="#,##0;\-#,##0;&quot;-&quot;"/>
    <numFmt numFmtId="188" formatCode="_._.&quot;$&quot;* \(#,##0\)_%;_._.&quot;$&quot;* #,##0_)_%;_._.&quot;$&quot;* 0_)_%;_._.@_)_%"/>
    <numFmt numFmtId="189" formatCode="_._.* \(#,##0\)_%;_._.* #,##0_)_%;_._.* 0_)_%;_._.@_)_%"/>
    <numFmt numFmtId="190" formatCode="#,##0;\(#,##0\)"/>
    <numFmt numFmtId="191" formatCode="&quot;SFr.&quot;\ #,##0.00;&quot;SFr.&quot;\ \-#,##0.00"/>
    <numFmt numFmtId="192" formatCode="#,##0.00;\-#,##0.00;&quot;-&quot;"/>
    <numFmt numFmtId="193" formatCode="* #,##0.00_);\(#,##0.00\)"/>
    <numFmt numFmtId="194" formatCode="_([$€-2]* #,##0.00_);_([$€-2]* \(#,##0.00\);_([$€-2]* &quot;-&quot;??_)"/>
    <numFmt numFmtId="195" formatCode="0.0_)\%;\(0.0\)\%;0.0_)\%;@_)_%"/>
    <numFmt numFmtId="196" formatCode="#,##0.0_)_%;\(#,##0.0\)_%;0.0_)_%;@_)_%"/>
    <numFmt numFmtId="197" formatCode="#,##0.0_);\(#,##0.0\);#,##0.0_);@_)"/>
    <numFmt numFmtId="198" formatCode="&quot;$&quot;_(#,##0.00_);&quot;$&quot;\(#,##0.00\);&quot;$&quot;_(0.00_);@_)"/>
    <numFmt numFmtId="199" formatCode="#,##0.00_);\(#,##0.00\);0.00_);@_)"/>
    <numFmt numFmtId="200" formatCode="\€_(#,##0.00_);\€\(#,##0.00\);\€_(0.00_);@_)"/>
    <numFmt numFmtId="201" formatCode="#,##0_)\x;\(#,##0\)\x;0_)\x;@_)_x"/>
    <numFmt numFmtId="202" formatCode="#,##0_)_x;\(#,##0\)_x;0_)_x;@_)_x"/>
    <numFmt numFmtId="203" formatCode="#,##0.0000;\-#,##0.0000"/>
    <numFmt numFmtId="204" formatCode="#,##0.000000;\-#,##0.000000"/>
    <numFmt numFmtId="205" formatCode="#,##0.0;\-#,##0.0"/>
    <numFmt numFmtId="206" formatCode="#,##0.000;\-#,##0.000"/>
    <numFmt numFmtId="207" formatCode="#,##0.00000;\-#,##0.00000"/>
    <numFmt numFmtId="208" formatCode="#,##0.0000000;\-#,##0.0000000"/>
    <numFmt numFmtId="209" formatCode="#,##0.00000000;\-#,##0.00000000"/>
    <numFmt numFmtId="210" formatCode="#,##0.000000000;\-#,##0.000000000"/>
    <numFmt numFmtId="211" formatCode="#,##0.0000000000;\-#,##0.0000000000"/>
    <numFmt numFmtId="212" formatCode="_-* #,##0\ _D_M_-;\-* #,##0\ _D_M_-;_-* &quot;-&quot;\ _D_M_-;_-@_-"/>
    <numFmt numFmtId="213" formatCode="_-* #,##0.00\ _D_M_-;\-* #,##0.00\ _D_M_-;_-* &quot;-&quot;??\ _D_M_-;_-@_-"/>
    <numFmt numFmtId="214" formatCode="_-* #,##0\ &quot;DM&quot;_-;\-* #,##0\ &quot;DM&quot;_-;_-* &quot;-&quot;\ &quot;DM&quot;_-;_-@_-"/>
    <numFmt numFmtId="215" formatCode="_-* #,##0.00\ &quot;DM&quot;_-;\-* #,##0.00\ &quot;DM&quot;_-;_-* &quot;-&quot;??\ &quot;DM&quot;_-;_-@_-"/>
    <numFmt numFmtId="216" formatCode="0.0"/>
    <numFmt numFmtId="217" formatCode="0.000000"/>
    <numFmt numFmtId="218" formatCode="&quot;£&quot;#,##0;[Red]\-&quot;£&quot;#,##0"/>
    <numFmt numFmtId="219" formatCode="0.00_);[Red]\(0.00\)"/>
    <numFmt numFmtId="220" formatCode="&quot;£&quot;#,##0.00;[Red]\-&quot;£&quot;#,##0.00"/>
    <numFmt numFmtId="221" formatCode="_(* #,##0.000_);_(* \(#,##0.000\);_(* &quot;-&quot;_);_(@_)"/>
    <numFmt numFmtId="222" formatCode="_-&quot;£&quot;* #,##0_-;\-&quot;£&quot;* #,##0_-;_-&quot;£&quot;* &quot;-&quot;_-;_-@_-"/>
    <numFmt numFmtId="223" formatCode="_(&quot;$&quot;* #,##0,_);_(&quot;$&quot;* \(#,##0,\);_(&quot;$&quot;* &quot;-&quot;_);_(@_)"/>
    <numFmt numFmtId="224" formatCode="&quot;SFr.&quot;#,##0;[Red]&quot;SFr.&quot;\-#,##0"/>
    <numFmt numFmtId="225" formatCode="_-&quot;£&quot;* #,##0.00_-;\-&quot;£&quot;* #,##0.00_-;_-&quot;£&quot;* &quot;-&quot;??_-;_-@_-"/>
    <numFmt numFmtId="226" formatCode="#,##0;[Red]\(#,##0\)"/>
    <numFmt numFmtId="227" formatCode="_(* #,##0.0000_);_(* \(#,##0.0000\);_(* &quot;-&quot;??_);_(@_)"/>
  </numFmts>
  <fonts count="80" x14ac:knownFonts="1">
    <font>
      <sz val="11"/>
      <color theme="1"/>
      <name val="Calibri"/>
      <family val="2"/>
      <scheme val="minor"/>
    </font>
    <font>
      <sz val="11"/>
      <color theme="1"/>
      <name val="Calibri"/>
      <family val="2"/>
      <scheme val="minor"/>
    </font>
    <font>
      <b/>
      <sz val="11"/>
      <color theme="1"/>
      <name val="Calibri"/>
      <family val="2"/>
      <scheme val="minor"/>
    </font>
    <font>
      <b/>
      <u val="singleAccounting"/>
      <sz val="11"/>
      <color theme="1"/>
      <name val="Calibri"/>
      <family val="2"/>
      <scheme val="minor"/>
    </font>
    <font>
      <u val="singleAccounting"/>
      <sz val="11"/>
      <color theme="1"/>
      <name val="Calibri"/>
      <family val="2"/>
      <scheme val="minor"/>
    </font>
    <font>
      <sz val="11"/>
      <color rgb="FF7030A0"/>
      <name val="Calibri"/>
      <family val="2"/>
      <scheme val="minor"/>
    </font>
    <font>
      <sz val="11"/>
      <color theme="3"/>
      <name val="Calibri"/>
      <family val="2"/>
      <scheme val="minor"/>
    </font>
    <font>
      <sz val="11"/>
      <color theme="9" tint="-0.499984740745262"/>
      <name val="Calibri"/>
      <family val="2"/>
      <scheme val="minor"/>
    </font>
    <font>
      <b/>
      <u/>
      <sz val="11"/>
      <color theme="1"/>
      <name val="Calibri"/>
      <family val="2"/>
      <scheme val="minor"/>
    </font>
    <font>
      <sz val="10"/>
      <name val="Arial"/>
      <family val="2"/>
    </font>
    <font>
      <sz val="11"/>
      <name val="Calibri"/>
      <family val="2"/>
      <scheme val="minor"/>
    </font>
    <font>
      <u val="singleAccounting"/>
      <sz val="11"/>
      <name val="Calibri"/>
      <family val="2"/>
      <scheme val="minor"/>
    </font>
    <font>
      <b/>
      <sz val="11"/>
      <name val="Calibri"/>
      <family val="2"/>
      <scheme val="minor"/>
    </font>
    <font>
      <sz val="11"/>
      <color rgb="FFFF0000"/>
      <name val="Calibri"/>
      <family val="2"/>
      <scheme val="minor"/>
    </font>
    <font>
      <sz val="11"/>
      <name val="Calibri"/>
      <family val="2"/>
    </font>
    <font>
      <b/>
      <u/>
      <sz val="12"/>
      <color theme="0" tint="-0.14999847407452621"/>
      <name val="Calibri"/>
      <family val="2"/>
      <scheme val="minor"/>
    </font>
    <font>
      <b/>
      <sz val="11"/>
      <color theme="0" tint="-0.14999847407452621"/>
      <name val="Calibri"/>
      <family val="2"/>
      <scheme val="minor"/>
    </font>
    <font>
      <sz val="10"/>
      <color theme="0" tint="-0.14999847407452621"/>
      <name val="Calibri"/>
      <family val="2"/>
      <scheme val="minor"/>
    </font>
    <font>
      <b/>
      <u val="singleAccounting"/>
      <sz val="11"/>
      <color theme="0" tint="-0.14999847407452621"/>
      <name val="Calibri"/>
      <family val="2"/>
      <scheme val="minor"/>
    </font>
    <font>
      <b/>
      <u val="singleAccounting"/>
      <sz val="11"/>
      <name val="Calibri"/>
      <family val="2"/>
      <scheme val="minor"/>
    </font>
    <font>
      <b/>
      <sz val="11"/>
      <color theme="3"/>
      <name val="Calibri"/>
      <family val="2"/>
      <scheme val="minor"/>
    </font>
    <font>
      <sz val="10"/>
      <name val="Tms Rmn"/>
    </font>
    <font>
      <sz val="10"/>
      <name val="Helv"/>
    </font>
    <font>
      <sz val="10"/>
      <color indexed="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name val="Helv"/>
    </font>
    <font>
      <b/>
      <sz val="12"/>
      <name val="Tms Rmn"/>
    </font>
    <font>
      <b/>
      <i/>
      <sz val="12"/>
      <name val="Tms Rmn"/>
    </font>
    <font>
      <b/>
      <sz val="10"/>
      <name val="MS Sans Serif"/>
      <family val="2"/>
    </font>
    <font>
      <b/>
      <sz val="11"/>
      <name val="Arial"/>
      <family val="2"/>
    </font>
    <font>
      <b/>
      <sz val="10"/>
      <name val="Arial"/>
      <family val="2"/>
    </font>
    <font>
      <sz val="10"/>
      <name val="MS Sans Serif"/>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0"/>
      <color indexed="10"/>
      <name val="Arial"/>
      <family val="2"/>
    </font>
    <font>
      <sz val="8"/>
      <name val="Tms Rmn"/>
    </font>
    <font>
      <sz val="12"/>
      <name val="Times New Roman"/>
      <family val="1"/>
    </font>
    <font>
      <sz val="7"/>
      <name val="Small Fonts"/>
      <family val="2"/>
    </font>
    <font>
      <b/>
      <u/>
      <sz val="26"/>
      <color indexed="9"/>
      <name val="Arial"/>
      <family val="2"/>
    </font>
    <font>
      <sz val="12"/>
      <name val="Helv"/>
    </font>
    <font>
      <sz val="10"/>
      <color theme="1"/>
      <name val="Arial"/>
      <family val="2"/>
    </font>
    <font>
      <sz val="10"/>
      <name val="Helv"/>
      <family val="2"/>
    </font>
    <font>
      <u/>
      <sz val="11"/>
      <color theme="10"/>
      <name val="Calibri"/>
      <family val="2"/>
    </font>
    <font>
      <u/>
      <sz val="10"/>
      <color theme="10"/>
      <name val="Trebuchet MS"/>
      <family val="2"/>
    </font>
    <font>
      <sz val="12"/>
      <name val="Helv"/>
      <family val="2"/>
    </font>
    <font>
      <sz val="10"/>
      <name val="Trebuchet MS"/>
      <family val="2"/>
    </font>
    <font>
      <sz val="10"/>
      <name val="Tms Rmn"/>
      <family val="1"/>
    </font>
    <font>
      <sz val="11"/>
      <color indexed="8"/>
      <name val="Calibri"/>
      <family val="2"/>
    </font>
    <font>
      <u/>
      <sz val="10"/>
      <color indexed="12"/>
      <name val="Arial"/>
      <family val="2"/>
    </font>
    <font>
      <b/>
      <sz val="10"/>
      <color rgb="FF404040"/>
      <name val="Segoe UI"/>
      <family val="2"/>
    </font>
    <font>
      <sz val="10"/>
      <color rgb="FF404040"/>
      <name val="Segoe UI"/>
      <family val="2"/>
    </font>
    <font>
      <b/>
      <sz val="11"/>
      <color theme="1" tint="0.14999847407452621"/>
      <name val="Calibri"/>
      <family val="2"/>
      <scheme val="minor"/>
    </font>
    <font>
      <b/>
      <u val="singleAccounting"/>
      <sz val="11"/>
      <color theme="1" tint="0.14999847407452621"/>
      <name val="Calibri"/>
      <family val="2"/>
      <scheme val="minor"/>
    </font>
    <font>
      <u/>
      <sz val="11"/>
      <color theme="1"/>
      <name val="Calibri"/>
      <family val="2"/>
      <scheme val="minor"/>
    </font>
    <font>
      <b/>
      <sz val="11"/>
      <color theme="4" tint="-0.499984740745262"/>
      <name val="Calibri"/>
      <family val="2"/>
      <scheme val="minor"/>
    </font>
    <font>
      <sz val="11"/>
      <color theme="0"/>
      <name val="Calibri"/>
      <family val="2"/>
      <scheme val="minor"/>
    </font>
    <font>
      <sz val="8"/>
      <name val="Calibri"/>
      <family val="2"/>
      <scheme val="minor"/>
    </font>
    <font>
      <sz val="9"/>
      <color indexed="81"/>
      <name val="Calibri"/>
      <family val="2"/>
    </font>
    <font>
      <b/>
      <sz val="9"/>
      <color indexed="81"/>
      <name val="Calibri"/>
      <family val="2"/>
    </font>
    <font>
      <u/>
      <sz val="11"/>
      <color theme="10"/>
      <name val="Calibri"/>
      <family val="2"/>
      <scheme val="minor"/>
    </font>
    <font>
      <u/>
      <sz val="11"/>
      <color theme="11"/>
      <name val="Calibri"/>
      <family val="2"/>
      <scheme val="minor"/>
    </font>
    <font>
      <sz val="11"/>
      <color rgb="FF000000"/>
      <name val="Calibri"/>
      <family val="2"/>
      <scheme val="minor"/>
    </font>
    <font>
      <u/>
      <sz val="11"/>
      <name val="Calibri"/>
      <family val="2"/>
      <scheme val="minor"/>
    </font>
    <font>
      <sz val="9"/>
      <color indexed="81"/>
      <name val="Tahoma"/>
      <family val="2"/>
    </font>
    <font>
      <b/>
      <i/>
      <u/>
      <sz val="11"/>
      <color theme="1"/>
      <name val="Calibri"/>
      <family val="2"/>
      <scheme val="minor"/>
    </font>
    <font>
      <sz val="10"/>
      <color indexed="81"/>
      <name val="Calibri"/>
      <family val="2"/>
    </font>
  </fonts>
  <fills count="13">
    <fill>
      <patternFill patternType="none"/>
    </fill>
    <fill>
      <patternFill patternType="gray125"/>
    </fill>
    <fill>
      <patternFill patternType="solid">
        <fgColor theme="4" tint="0.39997558519241921"/>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7" tint="0.39997558519241921"/>
        <bgColor indexed="64"/>
      </patternFill>
    </fill>
    <fill>
      <patternFill patternType="solid">
        <fgColor theme="0"/>
        <bgColor indexed="64"/>
      </patternFill>
    </fill>
  </fills>
  <borders count="38">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right/>
      <top style="hair">
        <color indexed="8"/>
      </top>
      <bottom style="hair">
        <color indexed="8"/>
      </bottom>
      <diagonal/>
    </border>
    <border>
      <left/>
      <right/>
      <top/>
      <bottom style="medium">
        <color indexed="18"/>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top style="thin">
        <color auto="1"/>
      </top>
      <bottom style="double">
        <color auto="1"/>
      </bottom>
      <diagonal/>
    </border>
    <border>
      <left/>
      <right/>
      <top/>
      <bottom style="double">
        <color auto="1"/>
      </bottom>
      <diagonal/>
    </border>
    <border>
      <left style="thin">
        <color auto="1"/>
      </left>
      <right style="thin">
        <color auto="1"/>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dotted">
        <color auto="1"/>
      </top>
      <bottom/>
      <diagonal/>
    </border>
    <border>
      <left/>
      <right style="thin">
        <color rgb="FF000000"/>
      </right>
      <top/>
      <bottom style="thin">
        <color auto="1"/>
      </bottom>
      <diagonal/>
    </border>
    <border>
      <left style="thin">
        <color auto="1"/>
      </left>
      <right/>
      <top style="dotted">
        <color auto="1"/>
      </top>
      <bottom/>
      <diagonal/>
    </border>
    <border>
      <left/>
      <right style="thin">
        <color auto="1"/>
      </right>
      <top style="dotted">
        <color auto="1"/>
      </top>
      <bottom/>
      <diagonal/>
    </border>
    <border>
      <left/>
      <right/>
      <top style="dotted">
        <color auto="1"/>
      </top>
      <bottom/>
      <diagonal/>
    </border>
  </borders>
  <cellStyleXfs count="1915">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lignment vertical="top"/>
    </xf>
    <xf numFmtId="0" fontId="14" fillId="0" borderId="0"/>
    <xf numFmtId="43" fontId="14" fillId="0" borderId="0" applyFont="0" applyFill="0" applyBorder="0" applyAlignment="0" applyProtection="0"/>
    <xf numFmtId="37" fontId="21" fillId="0" borderId="0"/>
    <xf numFmtId="195" fontId="9"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200" fontId="9"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 fillId="6" borderId="0" applyNumberFormat="0" applyFont="0" applyAlignment="0" applyProtection="0"/>
    <xf numFmtId="201" fontId="9" fillId="0" borderId="0" applyFont="0" applyFill="0" applyBorder="0" applyAlignment="0" applyProtection="0"/>
    <xf numFmtId="202" fontId="9" fillId="0" borderId="0" applyFont="0" applyFill="0" applyBorder="0" applyProtection="0">
      <alignment horizontal="right"/>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6" fillId="0" borderId="18" applyNumberFormat="0" applyFill="0" applyAlignment="0" applyProtection="0"/>
    <xf numFmtId="0" fontId="27" fillId="0" borderId="19" applyNumberFormat="0" applyFill="0" applyProtection="0">
      <alignment horizontal="center"/>
    </xf>
    <xf numFmtId="0" fontId="27" fillId="0" borderId="0" applyNumberFormat="0" applyFill="0" applyBorder="0" applyProtection="0">
      <alignment horizontal="left"/>
    </xf>
    <xf numFmtId="0" fontId="28" fillId="0" borderId="0" applyNumberFormat="0" applyFill="0" applyBorder="0" applyProtection="0">
      <alignment horizontal="centerContinuous"/>
    </xf>
    <xf numFmtId="0" fontId="50" fillId="0" borderId="0" applyNumberFormat="0" applyFill="0" applyBorder="0" applyAlignment="0" applyProtection="0"/>
    <xf numFmtId="193" fontId="29" fillId="0" borderId="0">
      <alignment horizontal="center"/>
    </xf>
    <xf numFmtId="37" fontId="30" fillId="0" borderId="0"/>
    <xf numFmtId="37" fontId="31" fillId="0" borderId="0"/>
    <xf numFmtId="164" fontId="32"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32"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32"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1" fillId="0" borderId="0" applyAlignment="0" applyProtection="0"/>
    <xf numFmtId="164" fontId="32" fillId="0" borderId="2" applyAlignment="0" applyProtection="0"/>
    <xf numFmtId="164" fontId="1" fillId="0" borderId="0" applyAlignment="0" applyProtection="0"/>
    <xf numFmtId="164" fontId="1" fillId="0" borderId="0" applyAlignment="0" applyProtection="0"/>
    <xf numFmtId="164" fontId="1" fillId="0" borderId="0" applyAlignment="0" applyProtection="0"/>
    <xf numFmtId="164" fontId="32" fillId="0" borderId="2" applyAlignment="0" applyProtection="0"/>
    <xf numFmtId="164" fontId="32" fillId="0" borderId="2" applyAlignment="0" applyProtection="0"/>
    <xf numFmtId="164" fontId="32" fillId="0" borderId="2" applyAlignment="0" applyProtection="0"/>
    <xf numFmtId="164" fontId="32" fillId="0" borderId="2" applyAlignment="0" applyProtection="0"/>
    <xf numFmtId="164" fontId="1" fillId="0" borderId="0" applyAlignment="0" applyProtection="0"/>
    <xf numFmtId="187" fontId="23" fillId="0" borderId="0" applyFill="0" applyBorder="0" applyAlignment="0"/>
    <xf numFmtId="180" fontId="9" fillId="0" borderId="0" applyFill="0" applyBorder="0" applyAlignment="0"/>
    <xf numFmtId="181" fontId="9" fillId="0" borderId="0" applyFill="0" applyBorder="0" applyAlignment="0"/>
    <xf numFmtId="182" fontId="9" fillId="0" borderId="0" applyFill="0" applyBorder="0" applyAlignment="0"/>
    <xf numFmtId="183" fontId="9" fillId="0" borderId="0" applyFill="0" applyBorder="0" applyAlignment="0"/>
    <xf numFmtId="187" fontId="23" fillId="0" borderId="0" applyFill="0" applyBorder="0" applyAlignment="0"/>
    <xf numFmtId="184" fontId="9" fillId="0" borderId="0" applyFill="0" applyBorder="0" applyAlignment="0"/>
    <xf numFmtId="180" fontId="9" fillId="0" borderId="0" applyFill="0" applyBorder="0" applyAlignment="0"/>
    <xf numFmtId="0" fontId="33" fillId="0" borderId="0" applyFill="0" applyBorder="0" applyProtection="0">
      <alignment horizontal="center"/>
      <protection locked="0"/>
    </xf>
    <xf numFmtId="0" fontId="22" fillId="0" borderId="0"/>
    <xf numFmtId="175" fontId="22" fillId="0" borderId="7"/>
    <xf numFmtId="216" fontId="1" fillId="0" borderId="0"/>
    <xf numFmtId="216" fontId="1" fillId="0" borderId="0"/>
    <xf numFmtId="187" fontId="9" fillId="0" borderId="0" applyFont="0" applyFill="0" applyBorder="0" applyAlignment="0" applyProtection="0"/>
    <xf numFmtId="4" fontId="22" fillId="0" borderId="0" applyFont="0" applyFill="0" applyBorder="0" applyAlignment="0" applyProtection="0"/>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alignment wrapText="1"/>
    </xf>
    <xf numFmtId="4" fontId="22"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xf numFmtId="0" fontId="37" fillId="0" borderId="0" applyFill="0" applyBorder="0" applyAlignment="0" applyProtection="0">
      <protection locked="0"/>
    </xf>
    <xf numFmtId="192" fontId="9" fillId="0" borderId="0">
      <alignment horizontal="center"/>
    </xf>
    <xf numFmtId="189" fontId="38" fillId="0" borderId="0" applyFill="0" applyBorder="0" applyProtection="0"/>
    <xf numFmtId="188" fontId="39" fillId="0" borderId="0" applyFont="0" applyFill="0" applyBorder="0" applyAlignment="0" applyProtection="0"/>
    <xf numFmtId="176" fontId="40" fillId="0" borderId="20">
      <protection hidden="1"/>
    </xf>
    <xf numFmtId="180" fontId="9" fillId="0" borderId="0" applyFont="0" applyFill="0" applyBorder="0" applyAlignment="0" applyProtection="0"/>
    <xf numFmtId="8" fontId="1" fillId="0" borderId="0" applyFont="0" applyFill="0" applyBorder="0" applyAlignment="0" applyProtection="0"/>
    <xf numFmtId="44" fontId="9" fillId="0" borderId="0" applyFont="0" applyFill="0" applyBorder="0" applyAlignment="0" applyProtection="0"/>
    <xf numFmtId="0" fontId="36" fillId="0" borderId="0" applyNumberFormat="0" applyFill="0" applyBorder="0" applyAlignment="0" applyProtection="0"/>
    <xf numFmtId="1" fontId="29" fillId="0" borderId="0"/>
    <xf numFmtId="14" fontId="41" fillId="0" borderId="0">
      <alignment horizontal="center"/>
    </xf>
    <xf numFmtId="14" fontId="23" fillId="0" borderId="0" applyFill="0" applyBorder="0" applyAlignment="0"/>
    <xf numFmtId="15" fontId="42" fillId="7" borderId="0" applyNumberFormat="0" applyFont="0" applyFill="0" applyBorder="0" applyAlignment="0">
      <alignment horizontal="center" wrapText="1"/>
    </xf>
    <xf numFmtId="0" fontId="23" fillId="0" borderId="21" applyNumberFormat="0" applyFill="0" applyBorder="0" applyAlignment="0" applyProtection="0"/>
    <xf numFmtId="191" fontId="22" fillId="0" borderId="0" applyFont="0" applyFill="0" applyBorder="0" applyAlignment="0" applyProtection="0"/>
    <xf numFmtId="190" fontId="39" fillId="0" borderId="0" applyFont="0" applyFill="0" applyBorder="0" applyAlignment="0" applyProtection="0"/>
    <xf numFmtId="187" fontId="43" fillId="0" borderId="0" applyFill="0" applyBorder="0" applyAlignment="0"/>
    <xf numFmtId="180" fontId="9" fillId="0" borderId="0" applyFill="0" applyBorder="0" applyAlignment="0"/>
    <xf numFmtId="187" fontId="43" fillId="0" borderId="0" applyFill="0" applyBorder="0" applyAlignment="0"/>
    <xf numFmtId="184" fontId="9" fillId="0" borderId="0" applyFill="0" applyBorder="0" applyAlignment="0"/>
    <xf numFmtId="180" fontId="9" fillId="0" borderId="0" applyFill="0" applyBorder="0" applyAlignment="0"/>
    <xf numFmtId="176" fontId="40" fillId="0" borderId="20">
      <protection hidden="1"/>
    </xf>
    <xf numFmtId="194" fontId="9" fillId="0" borderId="0" applyFont="0" applyFill="0" applyBorder="0" applyAlignment="0" applyProtection="0"/>
    <xf numFmtId="38" fontId="44" fillId="7" borderId="0" applyNumberFormat="0" applyBorder="0" applyAlignment="0" applyProtection="0"/>
    <xf numFmtId="0" fontId="45" fillId="0" borderId="22" applyNumberFormat="0" applyAlignment="0" applyProtection="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1" fillId="0" borderId="0">
      <alignment horizontal="left" vertical="center"/>
    </xf>
    <xf numFmtId="14" fontId="34" fillId="8" borderId="20">
      <alignment horizontal="center" vertical="center" wrapText="1"/>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0" applyFill="0" applyAlignment="0" applyProtection="0">
      <protection locked="0"/>
    </xf>
    <xf numFmtId="0" fontId="33" fillId="0" borderId="7" applyFill="0" applyAlignment="0" applyProtection="0">
      <protection locked="0"/>
    </xf>
    <xf numFmtId="10" fontId="44" fillId="9" borderId="21" applyNumberFormat="0" applyBorder="0" applyAlignment="0" applyProtection="0"/>
    <xf numFmtId="187" fontId="46" fillId="0" borderId="0" applyFill="0" applyBorder="0" applyAlignment="0"/>
    <xf numFmtId="180" fontId="9" fillId="0" borderId="0" applyFill="0" applyBorder="0" applyAlignment="0"/>
    <xf numFmtId="187" fontId="46" fillId="0" borderId="0" applyFill="0" applyBorder="0" applyAlignment="0"/>
    <xf numFmtId="184" fontId="9" fillId="0" borderId="0" applyFill="0" applyBorder="0" applyAlignment="0"/>
    <xf numFmtId="180" fontId="9" fillId="0" borderId="0" applyFill="0" applyBorder="0" applyAlignment="0"/>
    <xf numFmtId="212" fontId="9" fillId="0" borderId="0" applyFont="0" applyFill="0" applyBorder="0" applyAlignment="0" applyProtection="0"/>
    <xf numFmtId="213" fontId="9" fillId="0" borderId="0" applyFon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214" fontId="9" fillId="0" borderId="0" applyFont="0" applyFill="0" applyBorder="0" applyAlignment="0" applyProtection="0"/>
    <xf numFmtId="215" fontId="9" fillId="0" borderId="0" applyFon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173" fontId="29" fillId="0" borderId="7"/>
    <xf numFmtId="37" fontId="51" fillId="0" borderId="0"/>
    <xf numFmtId="174" fontId="22" fillId="0" borderId="0"/>
    <xf numFmtId="174" fontId="1" fillId="0" borderId="0"/>
    <xf numFmtId="179" fontId="9" fillId="0" borderId="0"/>
    <xf numFmtId="37" fontId="21" fillId="0" borderId="0"/>
    <xf numFmtId="0" fontId="9" fillId="0" borderId="0"/>
    <xf numFmtId="0" fontId="1" fillId="0" borderId="0"/>
    <xf numFmtId="0" fontId="9" fillId="0" borderId="0"/>
    <xf numFmtId="0" fontId="9" fillId="0" borderId="0"/>
    <xf numFmtId="0" fontId="9" fillId="0" borderId="0">
      <alignment wrapText="1"/>
    </xf>
    <xf numFmtId="0" fontId="9" fillId="0" borderId="0"/>
    <xf numFmtId="37" fontId="21" fillId="0" borderId="0"/>
    <xf numFmtId="37" fontId="1" fillId="0" borderId="0"/>
    <xf numFmtId="37" fontId="1" fillId="0" borderId="0"/>
    <xf numFmtId="37" fontId="9" fillId="0" borderId="0"/>
    <xf numFmtId="211" fontId="9" fillId="0" borderId="0"/>
    <xf numFmtId="205" fontId="9" fillId="0" borderId="0"/>
    <xf numFmtId="39" fontId="9" fillId="0" borderId="0"/>
    <xf numFmtId="206" fontId="9" fillId="0" borderId="0"/>
    <xf numFmtId="203" fontId="9" fillId="0" borderId="0"/>
    <xf numFmtId="207" fontId="9" fillId="0" borderId="0"/>
    <xf numFmtId="204" fontId="9" fillId="0" borderId="0"/>
    <xf numFmtId="208" fontId="9" fillId="0" borderId="0"/>
    <xf numFmtId="209" fontId="9" fillId="0" borderId="0"/>
    <xf numFmtId="210" fontId="9" fillId="0" borderId="0"/>
    <xf numFmtId="178" fontId="35" fillId="0" borderId="0"/>
    <xf numFmtId="177" fontId="40" fillId="0" borderId="0">
      <protection hidden="1"/>
    </xf>
    <xf numFmtId="183" fontId="9" fillId="0" borderId="0" applyFont="0" applyFill="0" applyBorder="0" applyAlignment="0" applyProtection="0"/>
    <xf numFmtId="179" fontId="9" fillId="0" borderId="0" applyFont="0" applyFill="0" applyBorder="0" applyAlignment="0" applyProtection="0"/>
    <xf numFmtId="10"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23" applyNumberFormat="0" applyBorder="0"/>
    <xf numFmtId="173" fontId="29" fillId="0" borderId="0"/>
    <xf numFmtId="0" fontId="52" fillId="10" borderId="24" applyNumberFormat="0" applyFont="0" applyFill="0" applyAlignment="0">
      <alignment horizontal="center" vertical="center"/>
    </xf>
    <xf numFmtId="187" fontId="47" fillId="0" borderId="0" applyFill="0" applyBorder="0" applyAlignment="0"/>
    <xf numFmtId="180" fontId="9" fillId="0" borderId="0" applyFill="0" applyBorder="0" applyAlignment="0"/>
    <xf numFmtId="187" fontId="47" fillId="0" borderId="0" applyFill="0" applyBorder="0" applyAlignment="0"/>
    <xf numFmtId="184" fontId="9" fillId="0" borderId="0" applyFill="0" applyBorder="0" applyAlignment="0"/>
    <xf numFmtId="180" fontId="9" fillId="0" borderId="0" applyFill="0" applyBorder="0" applyAlignment="0"/>
    <xf numFmtId="37" fontId="21" fillId="0" borderId="25"/>
    <xf numFmtId="0" fontId="53" fillId="0" borderId="0"/>
    <xf numFmtId="0" fontId="22" fillId="0" borderId="0"/>
    <xf numFmtId="0" fontId="35" fillId="0" borderId="0"/>
    <xf numFmtId="49" fontId="23" fillId="0" borderId="0" applyFill="0" applyBorder="0" applyAlignment="0"/>
    <xf numFmtId="185" fontId="9" fillId="0" borderId="0" applyFill="0" applyBorder="0" applyAlignment="0"/>
    <xf numFmtId="186" fontId="9" fillId="0" borderId="0" applyFill="0" applyBorder="0" applyAlignment="0"/>
    <xf numFmtId="49" fontId="9" fillId="0" borderId="0"/>
    <xf numFmtId="0" fontId="48" fillId="0" borderId="0" applyFill="0" applyBorder="0" applyProtection="0">
      <alignment horizontal="left" vertical="top"/>
    </xf>
    <xf numFmtId="40" fontId="49"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7" fontId="21" fillId="0" borderId="7"/>
    <xf numFmtId="37" fontId="21" fillId="0" borderId="26"/>
    <xf numFmtId="165"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37" fontId="9" fillId="0" borderId="0"/>
    <xf numFmtId="39" fontId="9" fillId="0" borderId="0"/>
    <xf numFmtId="0" fontId="55" fillId="0" borderId="0"/>
    <xf numFmtId="217" fontId="9" fillId="0" borderId="0" applyFill="0" applyBorder="0" applyAlignment="0"/>
    <xf numFmtId="168" fontId="9" fillId="0" borderId="0" applyFill="0" applyBorder="0" applyAlignment="0"/>
    <xf numFmtId="218" fontId="9" fillId="0" borderId="0" applyFill="0" applyBorder="0" applyAlignment="0"/>
    <xf numFmtId="219" fontId="9" fillId="0" borderId="0" applyFill="0" applyBorder="0" applyAlignment="0"/>
    <xf numFmtId="220" fontId="9" fillId="0" borderId="0" applyFill="0" applyBorder="0" applyAlignment="0"/>
    <xf numFmtId="221" fontId="9" fillId="0" borderId="0" applyFill="0" applyBorder="0" applyAlignment="0"/>
    <xf numFmtId="222" fontId="9" fillId="0" borderId="0" applyFill="0" applyBorder="0" applyAlignment="0"/>
    <xf numFmtId="168" fontId="9" fillId="0" borderId="0" applyFill="0" applyBorder="0" applyAlignment="0"/>
    <xf numFmtId="223" fontId="9" fillId="0" borderId="0"/>
    <xf numFmtId="223" fontId="9" fillId="0" borderId="0"/>
    <xf numFmtId="223" fontId="9" fillId="0" borderId="0"/>
    <xf numFmtId="223" fontId="9" fillId="0" borderId="0"/>
    <xf numFmtId="223" fontId="9" fillId="0" borderId="0"/>
    <xf numFmtId="223" fontId="9" fillId="0" borderId="0"/>
    <xf numFmtId="223" fontId="9" fillId="0" borderId="0"/>
    <xf numFmtId="223" fontId="9" fillId="0" borderId="0"/>
    <xf numFmtId="0" fontId="55" fillId="0" borderId="7"/>
    <xf numFmtId="221"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168" fontId="9" fillId="0" borderId="0" applyFont="0" applyFill="0" applyBorder="0" applyAlignment="0" applyProtection="0"/>
    <xf numFmtId="221" fontId="9" fillId="0" borderId="0" applyFill="0" applyBorder="0" applyAlignment="0"/>
    <xf numFmtId="168" fontId="9" fillId="0" borderId="0" applyFill="0" applyBorder="0" applyAlignment="0"/>
    <xf numFmtId="221" fontId="9" fillId="0" borderId="0" applyFill="0" applyBorder="0" applyAlignment="0"/>
    <xf numFmtId="222" fontId="9" fillId="0" borderId="0" applyFill="0" applyBorder="0" applyAlignment="0"/>
    <xf numFmtId="168" fontId="9" fillId="0" borderId="0" applyFill="0" applyBorder="0" applyAlignment="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221" fontId="9" fillId="0" borderId="0" applyFill="0" applyBorder="0" applyAlignment="0"/>
    <xf numFmtId="168" fontId="9" fillId="0" borderId="0" applyFill="0" applyBorder="0" applyAlignment="0"/>
    <xf numFmtId="221" fontId="9" fillId="0" borderId="0" applyFill="0" applyBorder="0" applyAlignment="0"/>
    <xf numFmtId="222" fontId="9" fillId="0" borderId="0" applyFill="0" applyBorder="0" applyAlignment="0"/>
    <xf numFmtId="168" fontId="9" fillId="0" borderId="0" applyFill="0" applyBorder="0" applyAlignment="0"/>
    <xf numFmtId="224" fontId="9" fillId="0" borderId="0"/>
    <xf numFmtId="0" fontId="58" fillId="0" borderId="0"/>
    <xf numFmtId="0" fontId="58" fillId="0" borderId="0"/>
    <xf numFmtId="0" fontId="58" fillId="0" borderId="0"/>
    <xf numFmtId="0" fontId="58" fillId="0" borderId="0"/>
    <xf numFmtId="0" fontId="9" fillId="0" borderId="0">
      <alignment wrapText="1"/>
    </xf>
    <xf numFmtId="0" fontId="59" fillId="0" borderId="0"/>
    <xf numFmtId="0" fontId="1" fillId="0" borderId="0"/>
    <xf numFmtId="0" fontId="1" fillId="0" borderId="0"/>
    <xf numFmtId="0" fontId="9" fillId="0" borderId="0"/>
    <xf numFmtId="0" fontId="1" fillId="0" borderId="0"/>
    <xf numFmtId="0" fontId="54" fillId="0" borderId="0"/>
    <xf numFmtId="0" fontId="1" fillId="0" borderId="0"/>
    <xf numFmtId="0" fontId="9" fillId="0" borderId="0">
      <alignment wrapText="1"/>
    </xf>
    <xf numFmtId="220" fontId="9" fillId="0" borderId="0" applyFont="0" applyFill="0" applyBorder="0" applyAlignment="0" applyProtection="0"/>
    <xf numFmtId="224" fontId="9"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221" fontId="9" fillId="0" borderId="0" applyFill="0" applyBorder="0" applyAlignment="0"/>
    <xf numFmtId="168" fontId="9" fillId="0" borderId="0" applyFill="0" applyBorder="0" applyAlignment="0"/>
    <xf numFmtId="221" fontId="9" fillId="0" borderId="0" applyFill="0" applyBorder="0" applyAlignment="0"/>
    <xf numFmtId="222" fontId="9" fillId="0" borderId="0" applyFill="0" applyBorder="0" applyAlignment="0"/>
    <xf numFmtId="168" fontId="9" fillId="0" borderId="0" applyFill="0" applyBorder="0" applyAlignment="0"/>
    <xf numFmtId="225" fontId="9" fillId="0" borderId="0" applyFill="0" applyBorder="0" applyAlignment="0"/>
    <xf numFmtId="226" fontId="9" fillId="0" borderId="0" applyFill="0" applyBorder="0" applyAlignment="0"/>
    <xf numFmtId="37" fontId="60" fillId="0" borderId="0"/>
    <xf numFmtId="4" fontId="55" fillId="0" borderId="0" applyFont="0" applyFill="0" applyBorder="0" applyAlignment="0" applyProtection="0"/>
    <xf numFmtId="9" fontId="61" fillId="0" borderId="0" applyFont="0" applyFill="0" applyBorder="0" applyAlignment="0" applyProtection="0"/>
    <xf numFmtId="0" fontId="5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9" fontId="61" fillId="0" borderId="0" applyFont="0" applyFill="0" applyBorder="0" applyAlignment="0" applyProtection="0"/>
    <xf numFmtId="37" fontId="64" fillId="0" borderId="20">
      <alignment horizontal="right"/>
      <protection locked="0"/>
    </xf>
    <xf numFmtId="37" fontId="63" fillId="0" borderId="20">
      <alignment horizontal="right"/>
      <protection locked="0"/>
    </xf>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cellStyleXfs>
  <cellXfs count="368">
    <xf numFmtId="0" fontId="0" fillId="0" borderId="0" xfId="0"/>
    <xf numFmtId="168" fontId="0" fillId="0" borderId="0" xfId="1" applyNumberFormat="1" applyFont="1" applyAlignment="1">
      <alignment horizontal="right"/>
    </xf>
    <xf numFmtId="0" fontId="0" fillId="0" borderId="0" xfId="0" applyAlignment="1">
      <alignment horizontal="right"/>
    </xf>
    <xf numFmtId="0" fontId="0" fillId="0" borderId="3" xfId="0" applyFont="1" applyBorder="1"/>
    <xf numFmtId="9" fontId="6" fillId="0" borderId="0" xfId="2" applyFont="1" applyBorder="1" applyAlignment="1">
      <alignment horizontal="right"/>
    </xf>
    <xf numFmtId="9" fontId="5" fillId="0" borderId="0" xfId="2" applyFont="1" applyBorder="1" applyAlignment="1">
      <alignment horizontal="right"/>
    </xf>
    <xf numFmtId="9" fontId="7" fillId="0" borderId="0" xfId="2" applyFont="1" applyBorder="1" applyAlignment="1">
      <alignment horizontal="right"/>
    </xf>
    <xf numFmtId="168" fontId="0" fillId="0" borderId="0" xfId="1" applyNumberFormat="1" applyFont="1" applyFill="1" applyAlignment="1">
      <alignment horizontal="right"/>
    </xf>
    <xf numFmtId="168" fontId="3" fillId="0" borderId="5" xfId="1" quotePrefix="1" applyNumberFormat="1" applyFont="1" applyFill="1" applyBorder="1" applyAlignment="1">
      <alignment horizontal="right"/>
    </xf>
    <xf numFmtId="0" fontId="0" fillId="0" borderId="0" xfId="0" applyFont="1"/>
    <xf numFmtId="43" fontId="0" fillId="0" borderId="0" xfId="1" applyFont="1" applyAlignment="1">
      <alignment horizontal="right"/>
    </xf>
    <xf numFmtId="168" fontId="2" fillId="0" borderId="0" xfId="1" quotePrefix="1" applyNumberFormat="1" applyFont="1" applyFill="1" applyBorder="1" applyAlignment="1">
      <alignment horizontal="right"/>
    </xf>
    <xf numFmtId="0" fontId="2" fillId="0" borderId="3" xfId="0" applyFont="1" applyFill="1" applyBorder="1"/>
    <xf numFmtId="43" fontId="0" fillId="0" borderId="0" xfId="1" applyFont="1" applyFill="1"/>
    <xf numFmtId="169" fontId="0" fillId="0" borderId="0" xfId="0" applyNumberFormat="1" applyFill="1"/>
    <xf numFmtId="43" fontId="0" fillId="0" borderId="0" xfId="1" applyFont="1" applyFill="1" applyAlignment="1">
      <alignment horizontal="right"/>
    </xf>
    <xf numFmtId="0" fontId="2" fillId="0" borderId="0" xfId="0" applyFont="1"/>
    <xf numFmtId="0" fontId="13" fillId="0" borderId="0" xfId="0" applyFont="1"/>
    <xf numFmtId="0" fontId="0" fillId="0" borderId="0" xfId="0" applyAlignment="1">
      <alignment horizontal="left"/>
    </xf>
    <xf numFmtId="168" fontId="0" fillId="0" borderId="0" xfId="1" applyNumberFormat="1" applyFont="1" applyBorder="1" applyAlignment="1">
      <alignment horizontal="right"/>
    </xf>
    <xf numFmtId="0" fontId="0" fillId="0" borderId="0" xfId="0" applyBorder="1" applyAlignment="1">
      <alignment horizontal="right"/>
    </xf>
    <xf numFmtId="0" fontId="2" fillId="0" borderId="0" xfId="0" applyFont="1" applyFill="1" applyBorder="1" applyAlignment="1">
      <alignment horizontal="left"/>
    </xf>
    <xf numFmtId="0" fontId="0" fillId="0" borderId="3" xfId="0" applyFont="1" applyFill="1" applyBorder="1"/>
    <xf numFmtId="0" fontId="2" fillId="0" borderId="3" xfId="0" applyFont="1" applyBorder="1" applyAlignment="1">
      <alignment horizontal="left"/>
    </xf>
    <xf numFmtId="0" fontId="2" fillId="0" borderId="4" xfId="0" applyFont="1" applyBorder="1" applyAlignment="1">
      <alignment horizontal="left"/>
    </xf>
    <xf numFmtId="0" fontId="0" fillId="0" borderId="0" xfId="0"/>
    <xf numFmtId="170" fontId="1" fillId="0" borderId="0" xfId="2" quotePrefix="1" applyNumberFormat="1" applyFont="1" applyFill="1" applyBorder="1" applyAlignment="1">
      <alignment horizontal="right"/>
    </xf>
    <xf numFmtId="169" fontId="1" fillId="0" borderId="5" xfId="1" quotePrefix="1" applyNumberFormat="1" applyFont="1" applyFill="1" applyBorder="1" applyAlignment="1">
      <alignment horizontal="right"/>
    </xf>
    <xf numFmtId="43" fontId="0" fillId="0" borderId="4" xfId="1" applyFont="1" applyFill="1" applyBorder="1" applyAlignment="1">
      <alignment horizontal="right"/>
    </xf>
    <xf numFmtId="0" fontId="0" fillId="0" borderId="6" xfId="0" applyFont="1" applyFill="1" applyBorder="1" applyAlignment="1">
      <alignment horizontal="left"/>
    </xf>
    <xf numFmtId="0" fontId="0" fillId="0" borderId="10" xfId="0" applyFont="1" applyFill="1" applyBorder="1" applyAlignment="1">
      <alignment horizontal="left"/>
    </xf>
    <xf numFmtId="43" fontId="10" fillId="0" borderId="0" xfId="1" applyNumberFormat="1" applyFont="1" applyFill="1" applyBorder="1" applyAlignment="1">
      <alignment horizontal="right"/>
    </xf>
    <xf numFmtId="43" fontId="1" fillId="0" borderId="5" xfId="1" applyNumberFormat="1" applyFont="1" applyFill="1" applyBorder="1" applyAlignment="1">
      <alignment horizontal="right"/>
    </xf>
    <xf numFmtId="169" fontId="3" fillId="0" borderId="5" xfId="1" quotePrefix="1" applyNumberFormat="1" applyFont="1" applyFill="1" applyBorder="1" applyAlignment="1">
      <alignment horizontal="right"/>
    </xf>
    <xf numFmtId="170" fontId="1" fillId="0" borderId="5" xfId="2" quotePrefix="1" applyNumberFormat="1" applyFont="1" applyFill="1" applyBorder="1" applyAlignment="1">
      <alignment horizontal="right"/>
    </xf>
    <xf numFmtId="169" fontId="0" fillId="0" borderId="0" xfId="1" quotePrefix="1" applyNumberFormat="1" applyFont="1" applyFill="1" applyBorder="1" applyAlignment="1">
      <alignment horizontal="right"/>
    </xf>
    <xf numFmtId="169" fontId="1" fillId="0" borderId="0" xfId="1" quotePrefix="1" applyNumberFormat="1" applyFont="1" applyFill="1" applyBorder="1" applyAlignment="1">
      <alignment horizontal="right"/>
    </xf>
    <xf numFmtId="0" fontId="0" fillId="0" borderId="0" xfId="0" applyFont="1"/>
    <xf numFmtId="168" fontId="18" fillId="3" borderId="0" xfId="1" quotePrefix="1" applyNumberFormat="1" applyFont="1" applyFill="1" applyBorder="1" applyAlignment="1">
      <alignment horizontal="right"/>
    </xf>
    <xf numFmtId="168" fontId="66" fillId="5" borderId="0" xfId="1" quotePrefix="1" applyNumberFormat="1" applyFont="1" applyFill="1" applyBorder="1" applyAlignment="1">
      <alignment horizontal="right"/>
    </xf>
    <xf numFmtId="0" fontId="0" fillId="0" borderId="0" xfId="0"/>
    <xf numFmtId="0" fontId="0" fillId="0" borderId="0" xfId="0"/>
    <xf numFmtId="169" fontId="1" fillId="0" borderId="30" xfId="1" quotePrefix="1" applyNumberFormat="1" applyFont="1" applyFill="1" applyBorder="1" applyAlignment="1">
      <alignment horizontal="right"/>
    </xf>
    <xf numFmtId="170" fontId="1" fillId="0" borderId="30" xfId="2" quotePrefix="1" applyNumberFormat="1" applyFont="1" applyFill="1" applyBorder="1" applyAlignment="1">
      <alignment horizontal="right"/>
    </xf>
    <xf numFmtId="172" fontId="2" fillId="0" borderId="0" xfId="1" quotePrefix="1" applyNumberFormat="1" applyFont="1" applyFill="1" applyBorder="1" applyAlignment="1">
      <alignment horizontal="right"/>
    </xf>
    <xf numFmtId="0" fontId="0" fillId="0" borderId="0" xfId="0"/>
    <xf numFmtId="0" fontId="0" fillId="0" borderId="0" xfId="0" applyFont="1"/>
    <xf numFmtId="168" fontId="16" fillId="3" borderId="2" xfId="1" quotePrefix="1" applyNumberFormat="1" applyFont="1" applyFill="1" applyBorder="1" applyAlignment="1">
      <alignment horizontal="right"/>
    </xf>
    <xf numFmtId="168" fontId="18" fillId="3" borderId="0" xfId="1" quotePrefix="1" applyNumberFormat="1" applyFont="1" applyFill="1" applyBorder="1" applyAlignment="1">
      <alignment horizontal="right"/>
    </xf>
    <xf numFmtId="168" fontId="65" fillId="5" borderId="2" xfId="1" quotePrefix="1" applyNumberFormat="1" applyFont="1" applyFill="1" applyBorder="1" applyAlignment="1">
      <alignment horizontal="right"/>
    </xf>
    <xf numFmtId="168" fontId="66" fillId="5" borderId="0"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2" fillId="0" borderId="6" xfId="0" applyFont="1" applyFill="1" applyBorder="1" applyAlignment="1">
      <alignment horizontal="left"/>
    </xf>
    <xf numFmtId="169" fontId="2" fillId="0" borderId="9" xfId="1" applyNumberFormat="1" applyFont="1" applyFill="1" applyBorder="1" applyAlignment="1">
      <alignment horizontal="right"/>
    </xf>
    <xf numFmtId="168" fontId="65" fillId="5" borderId="11" xfId="1" quotePrefix="1" applyNumberFormat="1" applyFont="1" applyFill="1" applyBorder="1" applyAlignment="1">
      <alignment horizontal="right"/>
    </xf>
    <xf numFmtId="168" fontId="66" fillId="5" borderId="4"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ill="1"/>
    <xf numFmtId="0" fontId="0" fillId="0" borderId="3" xfId="0" applyFont="1" applyBorder="1" applyAlignment="1">
      <alignment horizontal="left"/>
    </xf>
    <xf numFmtId="43" fontId="1" fillId="0" borderId="5" xfId="1" quotePrefix="1" applyFont="1" applyFill="1" applyBorder="1" applyAlignment="1">
      <alignment horizontal="right"/>
    </xf>
    <xf numFmtId="43" fontId="1" fillId="0" borderId="3" xfId="1" applyNumberFormat="1" applyFont="1" applyFill="1" applyBorder="1" applyAlignment="1">
      <alignment horizontal="right"/>
    </xf>
    <xf numFmtId="43" fontId="2" fillId="0" borderId="3" xfId="1" applyNumberFormat="1" applyFont="1" applyFill="1" applyBorder="1" applyAlignment="1">
      <alignment horizontal="right"/>
    </xf>
    <xf numFmtId="169" fontId="0" fillId="0" borderId="0" xfId="1" applyNumberFormat="1" applyFont="1"/>
    <xf numFmtId="170" fontId="1" fillId="0" borderId="27" xfId="2" quotePrefix="1" applyNumberFormat="1" applyFont="1" applyFill="1" applyBorder="1" applyAlignment="1">
      <alignment horizontal="right"/>
    </xf>
    <xf numFmtId="172" fontId="1" fillId="0" borderId="5" xfId="1" quotePrefix="1" applyNumberFormat="1" applyFont="1" applyFill="1" applyBorder="1" applyAlignment="1">
      <alignment horizontal="right"/>
    </xf>
    <xf numFmtId="172" fontId="0" fillId="0" borderId="0" xfId="1" applyNumberFormat="1" applyFont="1" applyAlignment="1">
      <alignment horizontal="right"/>
    </xf>
    <xf numFmtId="0" fontId="0" fillId="0" borderId="1" xfId="0" applyFont="1" applyBorder="1"/>
    <xf numFmtId="5" fontId="0" fillId="0" borderId="4" xfId="1" applyNumberFormat="1" applyFont="1" applyFill="1" applyBorder="1" applyAlignment="1">
      <alignment horizontal="right"/>
    </xf>
    <xf numFmtId="0" fontId="0" fillId="0" borderId="31" xfId="0" applyFont="1" applyFill="1" applyBorder="1"/>
    <xf numFmtId="6" fontId="0" fillId="0" borderId="32" xfId="0" applyNumberFormat="1" applyFont="1" applyBorder="1"/>
    <xf numFmtId="0" fontId="2" fillId="0" borderId="1" xfId="0" applyFont="1" applyFill="1" applyBorder="1" applyAlignment="1">
      <alignment horizontal="left"/>
    </xf>
    <xf numFmtId="170" fontId="0" fillId="0" borderId="0" xfId="1" applyNumberFormat="1" applyFont="1" applyAlignment="1">
      <alignment horizontal="right"/>
    </xf>
    <xf numFmtId="0" fontId="69" fillId="0" borderId="0" xfId="0" applyFont="1"/>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ont="1" applyFill="1"/>
    <xf numFmtId="0" fontId="0" fillId="0" borderId="0" xfId="0" applyFill="1" applyBorder="1"/>
    <xf numFmtId="0" fontId="8" fillId="0" borderId="0" xfId="0" applyFont="1" applyFill="1" applyBorder="1" applyAlignment="1">
      <alignment horizontal="left"/>
    </xf>
    <xf numFmtId="168" fontId="13" fillId="0" borderId="0" xfId="1" applyNumberFormat="1" applyFont="1" applyAlignment="1">
      <alignment horizontal="right"/>
    </xf>
    <xf numFmtId="169" fontId="5" fillId="0" borderId="0" xfId="1" applyNumberFormat="1" applyFont="1" applyBorder="1" applyAlignment="1">
      <alignment horizontal="right"/>
    </xf>
    <xf numFmtId="169" fontId="7" fillId="0" borderId="0" xfId="1" applyNumberFormat="1" applyFont="1" applyFill="1" applyBorder="1" applyAlignment="1">
      <alignment horizontal="right"/>
    </xf>
    <xf numFmtId="169" fontId="6" fillId="0" borderId="0" xfId="1" applyNumberFormat="1" applyFont="1" applyBorder="1" applyAlignment="1">
      <alignment horizontal="right"/>
    </xf>
    <xf numFmtId="169" fontId="7" fillId="0" borderId="5" xfId="1" applyNumberFormat="1" applyFont="1" applyBorder="1" applyAlignment="1">
      <alignment horizontal="right"/>
    </xf>
    <xf numFmtId="169" fontId="7" fillId="0" borderId="0" xfId="1" applyNumberFormat="1" applyFont="1" applyBorder="1" applyAlignment="1">
      <alignment horizontal="right"/>
    </xf>
    <xf numFmtId="0" fontId="0" fillId="0" borderId="0" xfId="0" applyFont="1" applyAlignment="1">
      <alignment horizontal="left"/>
    </xf>
    <xf numFmtId="172" fontId="0" fillId="0" borderId="0" xfId="0" applyNumberFormat="1" applyAlignment="1">
      <alignment horizontal="right"/>
    </xf>
    <xf numFmtId="169" fontId="0" fillId="0" borderId="3" xfId="1" applyNumberFormat="1" applyFont="1" applyFill="1" applyBorder="1" applyAlignment="1">
      <alignment horizontal="right"/>
    </xf>
    <xf numFmtId="169" fontId="0" fillId="0" borderId="0" xfId="1" applyNumberFormat="1" applyFont="1" applyBorder="1" applyAlignment="1">
      <alignment horizontal="right"/>
    </xf>
    <xf numFmtId="169" fontId="0" fillId="0" borderId="4" xfId="1" applyNumberFormat="1" applyFont="1" applyBorder="1" applyAlignment="1">
      <alignment horizontal="right"/>
    </xf>
    <xf numFmtId="169" fontId="0" fillId="0" borderId="5" xfId="1" applyNumberFormat="1" applyFont="1" applyBorder="1" applyAlignment="1">
      <alignment horizontal="right"/>
    </xf>
    <xf numFmtId="169" fontId="5" fillId="0" borderId="3" xfId="1" applyNumberFormat="1" applyFont="1" applyBorder="1" applyAlignment="1">
      <alignment horizontal="right"/>
    </xf>
    <xf numFmtId="0" fontId="0" fillId="0" borderId="4" xfId="0" applyFont="1" applyBorder="1" applyAlignment="1"/>
    <xf numFmtId="169" fontId="0" fillId="0" borderId="0" xfId="1" applyNumberFormat="1" applyFont="1" applyFill="1" applyBorder="1" applyAlignment="1">
      <alignment horizontal="right"/>
    </xf>
    <xf numFmtId="169" fontId="1" fillId="2" borderId="0" xfId="1" quotePrefix="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8"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10" fontId="1" fillId="0" borderId="0" xfId="2" quotePrefix="1" applyNumberFormat="1" applyFont="1" applyFill="1" applyBorder="1" applyAlignment="1">
      <alignment horizontal="right"/>
    </xf>
    <xf numFmtId="169" fontId="13" fillId="0" borderId="0" xfId="1" quotePrefix="1" applyNumberFormat="1" applyFont="1" applyFill="1" applyBorder="1" applyAlignment="1">
      <alignment horizontal="right"/>
    </xf>
    <xf numFmtId="43" fontId="10" fillId="0" borderId="4" xfId="1" applyNumberFormat="1" applyFont="1" applyFill="1" applyBorder="1" applyAlignment="1">
      <alignment horizontal="right"/>
    </xf>
    <xf numFmtId="43" fontId="1" fillId="0" borderId="6" xfId="1" applyNumberFormat="1" applyFont="1" applyFill="1" applyBorder="1" applyAlignment="1">
      <alignment horizontal="right"/>
    </xf>
    <xf numFmtId="43" fontId="10" fillId="0" borderId="7" xfId="1" applyNumberFormat="1" applyFont="1" applyFill="1" applyBorder="1" applyAlignment="1">
      <alignment horizontal="right"/>
    </xf>
    <xf numFmtId="43" fontId="1" fillId="0" borderId="8" xfId="1" applyNumberFormat="1" applyFont="1" applyFill="1" applyBorder="1" applyAlignment="1">
      <alignment horizontal="right"/>
    </xf>
    <xf numFmtId="43" fontId="10" fillId="0" borderId="10" xfId="1" applyNumberFormat="1" applyFont="1" applyFill="1" applyBorder="1" applyAlignment="1">
      <alignment horizontal="right"/>
    </xf>
    <xf numFmtId="43" fontId="10" fillId="0" borderId="3" xfId="1" applyNumberFormat="1" applyFont="1" applyFill="1" applyBorder="1" applyAlignment="1">
      <alignment horizontal="right"/>
    </xf>
    <xf numFmtId="43" fontId="10" fillId="0" borderId="6" xfId="1" applyNumberFormat="1" applyFont="1" applyFill="1" applyBorder="1" applyAlignment="1">
      <alignment horizontal="right"/>
    </xf>
    <xf numFmtId="0" fontId="0" fillId="0" borderId="0" xfId="0" applyBorder="1"/>
    <xf numFmtId="10" fontId="1" fillId="0" borderId="0" xfId="1" quotePrefix="1" applyNumberFormat="1" applyFont="1" applyFill="1" applyBorder="1" applyAlignment="1">
      <alignment horizontal="right"/>
    </xf>
    <xf numFmtId="169" fontId="1" fillId="0" borderId="4" xfId="1" quotePrefix="1" applyNumberFormat="1" applyFont="1" applyFill="1" applyBorder="1" applyAlignment="1">
      <alignment horizontal="right"/>
    </xf>
    <xf numFmtId="169" fontId="6" fillId="0" borderId="1" xfId="1" applyNumberFormat="1" applyFont="1" applyBorder="1" applyAlignment="1">
      <alignment horizontal="right"/>
    </xf>
    <xf numFmtId="168" fontId="1" fillId="0" borderId="3" xfId="1" applyNumberFormat="1" applyFont="1" applyFill="1" applyBorder="1" applyAlignment="1">
      <alignment horizontal="right"/>
    </xf>
    <xf numFmtId="168" fontId="10" fillId="0" borderId="0" xfId="1" applyNumberFormat="1" applyFont="1" applyFill="1" applyBorder="1" applyAlignment="1">
      <alignment horizontal="right"/>
    </xf>
    <xf numFmtId="168" fontId="10" fillId="0" borderId="4" xfId="1" applyNumberFormat="1" applyFont="1" applyFill="1" applyBorder="1" applyAlignment="1">
      <alignment horizontal="right"/>
    </xf>
    <xf numFmtId="168" fontId="10" fillId="0" borderId="3" xfId="1" applyNumberFormat="1" applyFont="1" applyFill="1" applyBorder="1" applyAlignment="1">
      <alignment horizontal="right"/>
    </xf>
    <xf numFmtId="169" fontId="1" fillId="0" borderId="3" xfId="1" applyNumberFormat="1" applyFont="1" applyFill="1" applyBorder="1" applyAlignment="1">
      <alignment horizontal="right"/>
    </xf>
    <xf numFmtId="169" fontId="10" fillId="0" borderId="0" xfId="1" applyNumberFormat="1" applyFont="1" applyFill="1" applyBorder="1" applyAlignment="1">
      <alignment horizontal="right"/>
    </xf>
    <xf numFmtId="169" fontId="10" fillId="0" borderId="4" xfId="1" applyNumberFormat="1" applyFont="1" applyFill="1" applyBorder="1" applyAlignment="1">
      <alignment horizontal="right"/>
    </xf>
    <xf numFmtId="169" fontId="4" fillId="0" borderId="3" xfId="1" applyNumberFormat="1" applyFont="1" applyFill="1" applyBorder="1" applyAlignment="1">
      <alignment horizontal="right"/>
    </xf>
    <xf numFmtId="169" fontId="2" fillId="0" borderId="3" xfId="1" applyNumberFormat="1" applyFont="1" applyFill="1" applyBorder="1" applyAlignment="1">
      <alignment horizontal="right"/>
    </xf>
    <xf numFmtId="169" fontId="12" fillId="0" borderId="0" xfId="1" applyNumberFormat="1" applyFont="1" applyFill="1" applyBorder="1" applyAlignment="1">
      <alignment horizontal="right"/>
    </xf>
    <xf numFmtId="169" fontId="4" fillId="0" borderId="0" xfId="1" applyNumberFormat="1" applyFont="1" applyFill="1" applyBorder="1" applyAlignment="1">
      <alignment horizontal="right"/>
    </xf>
    <xf numFmtId="169" fontId="4" fillId="0" borderId="4" xfId="1" applyNumberFormat="1" applyFont="1" applyFill="1" applyBorder="1" applyAlignment="1">
      <alignment horizontal="right"/>
    </xf>
    <xf numFmtId="169" fontId="10" fillId="0" borderId="0" xfId="1" applyNumberFormat="1" applyFont="1" applyBorder="1" applyAlignment="1">
      <alignment horizontal="right"/>
    </xf>
    <xf numFmtId="169" fontId="2" fillId="0" borderId="5" xfId="1" applyNumberFormat="1" applyFont="1" applyBorder="1" applyAlignment="1">
      <alignment horizontal="right"/>
    </xf>
    <xf numFmtId="169" fontId="1" fillId="0" borderId="5" xfId="1" applyNumberFormat="1" applyFont="1" applyBorder="1" applyAlignment="1">
      <alignment horizontal="right"/>
    </xf>
    <xf numFmtId="169" fontId="12" fillId="0" borderId="5" xfId="1" applyNumberFormat="1" applyFont="1" applyFill="1" applyBorder="1" applyAlignment="1">
      <alignment horizontal="right"/>
    </xf>
    <xf numFmtId="169" fontId="2" fillId="0" borderId="0" xfId="1" applyNumberFormat="1" applyFont="1" applyFill="1" applyBorder="1" applyAlignment="1">
      <alignment horizontal="right"/>
    </xf>
    <xf numFmtId="169" fontId="2" fillId="0" borderId="0" xfId="1" applyNumberFormat="1" applyFont="1" applyBorder="1" applyAlignment="1">
      <alignment horizontal="right"/>
    </xf>
    <xf numFmtId="169" fontId="1" fillId="0" borderId="0" xfId="1" applyNumberFormat="1" applyFont="1" applyFill="1" applyBorder="1" applyAlignment="1">
      <alignment horizontal="right"/>
    </xf>
    <xf numFmtId="169" fontId="1" fillId="0" borderId="0" xfId="1" applyNumberFormat="1" applyFont="1" applyBorder="1" applyAlignment="1">
      <alignment horizontal="right"/>
    </xf>
    <xf numFmtId="169" fontId="2" fillId="0" borderId="7" xfId="1" applyNumberFormat="1" applyFont="1" applyFill="1" applyBorder="1" applyAlignment="1">
      <alignment horizontal="right"/>
    </xf>
    <xf numFmtId="169" fontId="2" fillId="0" borderId="8" xfId="1" applyNumberFormat="1" applyFont="1" applyFill="1" applyBorder="1" applyAlignment="1">
      <alignment horizontal="right"/>
    </xf>
    <xf numFmtId="168" fontId="1" fillId="0" borderId="5" xfId="1" applyNumberFormat="1" applyFont="1" applyFill="1" applyBorder="1" applyAlignment="1">
      <alignment horizontal="right"/>
    </xf>
    <xf numFmtId="169" fontId="0" fillId="0" borderId="4" xfId="1" applyNumberFormat="1" applyFont="1" applyFill="1" applyBorder="1" applyAlignment="1">
      <alignment horizontal="right"/>
    </xf>
    <xf numFmtId="169" fontId="0" fillId="0" borderId="5" xfId="1" applyNumberFormat="1" applyFont="1" applyFill="1" applyBorder="1" applyAlignment="1">
      <alignment horizontal="right"/>
    </xf>
    <xf numFmtId="169" fontId="0" fillId="0" borderId="3" xfId="1" applyNumberFormat="1" applyFont="1" applyBorder="1" applyAlignment="1">
      <alignment horizontal="right"/>
    </xf>
    <xf numFmtId="169" fontId="2" fillId="0" borderId="5" xfId="1" applyNumberFormat="1" applyFont="1" applyFill="1" applyBorder="1" applyAlignment="1">
      <alignment horizontal="right"/>
    </xf>
    <xf numFmtId="169" fontId="4" fillId="0" borderId="5" xfId="1" applyNumberFormat="1" applyFont="1" applyFill="1" applyBorder="1" applyAlignment="1">
      <alignment horizontal="right"/>
    </xf>
    <xf numFmtId="169" fontId="1" fillId="0" borderId="5" xfId="1" applyNumberFormat="1" applyFont="1" applyFill="1" applyBorder="1" applyAlignment="1">
      <alignment horizontal="right"/>
    </xf>
    <xf numFmtId="169" fontId="2" fillId="0" borderId="4" xfId="1" applyNumberFormat="1" applyFont="1" applyBorder="1" applyAlignment="1">
      <alignment horizontal="right"/>
    </xf>
    <xf numFmtId="169" fontId="1" fillId="0" borderId="3" xfId="1" applyNumberFormat="1" applyFont="1" applyBorder="1" applyAlignment="1">
      <alignment horizontal="right"/>
    </xf>
    <xf numFmtId="169" fontId="2" fillId="0" borderId="3" xfId="1" applyNumberFormat="1" applyFont="1" applyBorder="1" applyAlignment="1">
      <alignment horizontal="right"/>
    </xf>
    <xf numFmtId="10" fontId="1" fillId="0" borderId="5" xfId="2" quotePrefix="1" applyNumberFormat="1" applyFont="1" applyFill="1" applyBorder="1" applyAlignment="1">
      <alignment horizontal="right"/>
    </xf>
    <xf numFmtId="10" fontId="1" fillId="2" borderId="0" xfId="2" quotePrefix="1" applyNumberFormat="1" applyFont="1" applyFill="1" applyBorder="1" applyAlignment="1">
      <alignment horizontal="right"/>
    </xf>
    <xf numFmtId="169" fontId="1" fillId="0" borderId="4" xfId="1" applyNumberFormat="1" applyFont="1" applyBorder="1" applyAlignment="1">
      <alignment horizontal="right"/>
    </xf>
    <xf numFmtId="169" fontId="2" fillId="0" borderId="10" xfId="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2"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0" fontId="1" fillId="0" borderId="5" xfId="1" quotePrefix="1" applyNumberFormat="1" applyFont="1" applyFill="1" applyBorder="1" applyAlignment="1">
      <alignment horizontal="right"/>
    </xf>
    <xf numFmtId="168" fontId="1" fillId="0" borderId="0" xfId="1" quotePrefix="1" applyNumberFormat="1" applyFont="1" applyFill="1" applyBorder="1" applyAlignment="1">
      <alignment horizontal="right"/>
    </xf>
    <xf numFmtId="5" fontId="2" fillId="0" borderId="11" xfId="1" applyNumberFormat="1" applyFont="1" applyFill="1" applyBorder="1" applyAlignment="1">
      <alignment horizontal="right"/>
    </xf>
    <xf numFmtId="6" fontId="2" fillId="0" borderId="10" xfId="1" applyNumberFormat="1" applyFont="1" applyFill="1" applyBorder="1" applyAlignment="1">
      <alignment horizontal="right"/>
    </xf>
    <xf numFmtId="43" fontId="0" fillId="0" borderId="0" xfId="1" applyFont="1" applyFill="1" applyAlignment="1">
      <alignment horizontal="left"/>
    </xf>
    <xf numFmtId="0" fontId="0" fillId="0" borderId="0" xfId="0" applyFill="1" applyAlignment="1">
      <alignment horizontal="right"/>
    </xf>
    <xf numFmtId="169" fontId="0" fillId="2" borderId="0" xfId="1" quotePrefix="1" applyNumberFormat="1" applyFont="1" applyFill="1" applyBorder="1" applyAlignment="1">
      <alignment horizontal="right"/>
    </xf>
    <xf numFmtId="171" fontId="0" fillId="0" borderId="4" xfId="2" applyNumberFormat="1" applyFont="1" applyFill="1" applyBorder="1" applyAlignment="1">
      <alignment horizontal="right"/>
    </xf>
    <xf numFmtId="171" fontId="0" fillId="0" borderId="4" xfId="1" applyNumberFormat="1" applyFont="1" applyFill="1" applyBorder="1" applyAlignment="1">
      <alignment horizontal="right"/>
    </xf>
    <xf numFmtId="167" fontId="2" fillId="0" borderId="4" xfId="1" applyNumberFormat="1" applyFont="1" applyBorder="1" applyAlignment="1">
      <alignment horizontal="right"/>
    </xf>
    <xf numFmtId="10" fontId="0" fillId="2" borderId="11" xfId="1" applyNumberFormat="1" applyFont="1" applyFill="1" applyBorder="1" applyAlignment="1">
      <alignment horizontal="right"/>
    </xf>
    <xf numFmtId="171" fontId="0" fillId="2" borderId="4" xfId="1" applyNumberFormat="1" applyFont="1" applyFill="1" applyBorder="1" applyAlignment="1">
      <alignment horizontal="right"/>
    </xf>
    <xf numFmtId="10" fontId="0" fillId="2" borderId="4" xfId="2" applyNumberFormat="1" applyFont="1" applyFill="1" applyBorder="1" applyAlignment="1">
      <alignment horizontal="right"/>
    </xf>
    <xf numFmtId="0" fontId="0" fillId="12" borderId="0" xfId="0" applyFill="1" applyAlignment="1">
      <alignment horizontal="right"/>
    </xf>
    <xf numFmtId="0" fontId="0" fillId="12" borderId="0" xfId="0" applyFill="1"/>
    <xf numFmtId="168" fontId="3" fillId="12" borderId="5" xfId="1" quotePrefix="1" applyNumberFormat="1" applyFont="1" applyFill="1" applyBorder="1" applyAlignment="1">
      <alignment horizontal="right"/>
    </xf>
    <xf numFmtId="169" fontId="10" fillId="0" borderId="3" xfId="1" applyNumberFormat="1" applyFont="1" applyFill="1" applyBorder="1" applyAlignment="1">
      <alignment horizontal="right"/>
    </xf>
    <xf numFmtId="169" fontId="11" fillId="0" borderId="3" xfId="1" applyNumberFormat="1" applyFont="1" applyFill="1" applyBorder="1" applyAlignment="1">
      <alignment horizontal="right"/>
    </xf>
    <xf numFmtId="169" fontId="11" fillId="0" borderId="4" xfId="1" applyNumberFormat="1" applyFont="1" applyFill="1" applyBorder="1" applyAlignment="1">
      <alignment horizontal="right"/>
    </xf>
    <xf numFmtId="169" fontId="11" fillId="0" borderId="0" xfId="1" applyNumberFormat="1" applyFont="1" applyFill="1" applyBorder="1" applyAlignment="1">
      <alignment horizontal="right"/>
    </xf>
    <xf numFmtId="169" fontId="12" fillId="0" borderId="4" xfId="1" applyNumberFormat="1" applyFont="1" applyFill="1" applyBorder="1" applyAlignment="1">
      <alignment horizontal="right"/>
    </xf>
    <xf numFmtId="169" fontId="12" fillId="0" borderId="3" xfId="1" applyNumberFormat="1" applyFont="1" applyFill="1" applyBorder="1" applyAlignment="1">
      <alignment horizontal="right"/>
    </xf>
    <xf numFmtId="169" fontId="76" fillId="0" borderId="0" xfId="1" applyNumberFormat="1" applyFont="1" applyFill="1" applyBorder="1" applyAlignment="1">
      <alignment horizontal="right"/>
    </xf>
    <xf numFmtId="169" fontId="67" fillId="0" borderId="5" xfId="1" applyNumberFormat="1" applyFont="1" applyFill="1" applyBorder="1" applyAlignment="1">
      <alignment horizontal="right"/>
    </xf>
    <xf numFmtId="169" fontId="76" fillId="0" borderId="4" xfId="1" applyNumberFormat="1" applyFont="1" applyFill="1" applyBorder="1" applyAlignment="1">
      <alignment horizontal="right"/>
    </xf>
    <xf numFmtId="169" fontId="4" fillId="0" borderId="0" xfId="1" applyNumberFormat="1" applyFont="1" applyFill="1" applyBorder="1" applyAlignment="1">
      <alignment horizontal="left"/>
    </xf>
    <xf numFmtId="169" fontId="19" fillId="0" borderId="0" xfId="1" applyNumberFormat="1" applyFont="1" applyFill="1" applyBorder="1" applyAlignment="1">
      <alignment horizontal="right"/>
    </xf>
    <xf numFmtId="169" fontId="19" fillId="0" borderId="4" xfId="1" applyNumberFormat="1" applyFont="1" applyFill="1" applyBorder="1" applyAlignment="1">
      <alignment horizontal="right"/>
    </xf>
    <xf numFmtId="169" fontId="3" fillId="0" borderId="3" xfId="1" applyNumberFormat="1" applyFont="1" applyFill="1" applyBorder="1" applyAlignment="1">
      <alignment horizontal="right"/>
    </xf>
    <xf numFmtId="169" fontId="19" fillId="0" borderId="3" xfId="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8" fillId="0" borderId="4" xfId="0" applyFont="1" applyFill="1" applyBorder="1" applyAlignment="1">
      <alignment horizontal="left"/>
    </xf>
    <xf numFmtId="0" fontId="2" fillId="0" borderId="4" xfId="0" applyFont="1" applyFill="1" applyBorder="1" applyAlignment="1">
      <alignment horizontal="left"/>
    </xf>
    <xf numFmtId="43" fontId="10" fillId="2" borderId="0" xfId="1" applyNumberFormat="1" applyFont="1" applyFill="1" applyBorder="1" applyAlignment="1">
      <alignment horizontal="right"/>
    </xf>
    <xf numFmtId="169" fontId="1" fillId="0" borderId="3" xfId="1" quotePrefix="1" applyNumberFormat="1" applyFont="1" applyFill="1" applyBorder="1" applyAlignment="1">
      <alignment horizontal="right"/>
    </xf>
    <xf numFmtId="43" fontId="1" fillId="0" borderId="0" xfId="1" applyNumberFormat="1" applyFont="1" applyFill="1" applyBorder="1" applyAlignment="1">
      <alignment horizontal="right"/>
    </xf>
    <xf numFmtId="43" fontId="1" fillId="0" borderId="4" xfId="1" applyNumberFormat="1" applyFont="1" applyFill="1" applyBorder="1" applyAlignment="1">
      <alignment horizontal="right"/>
    </xf>
    <xf numFmtId="43" fontId="12" fillId="0" borderId="0" xfId="1" applyNumberFormat="1" applyFont="1" applyFill="1" applyBorder="1" applyAlignment="1">
      <alignment horizontal="right"/>
    </xf>
    <xf numFmtId="43" fontId="12" fillId="0" borderId="4" xfId="1" applyNumberFormat="1" applyFont="1" applyFill="1" applyBorder="1" applyAlignment="1">
      <alignment horizontal="right"/>
    </xf>
    <xf numFmtId="167" fontId="12" fillId="0" borderId="3" xfId="1" applyNumberFormat="1" applyFont="1" applyFill="1" applyBorder="1" applyAlignment="1">
      <alignment horizontal="right"/>
    </xf>
    <xf numFmtId="43" fontId="12" fillId="0" borderId="5" xfId="1" applyNumberFormat="1" applyFont="1" applyFill="1" applyBorder="1" applyAlignment="1">
      <alignment horizontal="right"/>
    </xf>
    <xf numFmtId="2" fontId="12" fillId="0" borderId="3" xfId="1" applyNumberFormat="1" applyFont="1" applyFill="1" applyBorder="1" applyAlignment="1">
      <alignment horizontal="right"/>
    </xf>
    <xf numFmtId="9" fontId="1" fillId="0" borderId="0" xfId="2" quotePrefix="1" applyNumberFormat="1" applyFont="1" applyFill="1" applyBorder="1" applyAlignment="1">
      <alignment horizontal="right"/>
    </xf>
    <xf numFmtId="9" fontId="1" fillId="0" borderId="5" xfId="2" quotePrefix="1" applyNumberFormat="1" applyFont="1" applyFill="1" applyBorder="1" applyAlignment="1">
      <alignment horizontal="right"/>
    </xf>
    <xf numFmtId="9" fontId="1" fillId="2" borderId="0" xfId="2" quotePrefix="1" applyNumberFormat="1" applyFont="1" applyFill="1" applyBorder="1" applyAlignment="1">
      <alignment horizontal="right"/>
    </xf>
    <xf numFmtId="169" fontId="4" fillId="0" borderId="0" xfId="1" quotePrefix="1" applyNumberFormat="1" applyFont="1" applyFill="1" applyBorder="1" applyAlignment="1">
      <alignment horizontal="right"/>
    </xf>
    <xf numFmtId="169" fontId="4" fillId="0" borderId="5" xfId="1" quotePrefix="1" applyNumberFormat="1" applyFont="1" applyFill="1" applyBorder="1" applyAlignment="1">
      <alignment horizontal="right"/>
    </xf>
    <xf numFmtId="169" fontId="4" fillId="2" borderId="0" xfId="1" quotePrefix="1" applyNumberFormat="1" applyFont="1" applyFill="1" applyBorder="1" applyAlignment="1">
      <alignment horizontal="right"/>
    </xf>
    <xf numFmtId="170" fontId="1" fillId="0" borderId="0" xfId="1" quotePrefix="1" applyNumberFormat="1" applyFont="1" applyFill="1" applyBorder="1" applyAlignment="1">
      <alignment horizontal="right"/>
    </xf>
    <xf numFmtId="170" fontId="1" fillId="0" borderId="4" xfId="1" quotePrefix="1" applyNumberFormat="1" applyFont="1" applyFill="1" applyBorder="1" applyAlignment="1">
      <alignment horizontal="right"/>
    </xf>
    <xf numFmtId="170" fontId="1" fillId="0" borderId="5" xfId="1" quotePrefix="1" applyNumberFormat="1" applyFont="1" applyFill="1" applyBorder="1" applyAlignment="1">
      <alignment horizontal="right"/>
    </xf>
    <xf numFmtId="0" fontId="0" fillId="0" borderId="28" xfId="0" applyFont="1" applyFill="1" applyBorder="1" applyAlignment="1">
      <alignment horizontal="left"/>
    </xf>
    <xf numFmtId="0" fontId="0" fillId="0" borderId="29" xfId="0" applyFont="1" applyFill="1" applyBorder="1" applyAlignment="1">
      <alignment horizontal="left"/>
    </xf>
    <xf numFmtId="170" fontId="0" fillId="2" borderId="30" xfId="2" quotePrefix="1" applyNumberFormat="1" applyFont="1" applyFill="1" applyBorder="1" applyAlignment="1">
      <alignment horizontal="right"/>
    </xf>
    <xf numFmtId="170" fontId="1" fillId="0" borderId="30" xfId="1" quotePrefix="1" applyNumberFormat="1" applyFont="1" applyFill="1" applyBorder="1" applyAlignment="1">
      <alignment horizontal="right"/>
    </xf>
    <xf numFmtId="170" fontId="1" fillId="0" borderId="29" xfId="1" quotePrefix="1" applyNumberFormat="1" applyFont="1" applyFill="1" applyBorder="1" applyAlignment="1">
      <alignment horizontal="right"/>
    </xf>
    <xf numFmtId="170" fontId="1" fillId="0" borderId="27" xfId="1" quotePrefix="1" applyNumberFormat="1" applyFont="1" applyFill="1" applyBorder="1" applyAlignment="1">
      <alignment horizontal="right"/>
    </xf>
    <xf numFmtId="170" fontId="1" fillId="2" borderId="30" xfId="1" quotePrefix="1" applyNumberFormat="1" applyFont="1" applyFill="1" applyBorder="1" applyAlignment="1">
      <alignment horizontal="right"/>
    </xf>
    <xf numFmtId="170" fontId="1" fillId="2" borderId="0" xfId="1" quotePrefix="1" applyNumberFormat="1" applyFont="1" applyFill="1" applyBorder="1" applyAlignment="1">
      <alignment horizontal="right"/>
    </xf>
    <xf numFmtId="0" fontId="0" fillId="0" borderId="35" xfId="0" applyFont="1" applyFill="1" applyBorder="1" applyAlignment="1">
      <alignment horizontal="left"/>
    </xf>
    <xf numFmtId="0" fontId="0" fillId="0" borderId="36" xfId="0" applyFont="1" applyFill="1" applyBorder="1" applyAlignment="1">
      <alignment horizontal="left"/>
    </xf>
    <xf numFmtId="169" fontId="1" fillId="0" borderId="37" xfId="1" quotePrefix="1" applyNumberFormat="1" applyFont="1" applyFill="1" applyBorder="1" applyAlignment="1">
      <alignment horizontal="right"/>
    </xf>
    <xf numFmtId="169" fontId="1" fillId="0" borderId="36" xfId="1" quotePrefix="1" applyNumberFormat="1" applyFont="1" applyFill="1" applyBorder="1" applyAlignment="1">
      <alignment horizontal="right"/>
    </xf>
    <xf numFmtId="169" fontId="1" fillId="0" borderId="33" xfId="1" quotePrefix="1" applyNumberFormat="1" applyFont="1" applyFill="1" applyBorder="1" applyAlignment="1">
      <alignment horizontal="right"/>
    </xf>
    <xf numFmtId="43" fontId="1" fillId="0" borderId="27" xfId="1" quotePrefix="1" applyFont="1" applyFill="1" applyBorder="1" applyAlignment="1">
      <alignment horizontal="right"/>
    </xf>
    <xf numFmtId="170" fontId="1" fillId="0" borderId="29" xfId="2" quotePrefix="1" applyNumberFormat="1" applyFont="1" applyFill="1" applyBorder="1" applyAlignment="1">
      <alignment horizontal="right"/>
    </xf>
    <xf numFmtId="169" fontId="1" fillId="2" borderId="30" xfId="1" quotePrefix="1" applyNumberFormat="1" applyFont="1" applyFill="1" applyBorder="1" applyAlignment="1">
      <alignment horizontal="right"/>
    </xf>
    <xf numFmtId="170" fontId="1" fillId="0" borderId="37" xfId="2" quotePrefix="1" applyNumberFormat="1" applyFont="1" applyFill="1" applyBorder="1" applyAlignment="1">
      <alignment horizontal="right"/>
    </xf>
    <xf numFmtId="170" fontId="1" fillId="0" borderId="37" xfId="1" quotePrefix="1" applyNumberFormat="1" applyFont="1" applyFill="1" applyBorder="1" applyAlignment="1">
      <alignment horizontal="right"/>
    </xf>
    <xf numFmtId="170" fontId="1" fillId="0" borderId="33" xfId="1" quotePrefix="1" applyNumberFormat="1" applyFont="1" applyFill="1" applyBorder="1" applyAlignment="1">
      <alignment horizontal="right"/>
    </xf>
    <xf numFmtId="170" fontId="1" fillId="0" borderId="35" xfId="2" quotePrefix="1" applyNumberFormat="1" applyFont="1" applyFill="1" applyBorder="1" applyAlignment="1">
      <alignment horizontal="right"/>
    </xf>
    <xf numFmtId="170" fontId="1" fillId="0" borderId="33" xfId="2" quotePrefix="1" applyNumberFormat="1" applyFont="1" applyFill="1" applyBorder="1" applyAlignment="1">
      <alignment horizontal="right"/>
    </xf>
    <xf numFmtId="0" fontId="8" fillId="0" borderId="29" xfId="0" applyFont="1" applyFill="1" applyBorder="1" applyAlignment="1">
      <alignment horizontal="left"/>
    </xf>
    <xf numFmtId="9" fontId="1" fillId="0" borderId="28" xfId="2" quotePrefix="1" applyNumberFormat="1" applyFont="1" applyFill="1" applyBorder="1" applyAlignment="1">
      <alignment horizontal="right"/>
    </xf>
    <xf numFmtId="9" fontId="1" fillId="0" borderId="30" xfId="2" quotePrefix="1" applyNumberFormat="1" applyFont="1" applyFill="1" applyBorder="1" applyAlignment="1">
      <alignment horizontal="right"/>
    </xf>
    <xf numFmtId="9" fontId="1" fillId="0" borderId="29" xfId="2" quotePrefix="1" applyNumberFormat="1" applyFont="1" applyFill="1" applyBorder="1" applyAlignment="1">
      <alignment horizontal="right"/>
    </xf>
    <xf numFmtId="9" fontId="1" fillId="0" borderId="27" xfId="2" quotePrefix="1" applyNumberFormat="1" applyFont="1" applyFill="1" applyBorder="1" applyAlignment="1">
      <alignment horizontal="right"/>
    </xf>
    <xf numFmtId="9" fontId="1" fillId="2" borderId="30" xfId="2" quotePrefix="1" applyNumberFormat="1" applyFont="1" applyFill="1" applyBorder="1" applyAlignment="1">
      <alignment horizontal="right"/>
    </xf>
    <xf numFmtId="9" fontId="1" fillId="2" borderId="29" xfId="2" quotePrefix="1" applyNumberFormat="1" applyFont="1" applyFill="1" applyBorder="1" applyAlignment="1">
      <alignment horizontal="right"/>
    </xf>
    <xf numFmtId="168" fontId="0" fillId="0" borderId="7" xfId="1" applyNumberFormat="1" applyFont="1" applyFill="1" applyBorder="1" applyAlignment="1">
      <alignment horizontal="right"/>
    </xf>
    <xf numFmtId="169" fontId="3" fillId="0" borderId="8" xfId="1" quotePrefix="1" applyNumberFormat="1" applyFont="1" applyFill="1" applyBorder="1" applyAlignment="1">
      <alignment horizontal="right"/>
    </xf>
    <xf numFmtId="9" fontId="1" fillId="0" borderId="0" xfId="1" quotePrefix="1" applyNumberFormat="1" applyFont="1" applyFill="1" applyBorder="1" applyAlignment="1">
      <alignment horizontal="right"/>
    </xf>
    <xf numFmtId="9" fontId="1" fillId="0" borderId="5" xfId="1" quotePrefix="1" applyNumberFormat="1" applyFont="1" applyFill="1" applyBorder="1" applyAlignment="1">
      <alignment horizontal="right"/>
    </xf>
    <xf numFmtId="9" fontId="1" fillId="2" borderId="0" xfId="1" quotePrefix="1" applyNumberFormat="1" applyFont="1" applyFill="1" applyBorder="1" applyAlignment="1">
      <alignment horizontal="right"/>
    </xf>
    <xf numFmtId="169" fontId="11" fillId="2" borderId="0" xfId="1" applyNumberFormat="1" applyFont="1" applyFill="1" applyBorder="1" applyAlignment="1">
      <alignment horizontal="right"/>
    </xf>
    <xf numFmtId="43" fontId="1" fillId="0" borderId="7" xfId="1" applyNumberFormat="1" applyFont="1" applyFill="1" applyBorder="1" applyAlignment="1">
      <alignment horizontal="right"/>
    </xf>
    <xf numFmtId="169" fontId="4" fillId="0" borderId="5" xfId="1" applyNumberFormat="1" applyFont="1" applyBorder="1" applyAlignment="1">
      <alignment horizontal="right"/>
    </xf>
    <xf numFmtId="169" fontId="7" fillId="0" borderId="3" xfId="1" applyNumberFormat="1" applyFont="1" applyBorder="1" applyAlignment="1">
      <alignment horizontal="right"/>
    </xf>
    <xf numFmtId="169" fontId="4" fillId="0" borderId="3" xfId="1" applyNumberFormat="1" applyFont="1" applyBorder="1" applyAlignment="1">
      <alignment horizontal="right"/>
    </xf>
    <xf numFmtId="169" fontId="0" fillId="0" borderId="3" xfId="0" applyNumberFormat="1" applyBorder="1"/>
    <xf numFmtId="169" fontId="2" fillId="0" borderId="6" xfId="1" applyNumberFormat="1" applyFont="1" applyFill="1" applyBorder="1" applyAlignment="1">
      <alignment horizontal="right"/>
    </xf>
    <xf numFmtId="169" fontId="4" fillId="0" borderId="4" xfId="1" applyNumberFormat="1" applyFont="1" applyBorder="1" applyAlignment="1">
      <alignment horizontal="right"/>
    </xf>
    <xf numFmtId="169" fontId="11" fillId="0" borderId="0" xfId="1" applyNumberFormat="1" applyFont="1" applyBorder="1" applyAlignment="1">
      <alignment horizontal="right"/>
    </xf>
    <xf numFmtId="169" fontId="4" fillId="0" borderId="0" xfId="1" applyNumberFormat="1" applyFont="1" applyBorder="1" applyAlignment="1">
      <alignment horizontal="right"/>
    </xf>
    <xf numFmtId="43" fontId="1" fillId="0" borderId="10" xfId="1" applyNumberFormat="1" applyFont="1" applyFill="1" applyBorder="1" applyAlignment="1">
      <alignment horizontal="right"/>
    </xf>
    <xf numFmtId="170" fontId="0" fillId="2" borderId="0" xfId="1" quotePrefix="1" applyNumberFormat="1" applyFont="1" applyFill="1" applyBorder="1" applyAlignment="1">
      <alignment horizontal="right"/>
    </xf>
    <xf numFmtId="43" fontId="10" fillId="0" borderId="5" xfId="1" applyNumberFormat="1" applyFont="1" applyFill="1" applyBorder="1" applyAlignment="1">
      <alignment horizontal="right"/>
    </xf>
    <xf numFmtId="0" fontId="8" fillId="0" borderId="4" xfId="0" applyFont="1" applyBorder="1" applyAlignment="1">
      <alignment horizontal="left"/>
    </xf>
    <xf numFmtId="0" fontId="0" fillId="0" borderId="3" xfId="0" applyFont="1" applyBorder="1" applyAlignment="1">
      <alignment horizontal="left"/>
    </xf>
    <xf numFmtId="170" fontId="1" fillId="0" borderId="36" xfId="1" quotePrefix="1" applyNumberFormat="1" applyFont="1" applyFill="1" applyBorder="1" applyAlignment="1">
      <alignment horizontal="right"/>
    </xf>
    <xf numFmtId="169" fontId="0" fillId="0" borderId="4" xfId="1" quotePrefix="1" applyNumberFormat="1" applyFont="1" applyFill="1" applyBorder="1" applyAlignment="1">
      <alignment horizontal="right"/>
    </xf>
    <xf numFmtId="169" fontId="0" fillId="0" borderId="0" xfId="0" applyNumberFormat="1" applyBorder="1"/>
    <xf numFmtId="169" fontId="6" fillId="0" borderId="2" xfId="1" applyNumberFormat="1" applyFont="1" applyBorder="1" applyAlignment="1">
      <alignment horizontal="right"/>
    </xf>
    <xf numFmtId="169" fontId="0" fillId="0" borderId="0" xfId="1" applyNumberFormat="1" applyFont="1" applyBorder="1"/>
    <xf numFmtId="169" fontId="75" fillId="0" borderId="3" xfId="1" applyNumberFormat="1" applyFont="1" applyBorder="1" applyAlignment="1">
      <alignment horizontal="right"/>
    </xf>
    <xf numFmtId="169" fontId="0" fillId="0" borderId="3" xfId="1" applyNumberFormat="1" applyFont="1" applyBorder="1"/>
    <xf numFmtId="169" fontId="6" fillId="0" borderId="5" xfId="1" applyNumberFormat="1" applyFont="1" applyBorder="1" applyAlignment="1">
      <alignment horizontal="right"/>
    </xf>
    <xf numFmtId="169" fontId="0" fillId="0" borderId="5" xfId="0" applyNumberFormat="1" applyBorder="1"/>
    <xf numFmtId="167" fontId="0" fillId="0" borderId="4" xfId="1" applyNumberFormat="1" applyFont="1" applyFill="1" applyBorder="1" applyAlignment="1">
      <alignment horizontal="right"/>
    </xf>
    <xf numFmtId="169" fontId="0" fillId="0" borderId="5" xfId="1" quotePrefix="1" applyNumberFormat="1" applyFont="1" applyFill="1" applyBorder="1" applyAlignment="1">
      <alignment horizontal="right"/>
    </xf>
    <xf numFmtId="169" fontId="19" fillId="0" borderId="5" xfId="1" applyNumberFormat="1" applyFont="1" applyFill="1" applyBorder="1" applyAlignment="1">
      <alignment horizontal="right"/>
    </xf>
    <xf numFmtId="170" fontId="0" fillId="0" borderId="5" xfId="1" quotePrefix="1" applyNumberFormat="1" applyFont="1" applyFill="1" applyBorder="1" applyAlignment="1">
      <alignment horizontal="right"/>
    </xf>
    <xf numFmtId="170" fontId="0" fillId="2" borderId="30" xfId="1" quotePrefix="1" applyNumberFormat="1" applyFont="1" applyFill="1" applyBorder="1" applyAlignment="1">
      <alignment horizontal="right"/>
    </xf>
    <xf numFmtId="169" fontId="11" fillId="0" borderId="5" xfId="1" applyNumberFormat="1" applyFont="1" applyFill="1" applyBorder="1" applyAlignment="1">
      <alignment horizontal="right"/>
    </xf>
    <xf numFmtId="10" fontId="1" fillId="0" borderId="4" xfId="2" quotePrefix="1" applyNumberFormat="1" applyFont="1" applyFill="1" applyBorder="1" applyAlignment="1">
      <alignment horizontal="right"/>
    </xf>
    <xf numFmtId="168" fontId="1" fillId="11" borderId="5" xfId="1" applyNumberFormat="1" applyFont="1" applyFill="1" applyBorder="1" applyAlignment="1">
      <alignment horizontal="right"/>
    </xf>
    <xf numFmtId="169" fontId="2" fillId="11" borderId="5" xfId="1" applyNumberFormat="1" applyFont="1" applyFill="1" applyBorder="1" applyAlignment="1">
      <alignment horizontal="right"/>
    </xf>
    <xf numFmtId="43" fontId="1" fillId="11" borderId="5" xfId="1" applyNumberFormat="1" applyFont="1" applyFill="1" applyBorder="1" applyAlignment="1">
      <alignment horizontal="right"/>
    </xf>
    <xf numFmtId="43" fontId="2" fillId="11" borderId="5" xfId="1" applyNumberFormat="1" applyFont="1" applyFill="1" applyBorder="1" applyAlignment="1">
      <alignment horizontal="right"/>
    </xf>
    <xf numFmtId="169" fontId="1" fillId="11" borderId="5" xfId="1" quotePrefix="1" applyNumberFormat="1" applyFont="1" applyFill="1" applyBorder="1" applyAlignment="1">
      <alignment horizontal="right"/>
    </xf>
    <xf numFmtId="169" fontId="4" fillId="11" borderId="5" xfId="1" quotePrefix="1" applyNumberFormat="1" applyFont="1" applyFill="1" applyBorder="1" applyAlignment="1">
      <alignment horizontal="right"/>
    </xf>
    <xf numFmtId="170" fontId="1" fillId="11" borderId="27" xfId="2" quotePrefix="1" applyNumberFormat="1" applyFont="1" applyFill="1" applyBorder="1" applyAlignment="1">
      <alignment horizontal="right"/>
    </xf>
    <xf numFmtId="170" fontId="1" fillId="11" borderId="27" xfId="1" quotePrefix="1" applyNumberFormat="1" applyFont="1" applyFill="1" applyBorder="1" applyAlignment="1">
      <alignment horizontal="right"/>
    </xf>
    <xf numFmtId="170" fontId="1" fillId="11" borderId="5" xfId="2" quotePrefix="1" applyNumberFormat="1" applyFont="1" applyFill="1" applyBorder="1" applyAlignment="1">
      <alignment horizontal="right"/>
    </xf>
    <xf numFmtId="169" fontId="1" fillId="11" borderId="5" xfId="1" applyNumberFormat="1" applyFont="1" applyFill="1" applyBorder="1" applyAlignment="1">
      <alignment horizontal="right"/>
    </xf>
    <xf numFmtId="169" fontId="4" fillId="2" borderId="3" xfId="1" applyNumberFormat="1" applyFont="1" applyFill="1" applyBorder="1" applyAlignment="1">
      <alignment horizontal="right"/>
    </xf>
    <xf numFmtId="169" fontId="4" fillId="2" borderId="0" xfId="1" applyNumberFormat="1" applyFont="1" applyFill="1" applyBorder="1" applyAlignment="1">
      <alignment horizontal="right"/>
    </xf>
    <xf numFmtId="43" fontId="2" fillId="0" borderId="0" xfId="1" applyNumberFormat="1" applyFont="1" applyFill="1" applyBorder="1" applyAlignment="1">
      <alignment horizontal="right"/>
    </xf>
    <xf numFmtId="43" fontId="2" fillId="0" borderId="5" xfId="1" applyNumberFormat="1" applyFont="1" applyFill="1" applyBorder="1" applyAlignment="1">
      <alignment horizontal="right"/>
    </xf>
    <xf numFmtId="43" fontId="1" fillId="2" borderId="6" xfId="1" applyNumberFormat="1" applyFont="1" applyFill="1" applyBorder="1" applyAlignment="1">
      <alignment horizontal="right"/>
    </xf>
    <xf numFmtId="43" fontId="1" fillId="2" borderId="7" xfId="1" applyNumberFormat="1" applyFont="1" applyFill="1" applyBorder="1" applyAlignment="1">
      <alignment horizontal="right"/>
    </xf>
    <xf numFmtId="172" fontId="2" fillId="0" borderId="9" xfId="1" applyNumberFormat="1" applyFont="1" applyFill="1" applyBorder="1" applyAlignment="1">
      <alignment horizontal="right"/>
    </xf>
    <xf numFmtId="169" fontId="16" fillId="3" borderId="2" xfId="1" quotePrefix="1" applyNumberFormat="1" applyFont="1" applyFill="1" applyBorder="1" applyAlignment="1">
      <alignment horizontal="right"/>
    </xf>
    <xf numFmtId="227" fontId="2" fillId="0" borderId="9" xfId="1" applyNumberFormat="1" applyFont="1" applyFill="1" applyBorder="1" applyAlignment="1">
      <alignment horizontal="right"/>
    </xf>
    <xf numFmtId="169" fontId="2" fillId="0" borderId="2" xfId="1" applyNumberFormat="1" applyFont="1" applyFill="1" applyBorder="1" applyAlignment="1">
      <alignment horizontal="right"/>
    </xf>
    <xf numFmtId="170" fontId="0" fillId="0" borderId="27" xfId="2" quotePrefix="1" applyNumberFormat="1" applyFont="1" applyFill="1" applyBorder="1" applyAlignment="1">
      <alignment horizontal="right"/>
    </xf>
    <xf numFmtId="170" fontId="0" fillId="0" borderId="27" xfId="1" quotePrefix="1" applyNumberFormat="1" applyFont="1" applyFill="1" applyBorder="1" applyAlignment="1">
      <alignment horizontal="right"/>
    </xf>
    <xf numFmtId="169" fontId="1" fillId="0" borderId="27" xfId="1" quotePrefix="1" applyNumberFormat="1" applyFont="1" applyFill="1" applyBorder="1" applyAlignment="1">
      <alignment horizontal="right"/>
    </xf>
    <xf numFmtId="168" fontId="0" fillId="0" borderId="8" xfId="1" applyNumberFormat="1" applyFont="1" applyFill="1" applyBorder="1" applyAlignment="1">
      <alignment horizontal="right"/>
    </xf>
    <xf numFmtId="43" fontId="4" fillId="0" borderId="3" xfId="1" applyNumberFormat="1" applyFont="1" applyFill="1" applyBorder="1" applyAlignment="1">
      <alignment horizontal="right"/>
    </xf>
    <xf numFmtId="43" fontId="4" fillId="0" borderId="0" xfId="1" applyNumberFormat="1" applyFont="1" applyFill="1" applyBorder="1" applyAlignment="1">
      <alignment horizontal="right"/>
    </xf>
    <xf numFmtId="169" fontId="0" fillId="0" borderId="0" xfId="0" applyNumberFormat="1"/>
    <xf numFmtId="169" fontId="0" fillId="0" borderId="0" xfId="0" applyNumberFormat="1" applyFont="1"/>
    <xf numFmtId="169" fontId="2" fillId="0" borderId="0" xfId="0" applyNumberFormat="1" applyFont="1"/>
    <xf numFmtId="169" fontId="1" fillId="0" borderId="4" xfId="1" applyNumberFormat="1" applyFont="1" applyFill="1" applyBorder="1" applyAlignment="1">
      <alignment horizontal="right"/>
    </xf>
    <xf numFmtId="170" fontId="1" fillId="0" borderId="28" xfId="1" quotePrefix="1" applyNumberFormat="1" applyFont="1" applyFill="1" applyBorder="1" applyAlignment="1">
      <alignment horizontal="right"/>
    </xf>
    <xf numFmtId="10" fontId="1" fillId="0" borderId="3" xfId="2" quotePrefix="1" applyNumberFormat="1" applyFont="1" applyFill="1" applyBorder="1" applyAlignment="1">
      <alignment horizontal="right"/>
    </xf>
    <xf numFmtId="43" fontId="0" fillId="0" borderId="0" xfId="0" applyNumberFormat="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2" fontId="1" fillId="0" borderId="37" xfId="2" quotePrefix="1" applyNumberFormat="1" applyFont="1" applyFill="1" applyBorder="1" applyAlignment="1">
      <alignment horizontal="right"/>
    </xf>
    <xf numFmtId="0" fontId="0" fillId="0" borderId="4" xfId="0" applyBorder="1"/>
    <xf numFmtId="169" fontId="0" fillId="0" borderId="4" xfId="0" applyNumberFormat="1" applyBorder="1"/>
    <xf numFmtId="169" fontId="75" fillId="0" borderId="4" xfId="1" applyNumberFormat="1" applyFont="1" applyBorder="1" applyAlignment="1">
      <alignment horizontal="right"/>
    </xf>
    <xf numFmtId="169" fontId="0" fillId="0" borderId="4" xfId="1" applyNumberFormat="1" applyFont="1" applyBorder="1"/>
    <xf numFmtId="169" fontId="2" fillId="0" borderId="4" xfId="1" applyNumberFormat="1" applyFont="1" applyFill="1" applyBorder="1" applyAlignment="1">
      <alignment horizontal="right"/>
    </xf>
    <xf numFmtId="169" fontId="1" fillId="2" borderId="4" xfId="1" quotePrefix="1" applyNumberFormat="1" applyFont="1" applyFill="1" applyBorder="1" applyAlignment="1">
      <alignment horizontal="right"/>
    </xf>
    <xf numFmtId="43" fontId="0" fillId="0" borderId="0" xfId="0" applyNumberFormat="1"/>
    <xf numFmtId="0" fontId="75" fillId="0" borderId="6" xfId="0" applyFont="1" applyBorder="1" applyAlignment="1">
      <alignment horizontal="left"/>
    </xf>
    <xf numFmtId="0" fontId="75" fillId="0" borderId="34"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15" fillId="3" borderId="12" xfId="0" applyFont="1" applyFill="1" applyBorder="1" applyAlignment="1">
      <alignment horizontal="left"/>
    </xf>
    <xf numFmtId="0" fontId="15" fillId="3" borderId="13" xfId="0" applyFont="1" applyFill="1" applyBorder="1" applyAlignment="1">
      <alignment horizontal="left"/>
    </xf>
    <xf numFmtId="0" fontId="17" fillId="3" borderId="3" xfId="0" applyFont="1" applyFill="1" applyBorder="1" applyAlignment="1">
      <alignment horizontal="left"/>
    </xf>
    <xf numFmtId="0" fontId="17" fillId="3" borderId="0" xfId="0" applyFont="1" applyFill="1" applyBorder="1" applyAlignment="1">
      <alignment horizontal="left"/>
    </xf>
    <xf numFmtId="0" fontId="2" fillId="0" borderId="6" xfId="0" applyFont="1" applyBorder="1" applyAlignment="1">
      <alignment horizontal="left"/>
    </xf>
    <xf numFmtId="0" fontId="2" fillId="0" borderId="10" xfId="0" applyFont="1" applyBorder="1" applyAlignment="1">
      <alignment horizontal="left"/>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2" borderId="1" xfId="0" applyFont="1" applyFill="1" applyBorder="1" applyAlignment="1">
      <alignment horizontal="left"/>
    </xf>
    <xf numFmtId="0" fontId="0" fillId="2" borderId="11" xfId="0" applyFont="1" applyFill="1" applyBorder="1" applyAlignment="1">
      <alignment horizontal="left"/>
    </xf>
    <xf numFmtId="0" fontId="0" fillId="11" borderId="3" xfId="0" applyFont="1" applyFill="1" applyBorder="1" applyAlignment="1">
      <alignment horizontal="left"/>
    </xf>
    <xf numFmtId="0" fontId="0" fillId="11" borderId="4" xfId="0" applyFont="1" applyFill="1" applyBorder="1" applyAlignment="1">
      <alignment horizontal="left"/>
    </xf>
    <xf numFmtId="0" fontId="0" fillId="4" borderId="6" xfId="0" applyFont="1" applyFill="1" applyBorder="1" applyAlignment="1">
      <alignment horizontal="left"/>
    </xf>
    <xf numFmtId="0" fontId="0" fillId="4" borderId="10" xfId="0" applyFont="1" applyFill="1" applyBorder="1" applyAlignment="1">
      <alignment horizontal="left"/>
    </xf>
    <xf numFmtId="0" fontId="15" fillId="3" borderId="1" xfId="0" applyFont="1" applyFill="1" applyBorder="1" applyAlignment="1">
      <alignment horizontal="left"/>
    </xf>
    <xf numFmtId="0" fontId="15" fillId="3" borderId="2"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78" fillId="0" borderId="3" xfId="0" applyFont="1" applyFill="1" applyBorder="1" applyAlignment="1">
      <alignment horizontal="left"/>
    </xf>
    <xf numFmtId="0" fontId="78" fillId="0" borderId="4" xfId="0" applyFont="1" applyFill="1" applyBorder="1" applyAlignment="1">
      <alignment horizontal="left"/>
    </xf>
    <xf numFmtId="0" fontId="0" fillId="0" borderId="6" xfId="0" applyFont="1" applyFill="1" applyBorder="1" applyAlignment="1">
      <alignment horizontal="left"/>
    </xf>
    <xf numFmtId="0" fontId="0" fillId="0" borderId="10" xfId="0" applyFont="1" applyFill="1" applyBorder="1" applyAlignment="1">
      <alignment horizontal="left"/>
    </xf>
    <xf numFmtId="0" fontId="78" fillId="0" borderId="35" xfId="0" applyFont="1" applyFill="1" applyBorder="1" applyAlignment="1">
      <alignment horizontal="left"/>
    </xf>
    <xf numFmtId="0" fontId="78" fillId="0" borderId="36" xfId="0" applyFont="1" applyFill="1" applyBorder="1" applyAlignment="1">
      <alignment horizontal="left"/>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cellXfs>
  <cellStyles count="1915">
    <cellStyle name="_%(SignOnly)" xfId="7"/>
    <cellStyle name="_%(SignSpaceOnly)" xfId="8"/>
    <cellStyle name="_Comma" xfId="9"/>
    <cellStyle name="_Currency" xfId="10"/>
    <cellStyle name="_CurrencySpace" xfId="11"/>
    <cellStyle name="_Euro" xfId="12"/>
    <cellStyle name="_Heading" xfId="13"/>
    <cellStyle name="_Heading_prestemp" xfId="14"/>
    <cellStyle name="_Heading_prestemp_1st Qtr PL FY07" xfId="15"/>
    <cellStyle name="_Heading_prestemp_Financial Statements" xfId="16"/>
    <cellStyle name="_Heading_prestemp_Financial Statementsvs1" xfId="17"/>
    <cellStyle name="_Highlight" xfId="18"/>
    <cellStyle name="_Multiple" xfId="19"/>
    <cellStyle name="_MultipleSpace" xfId="20"/>
    <cellStyle name="_SubHeading" xfId="21"/>
    <cellStyle name="_SubHeading_prestemp" xfId="22"/>
    <cellStyle name="_SubHeading_prestemp_1st Qtr PL FY07" xfId="23"/>
    <cellStyle name="_SubHeading_prestemp_Financial Statements" xfId="24"/>
    <cellStyle name="_SubHeading_prestemp_Financial Statementsvs1" xfId="25"/>
    <cellStyle name="_Table" xfId="26"/>
    <cellStyle name="_TableHead" xfId="27"/>
    <cellStyle name="_TableRowHead" xfId="28"/>
    <cellStyle name="_TableSuperHead" xfId="29"/>
    <cellStyle name="=C:\WINNT\SYSTEM32\COMMAND.COM" xfId="30"/>
    <cellStyle name="=C:\WINNT\SYSTEM32\COMMAND.COM 2" xfId="255"/>
    <cellStyle name="6-0" xfId="31"/>
    <cellStyle name="Bold12" xfId="32"/>
    <cellStyle name="BoldItal12" xfId="33"/>
    <cellStyle name="Border" xfId="34"/>
    <cellStyle name="Border 10" xfId="35"/>
    <cellStyle name="Border 11" xfId="36"/>
    <cellStyle name="Border 12" xfId="37"/>
    <cellStyle name="Border 13" xfId="38"/>
    <cellStyle name="Border 14" xfId="39"/>
    <cellStyle name="Border 15" xfId="40"/>
    <cellStyle name="Border 16" xfId="41"/>
    <cellStyle name="Border 17" xfId="42"/>
    <cellStyle name="Border 18" xfId="43"/>
    <cellStyle name="Border 19" xfId="44"/>
    <cellStyle name="Border 2" xfId="45"/>
    <cellStyle name="Border 20" xfId="46"/>
    <cellStyle name="Border 21" xfId="47"/>
    <cellStyle name="Border 22" xfId="48"/>
    <cellStyle name="Border 23" xfId="49"/>
    <cellStyle name="Border 24" xfId="50"/>
    <cellStyle name="Border 25" xfId="51"/>
    <cellStyle name="Border 26" xfId="52"/>
    <cellStyle name="Border 27" xfId="53"/>
    <cellStyle name="Border 28" xfId="54"/>
    <cellStyle name="Border 29" xfId="55"/>
    <cellStyle name="Border 3" xfId="56"/>
    <cellStyle name="Border 30" xfId="57"/>
    <cellStyle name="Border 31" xfId="58"/>
    <cellStyle name="Border 32" xfId="59"/>
    <cellStyle name="Border 33" xfId="60"/>
    <cellStyle name="Border 34" xfId="61"/>
    <cellStyle name="Border 35" xfId="62"/>
    <cellStyle name="Border 36" xfId="63"/>
    <cellStyle name="Border 37" xfId="64"/>
    <cellStyle name="Border 38" xfId="65"/>
    <cellStyle name="Border 39" xfId="66"/>
    <cellStyle name="Border 4" xfId="67"/>
    <cellStyle name="Border 40" xfId="68"/>
    <cellStyle name="Border 41" xfId="69"/>
    <cellStyle name="Border 42" xfId="70"/>
    <cellStyle name="Border 5" xfId="71"/>
    <cellStyle name="Border 6" xfId="72"/>
    <cellStyle name="Border 7" xfId="73"/>
    <cellStyle name="Border 8" xfId="74"/>
    <cellStyle name="Border 9" xfId="75"/>
    <cellStyle name="Calc Currency (0)" xfId="76"/>
    <cellStyle name="Calc Currency (0) 2" xfId="256"/>
    <cellStyle name="Calc Currency (2)" xfId="77"/>
    <cellStyle name="Calc Currency (2) 2" xfId="257"/>
    <cellStyle name="Calc Percent (0)" xfId="78"/>
    <cellStyle name="Calc Percent (0) 2" xfId="258"/>
    <cellStyle name="Calc Percent (1)" xfId="79"/>
    <cellStyle name="Calc Percent (1) 2" xfId="259"/>
    <cellStyle name="Calc Percent (2)" xfId="80"/>
    <cellStyle name="Calc Percent (2) 2" xfId="260"/>
    <cellStyle name="Calc Units (0)" xfId="81"/>
    <cellStyle name="Calc Units (0) 2" xfId="261"/>
    <cellStyle name="Calc Units (1)" xfId="82"/>
    <cellStyle name="Calc Units (1) 2" xfId="262"/>
    <cellStyle name="Calc Units (2)" xfId="83"/>
    <cellStyle name="Calc Units (2) 2" xfId="263"/>
    <cellStyle name="Centered Heading" xfId="84"/>
    <cellStyle name="columns" xfId="85"/>
    <cellStyle name="Comma" xfId="1" builtinId="3"/>
    <cellStyle name="Comma  - Style1" xfId="264"/>
    <cellStyle name="Comma  - Style2" xfId="265"/>
    <cellStyle name="Comma  - Style3" xfId="266"/>
    <cellStyle name="Comma  - Style4" xfId="267"/>
    <cellStyle name="Comma  - Style5" xfId="268"/>
    <cellStyle name="Comma  - Style6" xfId="269"/>
    <cellStyle name="Comma  - Style7" xfId="270"/>
    <cellStyle name="Comma  - Style8" xfId="271"/>
    <cellStyle name="comma (0)" xfId="86"/>
    <cellStyle name="comma (0) 2" xfId="87"/>
    <cellStyle name="comma (0) 2 2" xfId="272"/>
    <cellStyle name="comma (0) 3" xfId="88"/>
    <cellStyle name="Comma [00]" xfId="89"/>
    <cellStyle name="Comma [00] 2" xfId="273"/>
    <cellStyle name="Comma 2" xfId="5"/>
    <cellStyle name="Comma 2 2" xfId="91"/>
    <cellStyle name="Comma 2 2 2" xfId="274"/>
    <cellStyle name="Comma 2 3" xfId="92"/>
    <cellStyle name="Comma 2 4" xfId="93"/>
    <cellStyle name="Comma 2 5" xfId="275"/>
    <cellStyle name="Comma 2 6" xfId="90"/>
    <cellStyle name="Comma 3" xfId="94"/>
    <cellStyle name="Comma 3 2" xfId="276"/>
    <cellStyle name="Comma 4" xfId="95"/>
    <cellStyle name="Comma 4 2" xfId="277"/>
    <cellStyle name="Comma 5" xfId="96"/>
    <cellStyle name="Comma 5 2" xfId="317"/>
    <cellStyle name="Comma Acctg" xfId="97"/>
    <cellStyle name="Comma Acctg 2" xfId="98"/>
    <cellStyle name="Comma0" xfId="99"/>
    <cellStyle name="Company Name" xfId="100"/>
    <cellStyle name="Contracts" xfId="101"/>
    <cellStyle name="CR Comma" xfId="102"/>
    <cellStyle name="CR Currency" xfId="103"/>
    <cellStyle name="curr" xfId="104"/>
    <cellStyle name="Currency [00]" xfId="105"/>
    <cellStyle name="Currency [00] 2" xfId="278"/>
    <cellStyle name="Currency 2" xfId="106"/>
    <cellStyle name="Currency Acctg" xfId="107"/>
    <cellStyle name="Currency0" xfId="108"/>
    <cellStyle name="Data" xfId="109"/>
    <cellStyle name="Date" xfId="110"/>
    <cellStyle name="Date Short" xfId="111"/>
    <cellStyle name="DateJoel" xfId="112"/>
    <cellStyle name="debbie" xfId="113"/>
    <cellStyle name="Dezimal [0]_laroux" xfId="114"/>
    <cellStyle name="Dezimal_laroux" xfId="115"/>
    <cellStyle name="Enter Currency (0)" xfId="116"/>
    <cellStyle name="Enter Currency (0) 2" xfId="279"/>
    <cellStyle name="Enter Currency (2)" xfId="117"/>
    <cellStyle name="Enter Currency (2) 2" xfId="280"/>
    <cellStyle name="Enter Units (0)" xfId="118"/>
    <cellStyle name="Enter Units (0) 2" xfId="281"/>
    <cellStyle name="Enter Units (1)" xfId="119"/>
    <cellStyle name="Enter Units (1) 2" xfId="282"/>
    <cellStyle name="Enter Units (2)" xfId="120"/>
    <cellStyle name="Enter Units (2) 2" xfId="283"/>
    <cellStyle name="eps" xfId="121"/>
    <cellStyle name="Euro" xfId="122"/>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Grey" xfId="123"/>
    <cellStyle name="Header1" xfId="124"/>
    <cellStyle name="Header2" xfId="125"/>
    <cellStyle name="Header2 10" xfId="126"/>
    <cellStyle name="Header2 11" xfId="127"/>
    <cellStyle name="Header2 12" xfId="128"/>
    <cellStyle name="Header2 13" xfId="129"/>
    <cellStyle name="Header2 14" xfId="130"/>
    <cellStyle name="Header2 15" xfId="131"/>
    <cellStyle name="Header2 16" xfId="132"/>
    <cellStyle name="Header2 17" xfId="133"/>
    <cellStyle name="Header2 18" xfId="134"/>
    <cellStyle name="Header2 19" xfId="135"/>
    <cellStyle name="Header2 2" xfId="136"/>
    <cellStyle name="Header2 20" xfId="137"/>
    <cellStyle name="Header2 21" xfId="138"/>
    <cellStyle name="Header2 22" xfId="139"/>
    <cellStyle name="Header2 23" xfId="140"/>
    <cellStyle name="Header2 24" xfId="141"/>
    <cellStyle name="Header2 25" xfId="142"/>
    <cellStyle name="Header2 26" xfId="143"/>
    <cellStyle name="Header2 27" xfId="144"/>
    <cellStyle name="Header2 28" xfId="145"/>
    <cellStyle name="Header2 29" xfId="146"/>
    <cellStyle name="Header2 3" xfId="147"/>
    <cellStyle name="Header2 30" xfId="148"/>
    <cellStyle name="Header2 31" xfId="149"/>
    <cellStyle name="Header2 32" xfId="150"/>
    <cellStyle name="Header2 33" xfId="151"/>
    <cellStyle name="Header2 34" xfId="152"/>
    <cellStyle name="Header2 35" xfId="153"/>
    <cellStyle name="Header2 36" xfId="154"/>
    <cellStyle name="Header2 37" xfId="155"/>
    <cellStyle name="Header2 38" xfId="156"/>
    <cellStyle name="Header2 39" xfId="157"/>
    <cellStyle name="Header2 4" xfId="158"/>
    <cellStyle name="Header2 40" xfId="159"/>
    <cellStyle name="Header2 41" xfId="160"/>
    <cellStyle name="Header2 42" xfId="161"/>
    <cellStyle name="Header2 5" xfId="162"/>
    <cellStyle name="Header2 6" xfId="163"/>
    <cellStyle name="Header2 7" xfId="164"/>
    <cellStyle name="Header2 8" xfId="165"/>
    <cellStyle name="Header2 9" xfId="166"/>
    <cellStyle name="Heading" xfId="167"/>
    <cellStyle name="Heading 1 2" xfId="168"/>
    <cellStyle name="Heading 1 3" xfId="169"/>
    <cellStyle name="Heading 1 4" xfId="170"/>
    <cellStyle name="Heading 2 2" xfId="171"/>
    <cellStyle name="Heading 2 3" xfId="172"/>
    <cellStyle name="Heading 2 4" xfId="173"/>
    <cellStyle name="Heading No Underline" xfId="174"/>
    <cellStyle name="Heading With Underline" xfId="175"/>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2" xfId="284"/>
    <cellStyle name="Hyperlink 2 2" xfId="319"/>
    <cellStyle name="Hyperlink 2 2 2" xfId="320"/>
    <cellStyle name="Hyperlink 3" xfId="285"/>
    <cellStyle name="Hyperlink 4" xfId="321"/>
    <cellStyle name="Input [yellow]" xfId="176"/>
    <cellStyle name="Link Currency (0)" xfId="177"/>
    <cellStyle name="Link Currency (0) 2" xfId="286"/>
    <cellStyle name="Link Currency (2)" xfId="178"/>
    <cellStyle name="Link Currency (2) 2" xfId="287"/>
    <cellStyle name="Link Units (0)" xfId="179"/>
    <cellStyle name="Link Units (0) 2" xfId="288"/>
    <cellStyle name="Link Units (1)" xfId="180"/>
    <cellStyle name="Link Units (1) 2" xfId="289"/>
    <cellStyle name="Link Units (2)" xfId="181"/>
    <cellStyle name="Link Units (2) 2" xfId="290"/>
    <cellStyle name="Millares [0]_pldt" xfId="182"/>
    <cellStyle name="Millares_pldt" xfId="183"/>
    <cellStyle name="Milliers [0]_AR1194" xfId="184"/>
    <cellStyle name="Milliers_AR1194" xfId="185"/>
    <cellStyle name="Moneda [0]_pldt" xfId="186"/>
    <cellStyle name="Moneda_pldt" xfId="187"/>
    <cellStyle name="Monétaire [0]_AR1194" xfId="188"/>
    <cellStyle name="Monétaire_AR1194" xfId="189"/>
    <cellStyle name="negativ" xfId="190"/>
    <cellStyle name="no dec" xfId="191"/>
    <cellStyle name="nodollars" xfId="192"/>
    <cellStyle name="nodollars 2" xfId="193"/>
    <cellStyle name="Normal" xfId="0" builtinId="0"/>
    <cellStyle name="Normal - Style1" xfId="194"/>
    <cellStyle name="Normal - Style1 2" xfId="291"/>
    <cellStyle name="Normal - Style2" xfId="292"/>
    <cellStyle name="Normal - Style3" xfId="293"/>
    <cellStyle name="Normal - Style4" xfId="294"/>
    <cellStyle name="Normal - Style5" xfId="295"/>
    <cellStyle name="Normal 10" xfId="322"/>
    <cellStyle name="Normal 2" xfId="3"/>
    <cellStyle name="Normal 2 2" xfId="196"/>
    <cellStyle name="Normal 2 2 2" xfId="197"/>
    <cellStyle name="Normal 2 3" xfId="198"/>
    <cellStyle name="Normal 2 3 2" xfId="296"/>
    <cellStyle name="Normal 2 4" xfId="199"/>
    <cellStyle name="Normal 2 5" xfId="297"/>
    <cellStyle name="Normal 2 6" xfId="323"/>
    <cellStyle name="Normal 2 7" xfId="324"/>
    <cellStyle name="Normal 2 8" xfId="195"/>
    <cellStyle name="Normal 3" xfId="4"/>
    <cellStyle name="Normal 3 2" xfId="298"/>
    <cellStyle name="Normal 3 3" xfId="299"/>
    <cellStyle name="Normal 3 4" xfId="200"/>
    <cellStyle name="Normal 4" xfId="201"/>
    <cellStyle name="Normal 5" xfId="6"/>
    <cellStyle name="Normal 5 2" xfId="300"/>
    <cellStyle name="Normal 6" xfId="202"/>
    <cellStyle name="Normal 6 2" xfId="301"/>
    <cellStyle name="Normal 6 3" xfId="302"/>
    <cellStyle name="Normal 7" xfId="203"/>
    <cellStyle name="Normal 7 2" xfId="303"/>
    <cellStyle name="Normal 8" xfId="204"/>
    <cellStyle name="Normal 8 2" xfId="304"/>
    <cellStyle name="Normal 8 3" xfId="316"/>
    <cellStyle name="Normal 9" xfId="325"/>
    <cellStyle name="Number0DecimalStyle" xfId="205"/>
    <cellStyle name="Number0DecimalStyle 2" xfId="253"/>
    <cellStyle name="Number10DecimalStyle" xfId="206"/>
    <cellStyle name="Number1DecimalStyle" xfId="207"/>
    <cellStyle name="Number2DecimalStyle" xfId="208"/>
    <cellStyle name="Number2DecimalStyle 2" xfId="254"/>
    <cellStyle name="Number3DecimalStyle" xfId="209"/>
    <cellStyle name="Number4DecimalStyle" xfId="210"/>
    <cellStyle name="Number5DecimalStyle" xfId="211"/>
    <cellStyle name="Number6DecimalStyle" xfId="212"/>
    <cellStyle name="Number7DecimalStyle" xfId="213"/>
    <cellStyle name="Number8DecimalStyle" xfId="214"/>
    <cellStyle name="Number9DecimalStyle" xfId="215"/>
    <cellStyle name="over" xfId="216"/>
    <cellStyle name="Percent" xfId="2" builtinId="5"/>
    <cellStyle name="percent (0)" xfId="217"/>
    <cellStyle name="Percent [0]" xfId="218"/>
    <cellStyle name="Percent [0] 2" xfId="305"/>
    <cellStyle name="Percent [00]" xfId="219"/>
    <cellStyle name="Percent [00] 2" xfId="306"/>
    <cellStyle name="Percent [2]" xfId="220"/>
    <cellStyle name="Percent 10" xfId="318"/>
    <cellStyle name="Percent 2" xfId="221"/>
    <cellStyle name="Percent 2 2" xfId="222"/>
    <cellStyle name="Percent 2 3" xfId="223"/>
    <cellStyle name="Percent 2 4" xfId="224"/>
    <cellStyle name="Percent 3" xfId="225"/>
    <cellStyle name="Percent 3 2" xfId="307"/>
    <cellStyle name="Percent 4" xfId="308"/>
    <cellStyle name="Percent 6" xfId="326"/>
    <cellStyle name="PERCENTAGE" xfId="226"/>
    <cellStyle name="posit" xfId="227"/>
    <cellStyle name="Powerpoint Style" xfId="228"/>
    <cellStyle name="PrePop Currency (0)" xfId="229"/>
    <cellStyle name="PrePop Currency (0) 2" xfId="309"/>
    <cellStyle name="PrePop Currency (2)" xfId="230"/>
    <cellStyle name="PrePop Currency (2) 2" xfId="310"/>
    <cellStyle name="PrePop Units (0)" xfId="231"/>
    <cellStyle name="PrePop Units (0) 2" xfId="311"/>
    <cellStyle name="PrePop Units (1)" xfId="232"/>
    <cellStyle name="PrePop Units (1) 2" xfId="312"/>
    <cellStyle name="PrePop Units (2)" xfId="233"/>
    <cellStyle name="PrePop Units (2) 2" xfId="313"/>
    <cellStyle name="SingleTopDoubleBott" xfId="234"/>
    <cellStyle name="Standard_A" xfId="235"/>
    <cellStyle name="Style 1" xfId="236"/>
    <cellStyle name="Style 2" xfId="237"/>
    <cellStyle name="Style 3" xfId="327"/>
    <cellStyle name="Style 4" xfId="328"/>
    <cellStyle name="Text Indent A" xfId="238"/>
    <cellStyle name="Text Indent B" xfId="239"/>
    <cellStyle name="Text Indent B 2" xfId="314"/>
    <cellStyle name="Text Indent C" xfId="240"/>
    <cellStyle name="Text Indent C 2" xfId="315"/>
    <cellStyle name="TextStyle" xfId="241"/>
    <cellStyle name="Tickmark" xfId="242"/>
    <cellStyle name="TimStyle" xfId="243"/>
    <cellStyle name="Total 2" xfId="244"/>
    <cellStyle name="Total 3" xfId="245"/>
    <cellStyle name="Total 4" xfId="246"/>
    <cellStyle name="Underline" xfId="247"/>
    <cellStyle name="UnderlineDouble" xfId="248"/>
    <cellStyle name="Währung [0]_RESULTS" xfId="249"/>
    <cellStyle name="Währung_RESULTS" xfId="250"/>
    <cellStyle name="표준_BINV" xfId="251"/>
    <cellStyle name="標準_99B-05PE_IC2" xfId="2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721-4EFC-AAD3-C4056A0A7B99}"/>
            </c:ext>
          </c:extLst>
        </c:ser>
        <c:dLbls>
          <c:showLegendKey val="0"/>
          <c:showVal val="0"/>
          <c:showCatName val="0"/>
          <c:showSerName val="0"/>
          <c:showPercent val="0"/>
          <c:showBubbleSize val="0"/>
        </c:dLbls>
        <c:smooth val="0"/>
        <c:axId val="-2113142544"/>
        <c:axId val="-2113064416"/>
      </c:lineChart>
      <c:catAx>
        <c:axId val="-211314254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2113064416"/>
        <c:crosses val="autoZero"/>
        <c:auto val="1"/>
        <c:lblAlgn val="ctr"/>
        <c:lblOffset val="100"/>
        <c:tickLblSkip val="7"/>
        <c:noMultiLvlLbl val="1"/>
      </c:catAx>
      <c:valAx>
        <c:axId val="-2113064416"/>
        <c:scaling>
          <c:orientation val="minMax"/>
        </c:scaling>
        <c:delete val="0"/>
        <c:axPos val="l"/>
        <c:majorGridlines/>
        <c:numFmt formatCode="0.0\x" sourceLinked="0"/>
        <c:majorTickMark val="out"/>
        <c:minorTickMark val="none"/>
        <c:tickLblPos val="nextTo"/>
        <c:crossAx val="-211314254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C4A-4712-9787-47F5870BB50C}"/>
            </c:ext>
          </c:extLst>
        </c:ser>
        <c:dLbls>
          <c:showLegendKey val="0"/>
          <c:showVal val="0"/>
          <c:showCatName val="0"/>
          <c:showSerName val="0"/>
          <c:showPercent val="0"/>
          <c:showBubbleSize val="0"/>
        </c:dLbls>
        <c:smooth val="0"/>
        <c:axId val="-2081567168"/>
        <c:axId val="-2081564256"/>
      </c:lineChart>
      <c:catAx>
        <c:axId val="-2081567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2081564256"/>
        <c:crosses val="autoZero"/>
        <c:auto val="1"/>
        <c:lblAlgn val="ctr"/>
        <c:lblOffset val="100"/>
        <c:tickLblSkip val="7"/>
        <c:noMultiLvlLbl val="1"/>
      </c:catAx>
      <c:valAx>
        <c:axId val="-2081564256"/>
        <c:scaling>
          <c:orientation val="minMax"/>
        </c:scaling>
        <c:delete val="0"/>
        <c:axPos val="l"/>
        <c:majorGridlines/>
        <c:numFmt formatCode="0.0\x" sourceLinked="0"/>
        <c:majorTickMark val="out"/>
        <c:minorTickMark val="none"/>
        <c:tickLblPos val="nextTo"/>
        <c:crossAx val="-2081567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77F-4015-B873-EB220D30F9CA}"/>
            </c:ext>
          </c:extLst>
        </c:ser>
        <c:dLbls>
          <c:showLegendKey val="0"/>
          <c:showVal val="0"/>
          <c:showCatName val="0"/>
          <c:showSerName val="0"/>
          <c:showPercent val="0"/>
          <c:showBubbleSize val="0"/>
        </c:dLbls>
        <c:smooth val="0"/>
        <c:axId val="-2081535520"/>
        <c:axId val="-2081532608"/>
      </c:lineChart>
      <c:catAx>
        <c:axId val="-208153552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2081532608"/>
        <c:crosses val="autoZero"/>
        <c:auto val="1"/>
        <c:lblAlgn val="ctr"/>
        <c:lblOffset val="100"/>
        <c:tickLblSkip val="7"/>
        <c:noMultiLvlLbl val="1"/>
      </c:catAx>
      <c:valAx>
        <c:axId val="-2081532608"/>
        <c:scaling>
          <c:orientation val="minMax"/>
        </c:scaling>
        <c:delete val="0"/>
        <c:axPos val="l"/>
        <c:majorGridlines/>
        <c:numFmt formatCode="0.0\x" sourceLinked="0"/>
        <c:majorTickMark val="out"/>
        <c:minorTickMark val="none"/>
        <c:tickLblPos val="nextTo"/>
        <c:crossAx val="-208153552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236802</xdr:colOff>
      <xdr:row>41</xdr:row>
      <xdr:rowOff>0</xdr:rowOff>
    </xdr:from>
    <xdr:to>
      <xdr:col>6</xdr:col>
      <xdr:colOff>718343</xdr:colOff>
      <xdr:row>41</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100</xdr:row>
      <xdr:rowOff>0</xdr:rowOff>
    </xdr:from>
    <xdr:to>
      <xdr:col>6</xdr:col>
      <xdr:colOff>718343</xdr:colOff>
      <xdr:row>100</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144</xdr:row>
      <xdr:rowOff>0</xdr:rowOff>
    </xdr:from>
    <xdr:to>
      <xdr:col>6</xdr:col>
      <xdr:colOff>718343</xdr:colOff>
      <xdr:row>144</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Documents/Articles%20(10-8-2015)/Apple/Apple%20Model%209-3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s by Analy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34"/>
  <sheetViews>
    <sheetView showGridLines="0" tabSelected="1" topLeftCell="A2" zoomScale="83" zoomScaleNormal="80" zoomScalePageLayoutView="80" workbookViewId="0">
      <pane xSplit="3" ySplit="9" topLeftCell="D11" activePane="bottomRight" state="frozen"/>
      <selection activeCell="A2" sqref="A2"/>
      <selection pane="topRight" activeCell="D2" sqref="D2"/>
      <selection pane="bottomLeft" activeCell="A11" sqref="A11"/>
      <selection pane="bottomRight" activeCell="B4" sqref="B4:C4"/>
    </sheetView>
  </sheetViews>
  <sheetFormatPr defaultColWidth="8.77734375" defaultRowHeight="14.4" outlineLevelRow="1" outlineLevelCol="1" x14ac:dyDescent="0.3"/>
  <cols>
    <col min="1" max="1" width="1.77734375" customWidth="1"/>
    <col min="2" max="2" width="31.6640625" customWidth="1"/>
    <col min="3" max="3" width="26.109375" style="9" customWidth="1"/>
    <col min="4" max="5" width="11.44140625" style="1" customWidth="1" outlineLevel="1"/>
    <col min="6" max="6" width="11.44140625" style="2" customWidth="1" outlineLevel="1"/>
    <col min="7" max="7" width="12.33203125" style="2" customWidth="1" outlineLevel="1"/>
    <col min="8" max="8" width="11.44140625" style="2" customWidth="1"/>
    <col min="9" max="9" width="11.44140625" style="1" customWidth="1" outlineLevel="1"/>
    <col min="10" max="10" width="12.109375" style="1" customWidth="1" outlineLevel="1"/>
    <col min="11" max="12" width="11.44140625" style="2" customWidth="1" outlineLevel="1"/>
    <col min="13" max="13" width="11.44140625" style="2" customWidth="1"/>
    <col min="14" max="15" width="11.44140625" style="1" customWidth="1" outlineLevel="1"/>
    <col min="16" max="17" width="11.44140625" style="2" customWidth="1" outlineLevel="1"/>
    <col min="18" max="18" width="11.44140625" style="2" customWidth="1"/>
    <col min="19" max="22" width="11.44140625" customWidth="1" outlineLevel="1"/>
    <col min="23" max="23" width="11.44140625" customWidth="1"/>
    <col min="24" max="24" width="5.33203125" customWidth="1"/>
    <col min="25" max="29" width="8.77734375" customWidth="1"/>
  </cols>
  <sheetData>
    <row r="1" spans="1:25" s="45" customFormat="1" ht="5.55" customHeight="1" x14ac:dyDescent="0.3">
      <c r="A1" s="76"/>
      <c r="C1" s="46"/>
      <c r="D1" s="1"/>
      <c r="E1" s="1"/>
      <c r="F1" s="2"/>
      <c r="G1" s="2"/>
      <c r="H1" s="2"/>
      <c r="I1" s="1"/>
      <c r="J1" s="1"/>
      <c r="K1" s="2"/>
      <c r="L1" s="2"/>
      <c r="M1" s="2"/>
      <c r="N1" s="1"/>
      <c r="O1" s="1"/>
      <c r="P1" s="2"/>
      <c r="Q1" s="2"/>
      <c r="R1" s="2"/>
      <c r="Y1" s="76" t="s">
        <v>54</v>
      </c>
    </row>
    <row r="2" spans="1:25" ht="46.2" customHeight="1" x14ac:dyDescent="0.3">
      <c r="B2" s="342" t="s">
        <v>53</v>
      </c>
      <c r="C2" s="343"/>
    </row>
    <row r="3" spans="1:25" x14ac:dyDescent="0.3">
      <c r="B3" s="344" t="s">
        <v>212</v>
      </c>
      <c r="C3" s="345"/>
      <c r="D3" s="10"/>
    </row>
    <row r="4" spans="1:25" x14ac:dyDescent="0.3">
      <c r="B4" s="346" t="s">
        <v>210</v>
      </c>
      <c r="C4" s="347"/>
      <c r="D4" s="10"/>
      <c r="P4" s="313"/>
    </row>
    <row r="5" spans="1:25" x14ac:dyDescent="0.3">
      <c r="B5" s="348" t="s">
        <v>211</v>
      </c>
      <c r="C5" s="349"/>
      <c r="D5" s="10"/>
      <c r="E5" s="10"/>
      <c r="F5" s="10"/>
      <c r="G5" s="69"/>
      <c r="I5" s="169"/>
      <c r="J5" s="15"/>
      <c r="K5" s="15"/>
      <c r="L5" s="15"/>
      <c r="M5" s="15"/>
      <c r="N5" s="15"/>
      <c r="O5" s="170"/>
      <c r="P5" s="15"/>
      <c r="Q5" s="15"/>
      <c r="R5" s="15"/>
    </row>
    <row r="6" spans="1:25" x14ac:dyDescent="0.3">
      <c r="B6" s="74" t="s">
        <v>14</v>
      </c>
      <c r="C6" s="167">
        <f>C202</f>
        <v>242.82178886435383</v>
      </c>
      <c r="D6" s="10"/>
      <c r="E6" s="10"/>
      <c r="F6" s="10"/>
      <c r="G6" s="10"/>
      <c r="I6" s="10"/>
      <c r="J6" s="10"/>
      <c r="K6" s="10"/>
      <c r="L6" s="10"/>
      <c r="M6" s="10"/>
      <c r="N6" s="10"/>
      <c r="O6" s="10"/>
      <c r="P6" s="10"/>
      <c r="Q6" s="10"/>
      <c r="R6" s="10"/>
    </row>
    <row r="7" spans="1:25" s="45" customFormat="1" x14ac:dyDescent="0.3">
      <c r="B7" s="53" t="s">
        <v>46</v>
      </c>
      <c r="C7" s="168" t="str">
        <f>TEXT(C211,"$0")&amp;" to "&amp;TEXT(C210,"$0")</f>
        <v>$201 to $285</v>
      </c>
      <c r="D7" s="10"/>
      <c r="E7" s="10"/>
      <c r="F7" s="10"/>
      <c r="G7" s="10"/>
      <c r="H7" s="2"/>
      <c r="I7" s="10"/>
      <c r="J7" s="10"/>
      <c r="K7" s="10"/>
      <c r="L7" s="10"/>
      <c r="M7" s="75"/>
      <c r="N7" s="10"/>
      <c r="O7" s="10"/>
      <c r="P7" s="10"/>
      <c r="Q7" s="10"/>
      <c r="R7" s="10"/>
    </row>
    <row r="8" spans="1:25" ht="4.5" customHeight="1" x14ac:dyDescent="0.3">
      <c r="C8" s="17"/>
      <c r="D8" s="7"/>
      <c r="E8" s="7"/>
      <c r="F8" s="7"/>
      <c r="G8" s="13"/>
      <c r="H8" s="14"/>
      <c r="I8" s="13"/>
      <c r="J8" s="13"/>
      <c r="K8" s="13"/>
      <c r="L8" s="15"/>
      <c r="M8" s="15"/>
      <c r="N8" s="13"/>
      <c r="O8" s="13"/>
      <c r="P8" s="13"/>
      <c r="Q8" s="15"/>
      <c r="R8" s="15"/>
    </row>
    <row r="9" spans="1:25" ht="15.6" x14ac:dyDescent="0.3">
      <c r="B9" s="350" t="s">
        <v>95</v>
      </c>
      <c r="C9" s="351"/>
      <c r="D9" s="47" t="s">
        <v>132</v>
      </c>
      <c r="E9" s="47" t="s">
        <v>133</v>
      </c>
      <c r="F9" s="47" t="s">
        <v>131</v>
      </c>
      <c r="G9" s="47" t="s">
        <v>134</v>
      </c>
      <c r="H9" s="47" t="s">
        <v>134</v>
      </c>
      <c r="I9" s="47" t="s">
        <v>132</v>
      </c>
      <c r="J9" s="47" t="s">
        <v>133</v>
      </c>
      <c r="K9" s="47" t="s">
        <v>131</v>
      </c>
      <c r="L9" s="47" t="s">
        <v>134</v>
      </c>
      <c r="M9" s="47" t="s">
        <v>134</v>
      </c>
      <c r="N9" s="47" t="s">
        <v>132</v>
      </c>
      <c r="O9" s="47" t="s">
        <v>133</v>
      </c>
      <c r="P9" s="49" t="s">
        <v>131</v>
      </c>
      <c r="Q9" s="49" t="s">
        <v>134</v>
      </c>
      <c r="R9" s="49" t="s">
        <v>134</v>
      </c>
      <c r="S9" s="49" t="s">
        <v>132</v>
      </c>
      <c r="T9" s="49" t="s">
        <v>133</v>
      </c>
      <c r="U9" s="49" t="s">
        <v>131</v>
      </c>
      <c r="V9" s="49" t="s">
        <v>134</v>
      </c>
      <c r="W9" s="55" t="s">
        <v>134</v>
      </c>
    </row>
    <row r="10" spans="1:25" ht="16.2" x14ac:dyDescent="0.45">
      <c r="B10" s="338" t="s">
        <v>0</v>
      </c>
      <c r="C10" s="339"/>
      <c r="D10" s="38" t="s">
        <v>22</v>
      </c>
      <c r="E10" s="38" t="s">
        <v>23</v>
      </c>
      <c r="F10" s="38" t="s">
        <v>26</v>
      </c>
      <c r="G10" s="48" t="s">
        <v>44</v>
      </c>
      <c r="H10" s="48" t="s">
        <v>45</v>
      </c>
      <c r="I10" s="48" t="s">
        <v>135</v>
      </c>
      <c r="J10" s="48" t="s">
        <v>136</v>
      </c>
      <c r="K10" s="48" t="s">
        <v>193</v>
      </c>
      <c r="L10" s="48" t="s">
        <v>194</v>
      </c>
      <c r="M10" s="48" t="s">
        <v>195</v>
      </c>
      <c r="N10" s="48" t="s">
        <v>202</v>
      </c>
      <c r="O10" s="48" t="s">
        <v>203</v>
      </c>
      <c r="P10" s="39" t="s">
        <v>24</v>
      </c>
      <c r="Q10" s="39" t="s">
        <v>25</v>
      </c>
      <c r="R10" s="50" t="s">
        <v>12</v>
      </c>
      <c r="S10" s="50" t="s">
        <v>197</v>
      </c>
      <c r="T10" s="50" t="s">
        <v>198</v>
      </c>
      <c r="U10" s="50" t="s">
        <v>199</v>
      </c>
      <c r="V10" s="50" t="s">
        <v>200</v>
      </c>
      <c r="W10" s="56" t="s">
        <v>201</v>
      </c>
    </row>
    <row r="11" spans="1:25" s="46" customFormat="1" x14ac:dyDescent="0.3">
      <c r="B11" s="163" t="s">
        <v>147</v>
      </c>
      <c r="C11" s="164"/>
      <c r="D11" s="128">
        <v>19485</v>
      </c>
      <c r="E11" s="129">
        <v>21923</v>
      </c>
      <c r="F11" s="129">
        <v>23000</v>
      </c>
      <c r="G11" s="130">
        <f>85255-F11-E11-D11</f>
        <v>20847</v>
      </c>
      <c r="H11" s="181">
        <f>SUM(D11:G11)</f>
        <v>85255</v>
      </c>
      <c r="I11" s="181">
        <v>19885</v>
      </c>
      <c r="J11" s="129">
        <v>22184</v>
      </c>
      <c r="K11" s="129">
        <v>21494</v>
      </c>
      <c r="L11" s="130">
        <f t="shared" ref="L11:L16" si="0">M11-SUM(I11:K11)</f>
        <v>20836</v>
      </c>
      <c r="M11" s="152">
        <v>84399</v>
      </c>
      <c r="N11" s="129">
        <v>18512</v>
      </c>
      <c r="O11" s="129">
        <v>20147</v>
      </c>
      <c r="P11" s="129">
        <f>P13*P75</f>
        <v>21187.731600000003</v>
      </c>
      <c r="Q11" s="130">
        <f>Q13*Q75</f>
        <v>22145.875340000002</v>
      </c>
      <c r="R11" s="152">
        <f>SUM(N11:Q11)</f>
        <v>81992.606939999998</v>
      </c>
      <c r="S11" s="64">
        <f>S13*S75</f>
        <v>20141.348175430001</v>
      </c>
      <c r="T11" s="98">
        <f>T13*T75</f>
        <v>20839.43986688225</v>
      </c>
      <c r="U11" s="98">
        <f>U13*U75</f>
        <v>21382.351539561663</v>
      </c>
      <c r="V11" s="98">
        <f>V13*V75</f>
        <v>21934.724882893075</v>
      </c>
      <c r="W11" s="152">
        <f>SUM(S11:V11)</f>
        <v>84297.864464766986</v>
      </c>
    </row>
    <row r="12" spans="1:25" s="46" customFormat="1" ht="16.2" x14ac:dyDescent="0.45">
      <c r="B12" s="163" t="s">
        <v>148</v>
      </c>
      <c r="C12" s="164"/>
      <c r="D12" s="131">
        <v>2664</v>
      </c>
      <c r="E12" s="184">
        <v>2620</v>
      </c>
      <c r="F12" s="184">
        <v>2849</v>
      </c>
      <c r="G12" s="183">
        <f>10859-F12-E12-D12</f>
        <v>2726</v>
      </c>
      <c r="H12" s="182">
        <f>SUM(D12:G12)</f>
        <v>10859</v>
      </c>
      <c r="I12" s="182">
        <v>2747</v>
      </c>
      <c r="J12" s="184">
        <v>2571</v>
      </c>
      <c r="K12" s="184">
        <v>2404</v>
      </c>
      <c r="L12" s="183">
        <f t="shared" si="0"/>
        <v>2450</v>
      </c>
      <c r="M12" s="151">
        <v>10172</v>
      </c>
      <c r="N12" s="184">
        <v>2464</v>
      </c>
      <c r="O12" s="184">
        <v>2592</v>
      </c>
      <c r="P12" s="184">
        <f t="shared" ref="P12" si="1">P13*P76</f>
        <v>2618.7084000000004</v>
      </c>
      <c r="Q12" s="184">
        <f>Q13*Q76</f>
        <v>2737.1306600000003</v>
      </c>
      <c r="R12" s="151">
        <f>SUM(N12:Q12)</f>
        <v>10411.83906</v>
      </c>
      <c r="S12" s="305">
        <f>S13*S76</f>
        <v>2489.3801115700003</v>
      </c>
      <c r="T12" s="306">
        <f>T13*T76</f>
        <v>2575.6611071427501</v>
      </c>
      <c r="U12" s="306">
        <f t="shared" ref="U12:V12" si="2">U13*U76</f>
        <v>2642.7625498334642</v>
      </c>
      <c r="V12" s="306">
        <f t="shared" si="2"/>
        <v>2711.0334124924025</v>
      </c>
      <c r="W12" s="151">
        <f t="shared" ref="W12" si="3">SUM(S12:V12)</f>
        <v>10418.837181038618</v>
      </c>
    </row>
    <row r="13" spans="1:25" s="46" customFormat="1" x14ac:dyDescent="0.3">
      <c r="B13" s="328" t="s">
        <v>143</v>
      </c>
      <c r="C13" s="329"/>
      <c r="D13" s="132">
        <f>+D12+D11</f>
        <v>22149</v>
      </c>
      <c r="E13" s="133">
        <f>+E12+E11</f>
        <v>24543</v>
      </c>
      <c r="F13" s="133">
        <f>+F12+F11</f>
        <v>25849</v>
      </c>
      <c r="G13" s="133">
        <f>+G12+G11</f>
        <v>23573</v>
      </c>
      <c r="H13" s="186">
        <f>SUM(D13:G13)</f>
        <v>96114</v>
      </c>
      <c r="I13" s="186">
        <f>+I12+I11</f>
        <v>22632</v>
      </c>
      <c r="J13" s="133">
        <f>J12+J11</f>
        <v>24755</v>
      </c>
      <c r="K13" s="133">
        <f>SUM(K11:K12)</f>
        <v>23898</v>
      </c>
      <c r="L13" s="185">
        <f>M13-SUM(I13:K13)</f>
        <v>23286</v>
      </c>
      <c r="M13" s="150">
        <f>SUM(M11:M12)</f>
        <v>94571</v>
      </c>
      <c r="N13" s="186">
        <v>20976</v>
      </c>
      <c r="O13" s="133">
        <f>SUM(O11:O12)</f>
        <v>22739</v>
      </c>
      <c r="P13" s="133">
        <f>+P44+P62+P66+P71</f>
        <v>23806.440000000002</v>
      </c>
      <c r="Q13" s="185">
        <f>+Q44+Q62+Q66+Q71</f>
        <v>24883.006000000001</v>
      </c>
      <c r="R13" s="282">
        <f>SUM(R11:R12)</f>
        <v>92404.445999999996</v>
      </c>
      <c r="S13" s="132">
        <f>+S44+S62+S66+S71</f>
        <v>22630.728287000002</v>
      </c>
      <c r="T13" s="140">
        <f t="shared" ref="T13:V13" si="4">+T44+T62+T66+T71</f>
        <v>23415.100974025001</v>
      </c>
      <c r="U13" s="140">
        <f t="shared" si="4"/>
        <v>24025.114089395127</v>
      </c>
      <c r="V13" s="140">
        <f t="shared" si="4"/>
        <v>24645.758295385476</v>
      </c>
      <c r="W13" s="150">
        <f>SUM(W11:W12)</f>
        <v>94716.701645805602</v>
      </c>
      <c r="Y13" s="308"/>
    </row>
    <row r="14" spans="1:25" s="46" customFormat="1" x14ac:dyDescent="0.3">
      <c r="B14" s="104" t="s">
        <v>97</v>
      </c>
      <c r="C14" s="105"/>
      <c r="D14" s="128">
        <v>-16380</v>
      </c>
      <c r="E14" s="129">
        <v>-19247</v>
      </c>
      <c r="F14" s="129">
        <v>-19393</v>
      </c>
      <c r="G14" s="130">
        <v>-18426</v>
      </c>
      <c r="H14" s="181">
        <f t="shared" ref="H14:H21" si="5">SUM(D14:G14)</f>
        <v>-73446</v>
      </c>
      <c r="I14" s="181">
        <v>-16945</v>
      </c>
      <c r="J14" s="129">
        <v>-20265</v>
      </c>
      <c r="K14" s="129">
        <v>-17907</v>
      </c>
      <c r="L14" s="130">
        <f t="shared" si="0"/>
        <v>-17596</v>
      </c>
      <c r="M14" s="152">
        <v>-72713</v>
      </c>
      <c r="N14" s="129">
        <v>-15363</v>
      </c>
      <c r="O14" s="129">
        <v>-16443</v>
      </c>
      <c r="P14" s="129">
        <f t="shared" ref="P14:V15" si="6">-P11*(1-P77)</f>
        <v>-17585.817228</v>
      </c>
      <c r="Q14" s="130">
        <f t="shared" si="6"/>
        <v>-18381.076532200001</v>
      </c>
      <c r="R14" s="152">
        <f>SUM(N14:Q14)</f>
        <v>-67772.893760200008</v>
      </c>
      <c r="S14" s="129">
        <f>-S11*(1-S77)</f>
        <v>-16717.3189856069</v>
      </c>
      <c r="T14" s="129">
        <f t="shared" ref="T14:V14" si="7">-T11*(1-T77)</f>
        <v>-17296.735089512265</v>
      </c>
      <c r="U14" s="129">
        <f t="shared" si="7"/>
        <v>-17747.351777836178</v>
      </c>
      <c r="V14" s="129">
        <f t="shared" si="7"/>
        <v>-18205.821652801253</v>
      </c>
      <c r="W14" s="152">
        <f>SUM(S14:V14)</f>
        <v>-69967.2275057566</v>
      </c>
    </row>
    <row r="15" spans="1:25" s="46" customFormat="1" x14ac:dyDescent="0.3">
      <c r="B15" s="104" t="s">
        <v>96</v>
      </c>
      <c r="C15" s="105"/>
      <c r="D15" s="128">
        <v>-2100</v>
      </c>
      <c r="E15" s="129">
        <v>-2086</v>
      </c>
      <c r="F15" s="129">
        <v>-2191</v>
      </c>
      <c r="G15" s="130">
        <f>E15</f>
        <v>-2086</v>
      </c>
      <c r="H15" s="181">
        <f t="shared" si="5"/>
        <v>-8463</v>
      </c>
      <c r="I15" s="181">
        <v>-2136</v>
      </c>
      <c r="J15" s="129">
        <v>-2044</v>
      </c>
      <c r="K15" s="129">
        <v>-1983</v>
      </c>
      <c r="L15" s="130">
        <f t="shared" si="0"/>
        <v>-1855</v>
      </c>
      <c r="M15" s="152">
        <v>-8018</v>
      </c>
      <c r="N15" s="129">
        <v>-1888</v>
      </c>
      <c r="O15" s="129">
        <v>-1932</v>
      </c>
      <c r="P15" s="129">
        <f t="shared" si="6"/>
        <v>-1979.2252250000004</v>
      </c>
      <c r="Q15" s="130">
        <f t="shared" si="6"/>
        <v>-2054.4525539186511</v>
      </c>
      <c r="R15" s="152">
        <f>SUM(N15:Q15)</f>
        <v>-7853.6777789186508</v>
      </c>
      <c r="S15" s="129">
        <f t="shared" si="6"/>
        <v>-1873.1202088817845</v>
      </c>
      <c r="T15" s="129">
        <f t="shared" si="6"/>
        <v>-1940.4349292805844</v>
      </c>
      <c r="U15" s="129">
        <f t="shared" si="6"/>
        <v>-1989.7596757985698</v>
      </c>
      <c r="V15" s="129">
        <f t="shared" si="6"/>
        <v>-2041.7911321147635</v>
      </c>
      <c r="W15" s="152">
        <f>SUM(S15:V15)</f>
        <v>-7845.1059460757024</v>
      </c>
    </row>
    <row r="16" spans="1:25" s="37" customFormat="1" ht="17.25" customHeight="1" x14ac:dyDescent="0.45">
      <c r="B16" s="326" t="s">
        <v>113</v>
      </c>
      <c r="C16" s="327"/>
      <c r="D16" s="131">
        <v>-16</v>
      </c>
      <c r="E16" s="184">
        <v>-17</v>
      </c>
      <c r="F16" s="184">
        <v>-16</v>
      </c>
      <c r="G16" s="183">
        <v>-15</v>
      </c>
      <c r="H16" s="182">
        <f t="shared" si="5"/>
        <v>-64</v>
      </c>
      <c r="I16" s="182">
        <v>-16</v>
      </c>
      <c r="J16" s="184">
        <v>-16</v>
      </c>
      <c r="K16" s="187">
        <v>-14</v>
      </c>
      <c r="L16" s="187">
        <f t="shared" si="0"/>
        <v>-13</v>
      </c>
      <c r="M16" s="188">
        <v>-59</v>
      </c>
      <c r="N16" s="187">
        <v>-13</v>
      </c>
      <c r="O16" s="187">
        <v>-13</v>
      </c>
      <c r="P16" s="187">
        <f t="shared" ref="P16" si="8">P81</f>
        <v>-13</v>
      </c>
      <c r="Q16" s="189">
        <f>Q81</f>
        <v>-13</v>
      </c>
      <c r="R16" s="151">
        <f>SUM(N16:Q16)</f>
        <v>-52</v>
      </c>
      <c r="S16" s="131">
        <f>S81</f>
        <v>-14</v>
      </c>
      <c r="T16" s="134">
        <f t="shared" ref="T16:V16" si="9">T81</f>
        <v>-14</v>
      </c>
      <c r="U16" s="134">
        <f t="shared" si="9"/>
        <v>-14</v>
      </c>
      <c r="V16" s="134">
        <f t="shared" si="9"/>
        <v>-14</v>
      </c>
      <c r="W16" s="151">
        <f t="shared" ref="W16" si="10">SUM(S16:V16)</f>
        <v>-56</v>
      </c>
    </row>
    <row r="17" spans="1:28" s="46" customFormat="1" ht="17.25" customHeight="1" x14ac:dyDescent="0.3">
      <c r="B17" s="106" t="s">
        <v>140</v>
      </c>
      <c r="C17" s="105"/>
      <c r="D17" s="132">
        <f>SUM(D14:D16)</f>
        <v>-18496</v>
      </c>
      <c r="E17" s="133">
        <f>SUM(E14:E16)</f>
        <v>-21350</v>
      </c>
      <c r="F17" s="133">
        <f>SUM(F14:F16)</f>
        <v>-21600</v>
      </c>
      <c r="G17" s="185">
        <v>-20642</v>
      </c>
      <c r="H17" s="186">
        <f t="shared" si="5"/>
        <v>-82088</v>
      </c>
      <c r="I17" s="186">
        <f t="shared" ref="I17:J17" si="11">SUM(I14:I16)</f>
        <v>-19097</v>
      </c>
      <c r="J17" s="133">
        <f t="shared" si="11"/>
        <v>-22325</v>
      </c>
      <c r="K17" s="133">
        <f>SUM(K14:K16)</f>
        <v>-19904</v>
      </c>
      <c r="L17" s="185">
        <f>SUM(L14:L16)</f>
        <v>-19464</v>
      </c>
      <c r="M17" s="185">
        <f>SUM(I17:L17)</f>
        <v>-80790</v>
      </c>
      <c r="N17" s="186">
        <f t="shared" ref="N17:P17" si="12">SUM(N14:N16)</f>
        <v>-17264</v>
      </c>
      <c r="O17" s="133">
        <f t="shared" si="12"/>
        <v>-18388</v>
      </c>
      <c r="P17" s="133">
        <f t="shared" si="12"/>
        <v>-19578.042453000002</v>
      </c>
      <c r="Q17" s="185">
        <f>SUM(Q14:Q16)</f>
        <v>-20448.529086118651</v>
      </c>
      <c r="R17" s="139">
        <f>SUM(R14:R16)</f>
        <v>-75678.571539118653</v>
      </c>
      <c r="S17" s="186">
        <f>SUM(S14:S16)</f>
        <v>-18604.439194488685</v>
      </c>
      <c r="T17" s="133">
        <f t="shared" ref="T17:V17" si="13">SUM(T14:T16)</f>
        <v>-19251.170018792851</v>
      </c>
      <c r="U17" s="133">
        <f t="shared" si="13"/>
        <v>-19751.111453634749</v>
      </c>
      <c r="V17" s="133">
        <f t="shared" si="13"/>
        <v>-20261.612784916015</v>
      </c>
      <c r="W17" s="139">
        <f>SUM(W14:W16)</f>
        <v>-77868.333451832295</v>
      </c>
    </row>
    <row r="18" spans="1:28" x14ac:dyDescent="0.3">
      <c r="B18" s="328" t="s">
        <v>40</v>
      </c>
      <c r="C18" s="329"/>
      <c r="D18" s="132">
        <f>D13+D17</f>
        <v>3653</v>
      </c>
      <c r="E18" s="133">
        <f>E13+E17</f>
        <v>3193</v>
      </c>
      <c r="F18" s="133">
        <f>F13+F17</f>
        <v>4249</v>
      </c>
      <c r="G18" s="185">
        <f>G13+G17</f>
        <v>2931</v>
      </c>
      <c r="H18" s="186">
        <f t="shared" si="5"/>
        <v>14026</v>
      </c>
      <c r="I18" s="186">
        <f t="shared" ref="I18:L18" si="14">I13+I17</f>
        <v>3535</v>
      </c>
      <c r="J18" s="133">
        <f t="shared" si="14"/>
        <v>2430</v>
      </c>
      <c r="K18" s="133">
        <v>3994</v>
      </c>
      <c r="L18" s="185">
        <f t="shared" si="14"/>
        <v>3822</v>
      </c>
      <c r="M18" s="186">
        <f>M13+M17</f>
        <v>13781</v>
      </c>
      <c r="N18" s="186">
        <f>N13+N17</f>
        <v>3712</v>
      </c>
      <c r="O18" s="133">
        <f t="shared" ref="O18" si="15">O13+O17</f>
        <v>4351</v>
      </c>
      <c r="P18" s="133">
        <f>P13+P17</f>
        <v>4228.3975470000005</v>
      </c>
      <c r="Q18" s="185">
        <f>Q13+Q17</f>
        <v>4434.4769138813499</v>
      </c>
      <c r="R18" s="139">
        <f>R13+R17</f>
        <v>16725.874460881343</v>
      </c>
      <c r="S18" s="186">
        <f>S13+S17</f>
        <v>4026.289092511317</v>
      </c>
      <c r="T18" s="133">
        <f t="shared" ref="T18:W18" si="16">T13+T17</f>
        <v>4163.9309552321502</v>
      </c>
      <c r="U18" s="133">
        <f t="shared" si="16"/>
        <v>4274.0026357603783</v>
      </c>
      <c r="V18" s="133">
        <f t="shared" si="16"/>
        <v>4384.1455104694614</v>
      </c>
      <c r="W18" s="139">
        <f t="shared" si="16"/>
        <v>16848.368193973307</v>
      </c>
    </row>
    <row r="19" spans="1:28" s="45" customFormat="1" x14ac:dyDescent="0.3">
      <c r="B19" s="104" t="s">
        <v>98</v>
      </c>
      <c r="C19" s="107"/>
      <c r="D19" s="128">
        <v>79</v>
      </c>
      <c r="E19" s="129">
        <v>50</v>
      </c>
      <c r="F19" s="129">
        <v>78</v>
      </c>
      <c r="G19" s="130">
        <v>67</v>
      </c>
      <c r="H19" s="181">
        <f t="shared" si="5"/>
        <v>274</v>
      </c>
      <c r="I19" s="181">
        <v>54</v>
      </c>
      <c r="J19" s="129">
        <v>97</v>
      </c>
      <c r="K19" s="129">
        <v>69</v>
      </c>
      <c r="L19" s="130">
        <f>M19-SUM(I19:K19)</f>
        <v>83</v>
      </c>
      <c r="M19" s="152">
        <v>303</v>
      </c>
      <c r="N19" s="129">
        <v>81</v>
      </c>
      <c r="O19" s="129">
        <v>39</v>
      </c>
      <c r="P19" s="129">
        <f t="shared" ref="P19:Q19" si="17">P82</f>
        <v>60</v>
      </c>
      <c r="Q19" s="130">
        <f t="shared" si="17"/>
        <v>60</v>
      </c>
      <c r="R19" s="152">
        <f>SUM(N19:Q19)</f>
        <v>240</v>
      </c>
      <c r="S19" s="128">
        <f>S82</f>
        <v>76</v>
      </c>
      <c r="T19" s="142">
        <f t="shared" ref="T19:V19" si="18">T82</f>
        <v>76</v>
      </c>
      <c r="U19" s="142">
        <f t="shared" si="18"/>
        <v>76</v>
      </c>
      <c r="V19" s="142">
        <f t="shared" si="18"/>
        <v>76</v>
      </c>
      <c r="W19" s="152">
        <f t="shared" ref="W19" si="19">SUM(S19:V19)</f>
        <v>304</v>
      </c>
    </row>
    <row r="20" spans="1:28" x14ac:dyDescent="0.3">
      <c r="B20" s="326" t="s">
        <v>27</v>
      </c>
      <c r="C20" s="327"/>
      <c r="D20" s="128">
        <v>-945</v>
      </c>
      <c r="E20" s="129">
        <v>-760</v>
      </c>
      <c r="F20" s="129">
        <v>-889</v>
      </c>
      <c r="G20" s="130">
        <v>-931</v>
      </c>
      <c r="H20" s="181">
        <f t="shared" si="5"/>
        <v>-3525</v>
      </c>
      <c r="I20" s="181">
        <v>-888</v>
      </c>
      <c r="J20" s="129">
        <v>-806</v>
      </c>
      <c r="K20" s="129">
        <v>-923</v>
      </c>
      <c r="L20" s="126">
        <f>M20-SUM(I20:K20)</f>
        <v>-999</v>
      </c>
      <c r="M20" s="152">
        <v>-3616</v>
      </c>
      <c r="N20" s="129">
        <v>-933</v>
      </c>
      <c r="O20" s="129">
        <v>-1040</v>
      </c>
      <c r="P20" s="129">
        <f>AVERAGE(N20:O20)</f>
        <v>-986.5</v>
      </c>
      <c r="Q20" s="130">
        <f>AVERAGE(N20:P20)</f>
        <v>-986.5</v>
      </c>
      <c r="R20" s="152">
        <f>SUM(N20:Q20)</f>
        <v>-3946</v>
      </c>
      <c r="S20" s="128">
        <f>N20</f>
        <v>-933</v>
      </c>
      <c r="T20" s="142">
        <f t="shared" ref="T20:W20" si="20">O20</f>
        <v>-1040</v>
      </c>
      <c r="U20" s="142">
        <f t="shared" si="20"/>
        <v>-986.5</v>
      </c>
      <c r="V20" s="142">
        <f t="shared" si="20"/>
        <v>-986.5</v>
      </c>
      <c r="W20" s="152">
        <f t="shared" si="20"/>
        <v>-3946</v>
      </c>
    </row>
    <row r="21" spans="1:28" s="45" customFormat="1" x14ac:dyDescent="0.3">
      <c r="B21" s="104" t="s">
        <v>38</v>
      </c>
      <c r="C21" s="105"/>
      <c r="D21" s="128">
        <v>-769</v>
      </c>
      <c r="E21" s="129">
        <v>-800</v>
      </c>
      <c r="F21" s="129">
        <v>-857</v>
      </c>
      <c r="G21" s="130">
        <v>-905</v>
      </c>
      <c r="H21" s="181">
        <f t="shared" si="5"/>
        <v>-3331</v>
      </c>
      <c r="I21" s="181">
        <v>-917</v>
      </c>
      <c r="J21" s="129">
        <v>-2127</v>
      </c>
      <c r="K21" s="129">
        <v>-857</v>
      </c>
      <c r="L21" s="113">
        <f>M21-SUM(I21:K21)</f>
        <v>-726</v>
      </c>
      <c r="M21" s="152">
        <v>-4627</v>
      </c>
      <c r="N21" s="129">
        <v>-838</v>
      </c>
      <c r="O21" s="129">
        <v>-813</v>
      </c>
      <c r="P21" s="129">
        <v>-949</v>
      </c>
      <c r="Q21" s="129">
        <f>-3600-SUM(N21:P21)</f>
        <v>-1000</v>
      </c>
      <c r="R21" s="290">
        <f>SUM(N21:Q21)</f>
        <v>-3600</v>
      </c>
      <c r="S21" s="128">
        <f>S23-SUM(S22,S19:S20)</f>
        <v>-819.92700132131631</v>
      </c>
      <c r="T21" s="142">
        <f>T23-SUM(T22,T19:T20)</f>
        <v>-773.93513106550017</v>
      </c>
      <c r="U21" s="142">
        <f>U23-SUM(U22,U19:U20)</f>
        <v>-876.08042161394906</v>
      </c>
      <c r="V21" s="310">
        <f>V23-SUM(V22,V19:V20)</f>
        <v>-925.61366565191702</v>
      </c>
      <c r="W21" s="152">
        <f>W23-SUM(W22,W19:W20)</f>
        <v>-3391.7803996744242</v>
      </c>
    </row>
    <row r="22" spans="1:28" s="45" customFormat="1" ht="16.2" x14ac:dyDescent="0.45">
      <c r="B22" s="62" t="s">
        <v>99</v>
      </c>
      <c r="C22" s="52"/>
      <c r="D22" s="134">
        <v>1</v>
      </c>
      <c r="E22" s="190">
        <v>0</v>
      </c>
      <c r="F22" s="184">
        <v>-1</v>
      </c>
      <c r="G22" s="183">
        <v>-1</v>
      </c>
      <c r="H22" s="131">
        <f t="shared" ref="H22" si="21">SUM(D22:G22)</f>
        <v>-1</v>
      </c>
      <c r="I22" s="182">
        <v>4</v>
      </c>
      <c r="J22" s="184">
        <v>-13</v>
      </c>
      <c r="K22" s="184">
        <v>-1</v>
      </c>
      <c r="L22" s="183">
        <f>M22-SUM(I22:K22)</f>
        <v>3</v>
      </c>
      <c r="M22" s="151">
        <v>-7</v>
      </c>
      <c r="N22" s="182">
        <v>2</v>
      </c>
      <c r="O22" s="184">
        <v>-2</v>
      </c>
      <c r="P22" s="250">
        <v>-2</v>
      </c>
      <c r="Q22" s="250">
        <v>-1</v>
      </c>
      <c r="R22" s="151">
        <f>SUM(N22:Q22)</f>
        <v>-3</v>
      </c>
      <c r="S22" s="291">
        <v>-4</v>
      </c>
      <c r="T22" s="292">
        <v>-3</v>
      </c>
      <c r="U22" s="292">
        <v>-2</v>
      </c>
      <c r="V22" s="292">
        <v>-1</v>
      </c>
      <c r="W22" s="151">
        <f t="shared" ref="W22" si="22">SUM(S22:V22)</f>
        <v>-10</v>
      </c>
    </row>
    <row r="23" spans="1:28" s="16" customFormat="1" ht="16.2" x14ac:dyDescent="0.45">
      <c r="B23" s="23" t="s">
        <v>34</v>
      </c>
      <c r="C23" s="24"/>
      <c r="D23" s="191">
        <f t="shared" ref="D23:I23" si="23">SUM(D19:D22)</f>
        <v>-1634</v>
      </c>
      <c r="E23" s="191">
        <f>SUM(E19:E22)</f>
        <v>-1510</v>
      </c>
      <c r="F23" s="191">
        <f>SUM(F19:F22)</f>
        <v>-1669</v>
      </c>
      <c r="G23" s="192">
        <f t="shared" si="23"/>
        <v>-1770</v>
      </c>
      <c r="H23" s="193">
        <f t="shared" si="23"/>
        <v>-6583</v>
      </c>
      <c r="I23" s="194">
        <f t="shared" si="23"/>
        <v>-1747</v>
      </c>
      <c r="J23" s="191">
        <f t="shared" ref="J23:O23" si="24">SUM(J19:J22)</f>
        <v>-2849</v>
      </c>
      <c r="K23" s="191">
        <f t="shared" si="24"/>
        <v>-1712</v>
      </c>
      <c r="L23" s="192">
        <f t="shared" si="24"/>
        <v>-1639</v>
      </c>
      <c r="M23" s="191">
        <f t="shared" si="24"/>
        <v>-7947</v>
      </c>
      <c r="N23" s="194">
        <f t="shared" si="24"/>
        <v>-1688</v>
      </c>
      <c r="O23" s="191">
        <f t="shared" si="24"/>
        <v>-1816</v>
      </c>
      <c r="P23" s="191">
        <f t="shared" ref="P23" si="25">P24-P18</f>
        <v>-1586.6982870000006</v>
      </c>
      <c r="Q23" s="192">
        <f>Q24-Q18</f>
        <v>-1676.1297364813499</v>
      </c>
      <c r="R23" s="276">
        <f>R24-R18</f>
        <v>-6766.8280234813446</v>
      </c>
      <c r="S23" s="194">
        <f>S24-S18</f>
        <v>-1680.9270013213163</v>
      </c>
      <c r="T23" s="191">
        <f>T24-T18</f>
        <v>-1740.9351310655002</v>
      </c>
      <c r="U23" s="191">
        <f t="shared" ref="U23" si="26">U24-U18</f>
        <v>-1788.5804216139491</v>
      </c>
      <c r="V23" s="191">
        <f>V24-V18</f>
        <v>-1837.113665651917</v>
      </c>
      <c r="W23" s="276">
        <f>W24-W18</f>
        <v>-7043.7803996744242</v>
      </c>
      <c r="Y23" s="309"/>
      <c r="Z23" s="309"/>
      <c r="AA23" s="309"/>
      <c r="AB23" s="309"/>
    </row>
    <row r="24" spans="1:28" x14ac:dyDescent="0.3">
      <c r="B24" s="328" t="s">
        <v>30</v>
      </c>
      <c r="C24" s="329"/>
      <c r="D24" s="186">
        <f t="shared" ref="D24:I24" si="27">D18+D23</f>
        <v>2019</v>
      </c>
      <c r="E24" s="133">
        <f t="shared" si="27"/>
        <v>1683</v>
      </c>
      <c r="F24" s="133">
        <f t="shared" si="27"/>
        <v>2580</v>
      </c>
      <c r="G24" s="185">
        <f t="shared" si="27"/>
        <v>1161</v>
      </c>
      <c r="H24" s="186">
        <f t="shared" si="27"/>
        <v>7443</v>
      </c>
      <c r="I24" s="186">
        <f t="shared" si="27"/>
        <v>1788</v>
      </c>
      <c r="J24" s="133">
        <f>J18+J23</f>
        <v>-419</v>
      </c>
      <c r="K24" s="133">
        <f>K18+K23</f>
        <v>2282</v>
      </c>
      <c r="L24" s="133">
        <f>L18+L23</f>
        <v>2183</v>
      </c>
      <c r="M24" s="139">
        <f>M18+M23</f>
        <v>5834</v>
      </c>
      <c r="N24" s="133">
        <f>N18+N23</f>
        <v>2024</v>
      </c>
      <c r="O24" s="133">
        <f>SUM(O23,O18)</f>
        <v>2535</v>
      </c>
      <c r="P24" s="133">
        <f t="shared" ref="P24" si="28">+P47+P63+P68+P72</f>
        <v>2641.6992599999999</v>
      </c>
      <c r="Q24" s="185">
        <f>+Q47+Q63+Q68+Q72</f>
        <v>2758.3471774</v>
      </c>
      <c r="R24" s="185">
        <f>+R47+R63+R68+R72</f>
        <v>9959.0464373999985</v>
      </c>
      <c r="S24" s="133">
        <f>+S47+S63+S68+S72</f>
        <v>2345.3620911900007</v>
      </c>
      <c r="T24" s="133">
        <f t="shared" ref="T24:V24" si="29">+T47+T63+T68+T72</f>
        <v>2422.99582416665</v>
      </c>
      <c r="U24" s="133">
        <f t="shared" si="29"/>
        <v>2485.4222141464293</v>
      </c>
      <c r="V24" s="133">
        <f t="shared" si="29"/>
        <v>2547.0318448175444</v>
      </c>
      <c r="W24" s="139">
        <f t="shared" ref="W24" si="30">+W47+W63+W68+W72</f>
        <v>9804.5877942988827</v>
      </c>
      <c r="Y24" s="307"/>
    </row>
    <row r="25" spans="1:28" s="46" customFormat="1" ht="16.2" x14ac:dyDescent="0.45">
      <c r="B25" s="59" t="s">
        <v>41</v>
      </c>
      <c r="C25" s="60"/>
      <c r="D25" s="131">
        <f>D89</f>
        <v>113</v>
      </c>
      <c r="E25" s="134">
        <f>E89</f>
        <v>30</v>
      </c>
      <c r="F25" s="134">
        <f>F89</f>
        <v>57</v>
      </c>
      <c r="G25" s="134">
        <f>G89</f>
        <v>98</v>
      </c>
      <c r="H25" s="151">
        <f>SUM(D25:G25)</f>
        <v>298</v>
      </c>
      <c r="I25" s="182">
        <f>I89</f>
        <v>-94</v>
      </c>
      <c r="J25" s="184">
        <f>J89</f>
        <v>-69</v>
      </c>
      <c r="K25" s="184">
        <f>+K89</f>
        <v>-88</v>
      </c>
      <c r="L25" s="184">
        <f>+L89</f>
        <v>-119</v>
      </c>
      <c r="M25" s="151">
        <f>SUM(I25:L25)</f>
        <v>-370</v>
      </c>
      <c r="N25" s="184">
        <f t="shared" ref="N25:Q25" si="31">+N89</f>
        <v>-315</v>
      </c>
      <c r="O25" s="184">
        <f t="shared" si="31"/>
        <v>-323</v>
      </c>
      <c r="P25" s="184">
        <f t="shared" si="31"/>
        <v>-305</v>
      </c>
      <c r="Q25" s="184">
        <f t="shared" si="31"/>
        <v>-305</v>
      </c>
      <c r="R25" s="279">
        <f>+R89</f>
        <v>-1220</v>
      </c>
      <c r="S25" s="182">
        <f>Q25</f>
        <v>-305</v>
      </c>
      <c r="T25" s="184">
        <f>S25</f>
        <v>-305</v>
      </c>
      <c r="U25" s="184">
        <f>T25</f>
        <v>-305</v>
      </c>
      <c r="V25" s="184">
        <f>U25</f>
        <v>-305</v>
      </c>
      <c r="W25" s="279">
        <f>SUM(S25:V25)</f>
        <v>-1220</v>
      </c>
    </row>
    <row r="26" spans="1:28" s="40" customFormat="1" x14ac:dyDescent="0.3">
      <c r="B26" s="328" t="s">
        <v>31</v>
      </c>
      <c r="C26" s="329"/>
      <c r="D26" s="133">
        <f>D24+D25</f>
        <v>2132</v>
      </c>
      <c r="E26" s="133">
        <f t="shared" ref="E26" si="32">E24+E25</f>
        <v>1713</v>
      </c>
      <c r="F26" s="133">
        <f t="shared" ref="F26:J26" si="33">F24+F25</f>
        <v>2637</v>
      </c>
      <c r="G26" s="185">
        <f t="shared" si="33"/>
        <v>1259</v>
      </c>
      <c r="H26" s="139">
        <f t="shared" si="33"/>
        <v>7741</v>
      </c>
      <c r="I26" s="186">
        <f t="shared" si="33"/>
        <v>1694</v>
      </c>
      <c r="J26" s="133">
        <f t="shared" si="33"/>
        <v>-488</v>
      </c>
      <c r="K26" s="133">
        <f>K24+K25</f>
        <v>2194</v>
      </c>
      <c r="L26" s="133">
        <f t="shared" ref="L26:Q26" si="34">L24+L25</f>
        <v>2064</v>
      </c>
      <c r="M26" s="139">
        <f>M24+M25</f>
        <v>5464</v>
      </c>
      <c r="N26" s="133">
        <f>N24+N25</f>
        <v>1709</v>
      </c>
      <c r="O26" s="133">
        <f>O24+O25</f>
        <v>2212</v>
      </c>
      <c r="P26" s="133">
        <f t="shared" si="34"/>
        <v>2336.6992599999999</v>
      </c>
      <c r="Q26" s="133">
        <f t="shared" si="34"/>
        <v>2453.3471774</v>
      </c>
      <c r="R26" s="139">
        <f>R24+R25</f>
        <v>8739.0464373999985</v>
      </c>
      <c r="S26" s="186">
        <f>S24+S25</f>
        <v>2040.3620911900007</v>
      </c>
      <c r="T26" s="133">
        <f t="shared" ref="T26:V26" si="35">T24+T25</f>
        <v>2117.99582416665</v>
      </c>
      <c r="U26" s="133">
        <f t="shared" si="35"/>
        <v>2180.4222141464293</v>
      </c>
      <c r="V26" s="133">
        <f t="shared" si="35"/>
        <v>2242.0318448175444</v>
      </c>
      <c r="W26" s="139">
        <f>SUM(S26:V26)</f>
        <v>8580.8119743206244</v>
      </c>
      <c r="Y26" s="307"/>
    </row>
    <row r="27" spans="1:28" s="45" customFormat="1" x14ac:dyDescent="0.3">
      <c r="B27" s="57" t="s">
        <v>142</v>
      </c>
      <c r="C27" s="58"/>
      <c r="D27" s="128">
        <v>-12</v>
      </c>
      <c r="E27" s="129">
        <v>15</v>
      </c>
      <c r="F27" s="129">
        <v>-26</v>
      </c>
      <c r="G27" s="130">
        <v>10</v>
      </c>
      <c r="H27" s="181">
        <f>SUM(D27:G27)</f>
        <v>-13</v>
      </c>
      <c r="I27" s="181">
        <v>26</v>
      </c>
      <c r="J27" s="129">
        <v>13</v>
      </c>
      <c r="K27" s="129">
        <v>2</v>
      </c>
      <c r="L27" s="130">
        <f>M27-SUM(I27:K27)</f>
        <v>-1</v>
      </c>
      <c r="M27" s="152">
        <v>40</v>
      </c>
      <c r="N27" s="129">
        <v>22</v>
      </c>
      <c r="O27" s="129">
        <v>27</v>
      </c>
      <c r="P27" s="129">
        <f t="shared" ref="P27:Q27" si="36">P73</f>
        <v>24.5</v>
      </c>
      <c r="Q27" s="129">
        <f t="shared" si="36"/>
        <v>25.75</v>
      </c>
      <c r="R27" s="152">
        <f>SUM(N27:Q27)</f>
        <v>99.25</v>
      </c>
      <c r="S27" s="128">
        <f>SUM(O27:R27)</f>
        <v>176.5</v>
      </c>
      <c r="T27" s="142">
        <f t="shared" ref="T27:W27" si="37">SUM(P27:S27)</f>
        <v>326</v>
      </c>
      <c r="U27" s="142">
        <f t="shared" si="37"/>
        <v>627.5</v>
      </c>
      <c r="V27" s="142">
        <f t="shared" si="37"/>
        <v>1229.25</v>
      </c>
      <c r="W27" s="152">
        <f t="shared" si="37"/>
        <v>2359.25</v>
      </c>
    </row>
    <row r="28" spans="1:28" ht="16.2" x14ac:dyDescent="0.45">
      <c r="B28" s="326" t="s">
        <v>100</v>
      </c>
      <c r="C28" s="327"/>
      <c r="D28" s="131">
        <v>-61</v>
      </c>
      <c r="E28" s="184">
        <v>-75</v>
      </c>
      <c r="F28" s="184">
        <v>-67</v>
      </c>
      <c r="G28" s="183">
        <v>-72</v>
      </c>
      <c r="H28" s="182">
        <f>SUM(D28:G28)</f>
        <v>-275</v>
      </c>
      <c r="I28" s="182">
        <v>-73</v>
      </c>
      <c r="J28" s="184">
        <v>-73</v>
      </c>
      <c r="K28" s="184">
        <v>-81</v>
      </c>
      <c r="L28" s="189">
        <f>M28-SUM(I28:K28)</f>
        <v>-79</v>
      </c>
      <c r="M28" s="188">
        <v>-306</v>
      </c>
      <c r="N28" s="187">
        <v>-87</v>
      </c>
      <c r="O28" s="187">
        <v>-93</v>
      </c>
      <c r="P28" s="187">
        <f t="shared" ref="P28:Q28" si="38">P86</f>
        <v>-90</v>
      </c>
      <c r="Q28" s="187">
        <f t="shared" si="38"/>
        <v>-90</v>
      </c>
      <c r="R28" s="151">
        <f>SUM(N28:Q28)</f>
        <v>-360</v>
      </c>
      <c r="S28" s="131">
        <v>-80</v>
      </c>
      <c r="T28" s="134">
        <f>S28</f>
        <v>-80</v>
      </c>
      <c r="U28" s="134">
        <f>T28</f>
        <v>-80</v>
      </c>
      <c r="V28" s="134">
        <f>U28</f>
        <v>-80</v>
      </c>
      <c r="W28" s="151">
        <f t="shared" ref="W28" si="39">SUM(S28:V28)</f>
        <v>-320</v>
      </c>
    </row>
    <row r="29" spans="1:28" x14ac:dyDescent="0.3">
      <c r="B29" s="328" t="s">
        <v>28</v>
      </c>
      <c r="C29" s="329"/>
      <c r="D29" s="132">
        <f>D24+D28+D27</f>
        <v>1946</v>
      </c>
      <c r="E29" s="133">
        <f t="shared" ref="E29:F29" si="40">E24+E28+E27</f>
        <v>1623</v>
      </c>
      <c r="F29" s="133">
        <f t="shared" si="40"/>
        <v>2487</v>
      </c>
      <c r="G29" s="185">
        <f t="shared" ref="G29" si="41">G24+G28+G27</f>
        <v>1099</v>
      </c>
      <c r="H29" s="132">
        <f t="shared" ref="H29:P29" si="42">H24+H28+H27</f>
        <v>7155</v>
      </c>
      <c r="I29" s="186">
        <f t="shared" si="42"/>
        <v>1741</v>
      </c>
      <c r="J29" s="133">
        <f>J24+J28+J27</f>
        <v>-479</v>
      </c>
      <c r="K29" s="133">
        <f>K24+K28+K27</f>
        <v>2203</v>
      </c>
      <c r="L29" s="185">
        <f t="shared" si="42"/>
        <v>2103</v>
      </c>
      <c r="M29" s="150">
        <f>M24+M28+M27</f>
        <v>5568</v>
      </c>
      <c r="N29" s="133">
        <f>N24+N28+N27</f>
        <v>1959</v>
      </c>
      <c r="O29" s="133">
        <f>O24+O28+O27</f>
        <v>2469</v>
      </c>
      <c r="P29" s="133">
        <f t="shared" si="42"/>
        <v>2576.1992599999999</v>
      </c>
      <c r="Q29" s="133">
        <f>Q24+Q28+Q27</f>
        <v>2694.0971774</v>
      </c>
      <c r="R29" s="150">
        <f>R24+R28+R27</f>
        <v>9698.2964373999985</v>
      </c>
      <c r="S29" s="132">
        <f>S24+S28+S27</f>
        <v>2441.8620911900007</v>
      </c>
      <c r="T29" s="140">
        <f t="shared" ref="T29:V29" si="43">T24+T28+T27</f>
        <v>2668.99582416665</v>
      </c>
      <c r="U29" s="140">
        <f t="shared" si="43"/>
        <v>3032.9222141464293</v>
      </c>
      <c r="V29" s="140">
        <f t="shared" si="43"/>
        <v>3696.2818448175444</v>
      </c>
      <c r="W29" s="150">
        <f>SUM(S29:V29)</f>
        <v>11840.061974320624</v>
      </c>
      <c r="Y29" s="307"/>
    </row>
    <row r="30" spans="1:28" ht="16.2" x14ac:dyDescent="0.45">
      <c r="A30" s="61"/>
      <c r="B30" s="334" t="s">
        <v>151</v>
      </c>
      <c r="C30" s="335"/>
      <c r="D30" s="131">
        <v>-610</v>
      </c>
      <c r="E30" s="184">
        <v>-513</v>
      </c>
      <c r="F30" s="184">
        <v>-783</v>
      </c>
      <c r="G30" s="183">
        <v>-73</v>
      </c>
      <c r="H30" s="131">
        <f>SUM(D30:G30)</f>
        <v>-1979</v>
      </c>
      <c r="I30" s="182">
        <v>-522</v>
      </c>
      <c r="J30" s="184">
        <v>245</v>
      </c>
      <c r="K30" s="184">
        <v>76</v>
      </c>
      <c r="L30" s="183">
        <f>M30-SUM(I30:K30)</f>
        <v>-472</v>
      </c>
      <c r="M30" s="151">
        <v>-673</v>
      </c>
      <c r="N30" s="184">
        <v>-508</v>
      </c>
      <c r="O30" s="184">
        <v>-708</v>
      </c>
      <c r="P30" s="184">
        <f>-P29*P87</f>
        <v>-798.62177059999999</v>
      </c>
      <c r="Q30" s="184">
        <f>-Q29*Q87</f>
        <v>-835.17012499399993</v>
      </c>
      <c r="R30" s="151">
        <f>SUM(N30:Q30)</f>
        <v>-2849.7918955939999</v>
      </c>
      <c r="S30" s="131">
        <f>-S29*S87</f>
        <v>-732.5586273570002</v>
      </c>
      <c r="T30" s="134">
        <f t="shared" ref="T30:V30" si="44">-T29*T87</f>
        <v>-800.69874724999499</v>
      </c>
      <c r="U30" s="134">
        <f t="shared" si="44"/>
        <v>-909.87666424392876</v>
      </c>
      <c r="V30" s="134">
        <f t="shared" si="44"/>
        <v>-1108.8845534452632</v>
      </c>
      <c r="W30" s="151">
        <f>SUM(S30:V30)</f>
        <v>-3552.0185922961873</v>
      </c>
    </row>
    <row r="31" spans="1:28" x14ac:dyDescent="0.3">
      <c r="A31" s="61"/>
      <c r="B31" s="352" t="s">
        <v>35</v>
      </c>
      <c r="C31" s="353"/>
      <c r="D31" s="186">
        <f t="shared" ref="D31:I31" si="45">D29+D30</f>
        <v>1336</v>
      </c>
      <c r="E31" s="133">
        <f t="shared" si="45"/>
        <v>1110</v>
      </c>
      <c r="F31" s="133">
        <f>F29+F30</f>
        <v>1704</v>
      </c>
      <c r="G31" s="185">
        <f t="shared" si="45"/>
        <v>1026</v>
      </c>
      <c r="H31" s="132">
        <f t="shared" si="45"/>
        <v>5176</v>
      </c>
      <c r="I31" s="186">
        <f t="shared" si="45"/>
        <v>1219</v>
      </c>
      <c r="J31" s="133">
        <f>J29+J30</f>
        <v>-234</v>
      </c>
      <c r="K31" s="133">
        <f>K29+K30</f>
        <v>2279</v>
      </c>
      <c r="L31" s="185">
        <f t="shared" ref="L31:Q31" si="46">L29+L30</f>
        <v>1631</v>
      </c>
      <c r="M31" s="150">
        <f>M29+M30</f>
        <v>4895</v>
      </c>
      <c r="N31" s="133">
        <f t="shared" si="46"/>
        <v>1451</v>
      </c>
      <c r="O31" s="133">
        <f t="shared" si="46"/>
        <v>1761</v>
      </c>
      <c r="P31" s="133">
        <f t="shared" si="46"/>
        <v>1777.5774893999999</v>
      </c>
      <c r="Q31" s="133">
        <f t="shared" si="46"/>
        <v>1858.927052406</v>
      </c>
      <c r="R31" s="150">
        <f>R29+R30</f>
        <v>6848.5045418059981</v>
      </c>
      <c r="S31" s="132">
        <f>S29+S30</f>
        <v>1709.3034638330005</v>
      </c>
      <c r="T31" s="140">
        <f t="shared" ref="T31:V31" si="47">T29+T30</f>
        <v>1868.297076916655</v>
      </c>
      <c r="U31" s="140">
        <f t="shared" si="47"/>
        <v>2123.0455499025006</v>
      </c>
      <c r="V31" s="140">
        <f t="shared" si="47"/>
        <v>2587.397291372281</v>
      </c>
      <c r="W31" s="150">
        <f>W29+W30</f>
        <v>8288.0433820244361</v>
      </c>
      <c r="Y31" s="307"/>
    </row>
    <row r="32" spans="1:28" s="46" customFormat="1" ht="16.2" x14ac:dyDescent="0.45">
      <c r="A32" s="81"/>
      <c r="B32" s="195" t="s">
        <v>150</v>
      </c>
      <c r="C32" s="196"/>
      <c r="D32" s="182">
        <f t="shared" ref="D32:G32" si="48">D90</f>
        <v>-39.549999999999997</v>
      </c>
      <c r="E32" s="184">
        <f t="shared" si="48"/>
        <v>-10.5</v>
      </c>
      <c r="F32" s="184">
        <f t="shared" si="48"/>
        <v>-24.719999999999935</v>
      </c>
      <c r="G32" s="183">
        <f t="shared" si="48"/>
        <v>-34.299999999999997</v>
      </c>
      <c r="H32" s="131">
        <f>SUM(D32:G32)</f>
        <v>-109.06999999999992</v>
      </c>
      <c r="I32" s="182">
        <f>I90</f>
        <v>32.9</v>
      </c>
      <c r="J32" s="184">
        <f>J90</f>
        <v>24.15</v>
      </c>
      <c r="K32" s="184">
        <f>K90</f>
        <v>30.799999999999997</v>
      </c>
      <c r="L32" s="183">
        <f>L90</f>
        <v>41.65</v>
      </c>
      <c r="M32" s="151">
        <f>SUM(I32:L32)</f>
        <v>129.5</v>
      </c>
      <c r="N32" s="184">
        <f t="shared" ref="N32:Q32" si="49">N90</f>
        <v>110.25</v>
      </c>
      <c r="O32" s="184">
        <f t="shared" si="49"/>
        <v>113.05</v>
      </c>
      <c r="P32" s="184">
        <f t="shared" si="49"/>
        <v>106.75</v>
      </c>
      <c r="Q32" s="184">
        <f t="shared" si="49"/>
        <v>106.75</v>
      </c>
      <c r="R32" s="151">
        <f>SUM(N32:Q32)</f>
        <v>436.8</v>
      </c>
      <c r="S32" s="131">
        <v>94</v>
      </c>
      <c r="T32" s="134">
        <v>94</v>
      </c>
      <c r="U32" s="134">
        <v>94</v>
      </c>
      <c r="V32" s="134">
        <v>94</v>
      </c>
      <c r="W32" s="151">
        <f t="shared" ref="W32" si="50">SUM(S32:V32)</f>
        <v>376</v>
      </c>
    </row>
    <row r="33" spans="1:25" s="45" customFormat="1" x14ac:dyDescent="0.3">
      <c r="A33" s="61"/>
      <c r="B33" s="352" t="s">
        <v>149</v>
      </c>
      <c r="C33" s="353"/>
      <c r="D33" s="186">
        <f t="shared" ref="D33:I33" si="51">D26+D27+D28+D30+D32</f>
        <v>1409.45</v>
      </c>
      <c r="E33" s="133">
        <f t="shared" si="51"/>
        <v>1129.5</v>
      </c>
      <c r="F33" s="133">
        <f>F26+F27+F28+F30+F32</f>
        <v>1736.28</v>
      </c>
      <c r="G33" s="185">
        <f t="shared" si="51"/>
        <v>1089.7</v>
      </c>
      <c r="H33" s="132">
        <f>H26+H27+H28+H30+H32</f>
        <v>5364.93</v>
      </c>
      <c r="I33" s="186">
        <f t="shared" si="51"/>
        <v>1157.9000000000001</v>
      </c>
      <c r="J33" s="133">
        <f t="shared" ref="J33:N33" si="52">J26+J27+J28+J30+J32</f>
        <v>-278.85000000000002</v>
      </c>
      <c r="K33" s="133">
        <f t="shared" si="52"/>
        <v>2221.8000000000002</v>
      </c>
      <c r="L33" s="185">
        <f t="shared" si="52"/>
        <v>1553.65</v>
      </c>
      <c r="M33" s="150">
        <f t="shared" si="52"/>
        <v>4654.5</v>
      </c>
      <c r="N33" s="133">
        <f t="shared" si="52"/>
        <v>1246.25</v>
      </c>
      <c r="O33" s="133">
        <f>O26+O27+O28+O30+O32</f>
        <v>1551.05</v>
      </c>
      <c r="P33" s="133">
        <f t="shared" ref="P33" si="53">P26+P27+P28+P30+P32</f>
        <v>1579.3274893999999</v>
      </c>
      <c r="Q33" s="133">
        <f>Q26+Q27+Q28+Q30+Q32</f>
        <v>1660.677052406</v>
      </c>
      <c r="R33" s="150">
        <f>R26+R27+R28+R30+R32</f>
        <v>6065.3045418059983</v>
      </c>
      <c r="S33" s="132">
        <f>S26+S27+S28+S30+S32</f>
        <v>1498.3034638330005</v>
      </c>
      <c r="T33" s="140">
        <f t="shared" ref="T33:V33" si="54">T26+T27+T28+T30+T32</f>
        <v>1657.297076916655</v>
      </c>
      <c r="U33" s="140">
        <f t="shared" si="54"/>
        <v>1912.0455499025006</v>
      </c>
      <c r="V33" s="140">
        <f t="shared" si="54"/>
        <v>2376.397291372281</v>
      </c>
      <c r="W33" s="150">
        <f>W26+W27+W28+W30+W32</f>
        <v>7444.0433820244371</v>
      </c>
      <c r="Y33" s="307"/>
    </row>
    <row r="34" spans="1:25" x14ac:dyDescent="0.3">
      <c r="B34" s="334" t="s">
        <v>6</v>
      </c>
      <c r="C34" s="335"/>
      <c r="D34" s="124">
        <v>705.7</v>
      </c>
      <c r="E34" s="125">
        <v>691.2</v>
      </c>
      <c r="F34" s="125">
        <v>681.3</v>
      </c>
      <c r="G34" s="126">
        <v>675</v>
      </c>
      <c r="H34" s="124">
        <v>688</v>
      </c>
      <c r="I34" s="127">
        <v>659.6</v>
      </c>
      <c r="J34" s="125">
        <v>636.29999999999995</v>
      </c>
      <c r="K34" s="125">
        <v>625.5</v>
      </c>
      <c r="L34" s="126">
        <f>L31/L36</f>
        <v>620.15209125475292</v>
      </c>
      <c r="M34" s="146">
        <v>635.5</v>
      </c>
      <c r="N34" s="125">
        <v>613.6</v>
      </c>
      <c r="O34" s="125">
        <v>601.79999999999995</v>
      </c>
      <c r="P34" s="125">
        <f>O34*(1+P93)-P97</f>
        <v>598.64740044901316</v>
      </c>
      <c r="Q34" s="125">
        <f>P34*(1+Q93)-Q97</f>
        <v>595.59711233602434</v>
      </c>
      <c r="R34" s="146">
        <f>AVERAGE(N34:Q34)</f>
        <v>602.41112819625937</v>
      </c>
      <c r="S34" s="125">
        <f>Q34*(1+S93)-S97</f>
        <v>580.11912677434418</v>
      </c>
      <c r="T34" s="125">
        <f>S34*(1+T93)-T97</f>
        <v>567.21853114047246</v>
      </c>
      <c r="U34" s="125">
        <f t="shared" ref="U34:V34" si="55">T34*(1+U93)-U97</f>
        <v>556.88243848477009</v>
      </c>
      <c r="V34" s="125">
        <f t="shared" si="55"/>
        <v>549.09802629234628</v>
      </c>
      <c r="W34" s="146">
        <f>AVERAGE(S34:V34)</f>
        <v>563.32953067298331</v>
      </c>
    </row>
    <row r="35" spans="1:25" x14ac:dyDescent="0.3">
      <c r="B35" s="334" t="s">
        <v>7</v>
      </c>
      <c r="C35" s="335"/>
      <c r="D35" s="124">
        <v>714.2</v>
      </c>
      <c r="E35" s="125">
        <v>698.9</v>
      </c>
      <c r="F35" s="125">
        <v>689</v>
      </c>
      <c r="G35" s="126">
        <v>681.2</v>
      </c>
      <c r="H35" s="124">
        <v>696.1</v>
      </c>
      <c r="I35" s="127">
        <v>665.8</v>
      </c>
      <c r="J35" s="125">
        <v>636.29999999999995</v>
      </c>
      <c r="K35" s="125">
        <v>632.70000000000005</v>
      </c>
      <c r="L35" s="126">
        <v>630.29999999999995</v>
      </c>
      <c r="M35" s="146">
        <v>643.79999999999995</v>
      </c>
      <c r="N35" s="125">
        <v>621.20000000000005</v>
      </c>
      <c r="O35" s="125">
        <v>609.6</v>
      </c>
      <c r="P35" s="125">
        <f>O35*(1+P94)-P97</f>
        <v>606.66689523809509</v>
      </c>
      <c r="Q35" s="125">
        <f>P35*(1+Q94)-Q97</f>
        <v>603.83573313311172</v>
      </c>
      <c r="R35" s="281">
        <f>AVERAGE(N35:Q35)</f>
        <v>610.32565709280175</v>
      </c>
      <c r="S35" s="125">
        <f>Q35*(1+S94)-S97</f>
        <v>592.54340459937794</v>
      </c>
      <c r="T35" s="125">
        <f>S35*(1+T94)-T97</f>
        <v>583.7284914085767</v>
      </c>
      <c r="U35" s="125">
        <f t="shared" ref="U35:V35" si="56">T35*(1+U94)-U97</f>
        <v>577.39594839139386</v>
      </c>
      <c r="V35" s="125">
        <f t="shared" si="56"/>
        <v>573.5507402881766</v>
      </c>
      <c r="W35" s="146">
        <f t="shared" ref="W35" si="57">AVERAGE(S35:V35)</f>
        <v>581.80464617188125</v>
      </c>
    </row>
    <row r="36" spans="1:25" s="46" customFormat="1" ht="15.75" customHeight="1" x14ac:dyDescent="0.3">
      <c r="B36" s="334" t="s">
        <v>4</v>
      </c>
      <c r="C36" s="335"/>
      <c r="D36" s="118">
        <f t="shared" ref="D36:Q36" si="58">D31/D34</f>
        <v>1.8931557318974066</v>
      </c>
      <c r="E36" s="31">
        <f t="shared" si="58"/>
        <v>1.6059027777777777</v>
      </c>
      <c r="F36" s="31">
        <f t="shared" si="58"/>
        <v>2.5011008366358434</v>
      </c>
      <c r="G36" s="113">
        <f t="shared" si="58"/>
        <v>1.52</v>
      </c>
      <c r="H36" s="118">
        <f t="shared" si="58"/>
        <v>7.5232558139534884</v>
      </c>
      <c r="I36" s="118">
        <f t="shared" si="58"/>
        <v>1.8480897513644632</v>
      </c>
      <c r="J36" s="31">
        <f t="shared" si="58"/>
        <v>-0.36775106082036779</v>
      </c>
      <c r="K36" s="31">
        <f t="shared" si="58"/>
        <v>3.6434852118305354</v>
      </c>
      <c r="L36" s="113">
        <v>2.63</v>
      </c>
      <c r="M36" s="32">
        <f t="shared" si="58"/>
        <v>7.7025963808025173</v>
      </c>
      <c r="N36" s="31">
        <f t="shared" si="58"/>
        <v>2.3647327249022165</v>
      </c>
      <c r="O36" s="31">
        <f t="shared" si="58"/>
        <v>2.9262213359920239</v>
      </c>
      <c r="P36" s="31">
        <f t="shared" si="58"/>
        <v>2.969322990572973</v>
      </c>
      <c r="Q36" s="31">
        <f t="shared" si="58"/>
        <v>3.1211149515399756</v>
      </c>
      <c r="R36" s="32">
        <f>R31/R34</f>
        <v>11.368489427331472</v>
      </c>
      <c r="S36" s="64">
        <f>S31/S34</f>
        <v>2.9464697593015039</v>
      </c>
      <c r="T36" s="201">
        <f t="shared" ref="T36:V36" si="59">T31/T34</f>
        <v>3.2937870932393225</v>
      </c>
      <c r="U36" s="201">
        <f t="shared" si="59"/>
        <v>3.8123765505680653</v>
      </c>
      <c r="V36" s="201">
        <f t="shared" si="59"/>
        <v>4.7120863078730499</v>
      </c>
      <c r="W36" s="32">
        <f t="shared" ref="W36" si="60">W31/W34</f>
        <v>14.712602359267587</v>
      </c>
    </row>
    <row r="37" spans="1:25" s="46" customFormat="1" x14ac:dyDescent="0.3">
      <c r="B37" s="334" t="s">
        <v>5</v>
      </c>
      <c r="C37" s="335"/>
      <c r="D37" s="64">
        <f t="shared" ref="D37:Q37" si="61">D31/D35</f>
        <v>1.8706244749369922</v>
      </c>
      <c r="E37" s="201">
        <f t="shared" si="61"/>
        <v>1.5882100443554157</v>
      </c>
      <c r="F37" s="201">
        <f t="shared" si="61"/>
        <v>2.4731494920174164</v>
      </c>
      <c r="G37" s="202">
        <f t="shared" si="61"/>
        <v>1.5061655901350557</v>
      </c>
      <c r="H37" s="64">
        <f t="shared" si="61"/>
        <v>7.4357132595891393</v>
      </c>
      <c r="I37" s="64">
        <f t="shared" si="61"/>
        <v>1.8308801441874438</v>
      </c>
      <c r="J37" s="201">
        <f t="shared" si="61"/>
        <v>-0.36775106082036779</v>
      </c>
      <c r="K37" s="31">
        <f t="shared" si="61"/>
        <v>3.6020230757072862</v>
      </c>
      <c r="L37" s="113">
        <v>2.59</v>
      </c>
      <c r="M37" s="262">
        <f>M31/M35</f>
        <v>7.6032929481205347</v>
      </c>
      <c r="N37" s="31">
        <f t="shared" si="61"/>
        <v>2.3358016741790082</v>
      </c>
      <c r="O37" s="31">
        <f t="shared" si="61"/>
        <v>2.8887795275590551</v>
      </c>
      <c r="P37" s="31">
        <f t="shared" si="61"/>
        <v>2.9300716807736213</v>
      </c>
      <c r="Q37" s="31">
        <f t="shared" si="61"/>
        <v>3.0785310481057793</v>
      </c>
      <c r="R37" s="283">
        <f>R31/R35</f>
        <v>11.221066101706853</v>
      </c>
      <c r="S37" s="64">
        <f>S31/S35</f>
        <v>2.8846890380775911</v>
      </c>
      <c r="T37" s="201">
        <f t="shared" ref="T37:V37" si="62">T31/T35</f>
        <v>3.2006268400713602</v>
      </c>
      <c r="U37" s="201">
        <f t="shared" si="62"/>
        <v>3.6769318451527688</v>
      </c>
      <c r="V37" s="201">
        <f t="shared" si="62"/>
        <v>4.5111916167561059</v>
      </c>
      <c r="W37" s="32">
        <f t="shared" ref="W37" si="63">W31/W35</f>
        <v>14.245405973564395</v>
      </c>
    </row>
    <row r="38" spans="1:25" s="16" customFormat="1" x14ac:dyDescent="0.3">
      <c r="B38" s="352" t="s">
        <v>8</v>
      </c>
      <c r="C38" s="353"/>
      <c r="D38" s="207">
        <f>D33/D35</f>
        <v>1.9734668160179221</v>
      </c>
      <c r="E38" s="203">
        <f>E33/E35</f>
        <v>1.6161110316211189</v>
      </c>
      <c r="F38" s="203">
        <f>F33/F35</f>
        <v>2.52</v>
      </c>
      <c r="G38" s="204">
        <f>G33/G35</f>
        <v>1.5996770405167351</v>
      </c>
      <c r="H38" s="65">
        <f>H33/H35</f>
        <v>7.7071254130153717</v>
      </c>
      <c r="I38" s="205">
        <f t="shared" ref="I38:P38" si="64">I33/I35</f>
        <v>1.7391108440973269</v>
      </c>
      <c r="J38" s="203">
        <f t="shared" si="64"/>
        <v>-0.43823668081093831</v>
      </c>
      <c r="K38" s="203">
        <f>K33/K35</f>
        <v>3.5116168800379328</v>
      </c>
      <c r="L38" s="204">
        <f>L33/L35</f>
        <v>2.4649373314294785</v>
      </c>
      <c r="M38" s="206">
        <f>M33/M35</f>
        <v>7.2297297297297298</v>
      </c>
      <c r="N38" s="203">
        <f>N33/N35</f>
        <v>2.0061976819059884</v>
      </c>
      <c r="O38" s="203">
        <f>O33/O35</f>
        <v>2.5443733595800522</v>
      </c>
      <c r="P38" s="203">
        <f t="shared" si="64"/>
        <v>2.6032860896096368</v>
      </c>
      <c r="Q38" s="203">
        <f>Q33/Q35</f>
        <v>2.7502132803391324</v>
      </c>
      <c r="R38" s="284">
        <f>R33/R35</f>
        <v>9.9378167562170034</v>
      </c>
      <c r="S38" s="65">
        <f>S33/S35</f>
        <v>2.528596980749473</v>
      </c>
      <c r="T38" s="293">
        <f t="shared" ref="T38:V38" si="65">T33/T35</f>
        <v>2.8391574187469999</v>
      </c>
      <c r="U38" s="293">
        <f t="shared" si="65"/>
        <v>3.3114980374029237</v>
      </c>
      <c r="V38" s="293">
        <f t="shared" si="65"/>
        <v>4.1433078617914028</v>
      </c>
      <c r="W38" s="294">
        <f t="shared" ref="W38" si="66">W33/W35</f>
        <v>12.794747224870493</v>
      </c>
    </row>
    <row r="39" spans="1:25" s="9" customFormat="1" x14ac:dyDescent="0.3">
      <c r="B39" s="29" t="s">
        <v>15</v>
      </c>
      <c r="C39" s="30"/>
      <c r="D39" s="114">
        <v>0.91</v>
      </c>
      <c r="E39" s="115">
        <v>0.91</v>
      </c>
      <c r="F39" s="115">
        <v>0.91</v>
      </c>
      <c r="G39" s="117">
        <v>0.91</v>
      </c>
      <c r="H39" s="114">
        <f>SUM(D39:G39)</f>
        <v>3.64</v>
      </c>
      <c r="I39" s="119">
        <v>1.0900000000000001</v>
      </c>
      <c r="J39" s="115">
        <v>1.0900000000000001</v>
      </c>
      <c r="K39" s="115">
        <f>J39</f>
        <v>1.0900000000000001</v>
      </c>
      <c r="L39" s="117">
        <f>K39</f>
        <v>1.0900000000000001</v>
      </c>
      <c r="M39" s="116">
        <f>SUM(I39:L39)</f>
        <v>4.3600000000000003</v>
      </c>
      <c r="N39" s="31">
        <v>1.42</v>
      </c>
      <c r="O39" s="31">
        <f>N39</f>
        <v>1.42</v>
      </c>
      <c r="P39" s="199">
        <f>O39</f>
        <v>1.42</v>
      </c>
      <c r="Q39" s="199">
        <f>P39</f>
        <v>1.42</v>
      </c>
      <c r="R39" s="116">
        <f>SUM(N39:Q39)</f>
        <v>5.68</v>
      </c>
      <c r="S39" s="295">
        <v>1.85</v>
      </c>
      <c r="T39" s="296">
        <v>1.85</v>
      </c>
      <c r="U39" s="296">
        <v>1.85</v>
      </c>
      <c r="V39" s="296">
        <v>1.85</v>
      </c>
      <c r="W39" s="116">
        <f>SUM(S39:V39)</f>
        <v>7.4</v>
      </c>
    </row>
    <row r="40" spans="1:25" x14ac:dyDescent="0.3">
      <c r="B40" s="18"/>
      <c r="C40" s="21"/>
      <c r="D40" s="54">
        <f>ROUND((D13-(D62+D44+D66+D71)+(D24-(D47+D63+D68+D72))),0)</f>
        <v>0</v>
      </c>
      <c r="E40" s="54">
        <f>ROUND((E13-(E62+E44+E66+E71)+(E24-(E47+E63+E68+E72))),0)</f>
        <v>0</v>
      </c>
      <c r="F40" s="54">
        <f>ROUND((F13-(F62+F44+F66+F71)+(F24-(F47+F63+F68+F72))),0)</f>
        <v>0</v>
      </c>
      <c r="G40" s="54">
        <f>ROUND((G13-(G62+G44+G66+G71)+(G24-(G47+G63+G68+G72))),0)</f>
        <v>0</v>
      </c>
      <c r="H40" s="299"/>
      <c r="I40" s="54">
        <f>ROUND((I13-(I62+I44+I66+I71)+(I24-(I47+I63+I68+I72))),0)</f>
        <v>0</v>
      </c>
      <c r="J40" s="54">
        <f>ROUND((J13-(J62+J44+J66+J71)+(J24-(J47+J63+J68+J72))),0)</f>
        <v>0</v>
      </c>
      <c r="K40" s="54">
        <f>ROUND((K13-(K62+K44+K66+K71)+(K24-(K47+K63+K68+K72))),0)</f>
        <v>0</v>
      </c>
      <c r="L40" s="54">
        <f>ROUND((L13-(L62+L44+L66+L71)+(L24-(L47+L63+L68+L72))),0)</f>
        <v>0</v>
      </c>
      <c r="M40" s="297"/>
      <c r="N40" s="54">
        <f>ROUND((N13-(N62+N44+N66+N71)+(N24-(N47+N63+N68+N72))),0)</f>
        <v>0</v>
      </c>
      <c r="O40" s="54">
        <f>ROUND((O13-(O62+O44+O66+O71)+(O24-(O47+O63+O68+O72))),0)</f>
        <v>0</v>
      </c>
      <c r="P40" s="54">
        <f>ROUND((P13-(P62+P44+P66+P71)+(P24-(P47+P63+P68+P72))),0)</f>
        <v>0</v>
      </c>
      <c r="Q40" s="54">
        <f>ROUND((Q13-(Q62+Q44+Q66+Q71)+(Q24-(Q47+Q63+Q68+Q72))),0)</f>
        <v>0</v>
      </c>
      <c r="R40" s="300"/>
    </row>
    <row r="41" spans="1:25" ht="15.6" x14ac:dyDescent="0.3">
      <c r="B41" s="350" t="s">
        <v>3</v>
      </c>
      <c r="C41" s="351"/>
      <c r="D41" s="47" t="s">
        <v>132</v>
      </c>
      <c r="E41" s="47" t="s">
        <v>133</v>
      </c>
      <c r="F41" s="47" t="s">
        <v>131</v>
      </c>
      <c r="G41" s="47" t="s">
        <v>134</v>
      </c>
      <c r="H41" s="298" t="s">
        <v>134</v>
      </c>
      <c r="I41" s="47" t="s">
        <v>132</v>
      </c>
      <c r="J41" s="47" t="s">
        <v>133</v>
      </c>
      <c r="K41" s="47" t="s">
        <v>131</v>
      </c>
      <c r="L41" s="47" t="s">
        <v>134</v>
      </c>
      <c r="M41" s="47" t="s">
        <v>134</v>
      </c>
      <c r="N41" s="47" t="s">
        <v>132</v>
      </c>
      <c r="O41" s="47" t="s">
        <v>133</v>
      </c>
      <c r="P41" s="49" t="s">
        <v>131</v>
      </c>
      <c r="Q41" s="49" t="s">
        <v>134</v>
      </c>
      <c r="R41" s="49" t="s">
        <v>134</v>
      </c>
      <c r="S41" s="49" t="s">
        <v>132</v>
      </c>
      <c r="T41" s="49" t="s">
        <v>133</v>
      </c>
      <c r="U41" s="49" t="s">
        <v>131</v>
      </c>
      <c r="V41" s="49" t="s">
        <v>134</v>
      </c>
      <c r="W41" s="55" t="s">
        <v>134</v>
      </c>
    </row>
    <row r="42" spans="1:25" ht="16.2" x14ac:dyDescent="0.45">
      <c r="B42" s="338" t="s">
        <v>36</v>
      </c>
      <c r="C42" s="339"/>
      <c r="D42" s="48" t="s">
        <v>22</v>
      </c>
      <c r="E42" s="48" t="s">
        <v>23</v>
      </c>
      <c r="F42" s="48" t="s">
        <v>26</v>
      </c>
      <c r="G42" s="48" t="s">
        <v>44</v>
      </c>
      <c r="H42" s="48" t="s">
        <v>45</v>
      </c>
      <c r="I42" s="48" t="s">
        <v>135</v>
      </c>
      <c r="J42" s="48" t="s">
        <v>136</v>
      </c>
      <c r="K42" s="48" t="s">
        <v>193</v>
      </c>
      <c r="L42" s="48" t="s">
        <v>194</v>
      </c>
      <c r="M42" s="48" t="s">
        <v>195</v>
      </c>
      <c r="N42" s="48" t="s">
        <v>202</v>
      </c>
      <c r="O42" s="48" t="s">
        <v>203</v>
      </c>
      <c r="P42" s="50" t="s">
        <v>24</v>
      </c>
      <c r="Q42" s="50" t="s">
        <v>25</v>
      </c>
      <c r="R42" s="50" t="s">
        <v>12</v>
      </c>
      <c r="S42" s="50" t="s">
        <v>197</v>
      </c>
      <c r="T42" s="50" t="s">
        <v>198</v>
      </c>
      <c r="U42" s="50" t="s">
        <v>199</v>
      </c>
      <c r="V42" s="50" t="s">
        <v>200</v>
      </c>
      <c r="W42" s="56" t="s">
        <v>201</v>
      </c>
    </row>
    <row r="43" spans="1:25" s="61" customFormat="1" ht="14.55" customHeight="1" x14ac:dyDescent="0.3">
      <c r="B43" s="354" t="s">
        <v>155</v>
      </c>
      <c r="C43" s="355"/>
      <c r="D43" s="36"/>
      <c r="E43" s="36"/>
      <c r="F43" s="36"/>
      <c r="G43" s="36"/>
      <c r="H43" s="27"/>
      <c r="I43" s="36"/>
      <c r="J43" s="36"/>
      <c r="K43" s="35"/>
      <c r="L43" s="35"/>
      <c r="M43" s="27"/>
      <c r="N43" s="35"/>
      <c r="O43" s="35"/>
      <c r="P43" s="35"/>
      <c r="Q43" s="35"/>
      <c r="R43" s="27"/>
      <c r="S43" s="35"/>
      <c r="T43" s="35"/>
      <c r="U43" s="35"/>
      <c r="V43" s="35"/>
      <c r="W43" s="275"/>
    </row>
    <row r="44" spans="1:25" s="61" customFormat="1" ht="14.55" customHeight="1" outlineLevel="1" x14ac:dyDescent="0.3">
      <c r="B44" s="334" t="s">
        <v>154</v>
      </c>
      <c r="C44" s="335"/>
      <c r="D44" s="36">
        <v>15381</v>
      </c>
      <c r="E44" s="36">
        <v>16877</v>
      </c>
      <c r="F44" s="36">
        <v>17692</v>
      </c>
      <c r="G44" s="36">
        <v>16098</v>
      </c>
      <c r="H44" s="27">
        <f>SUM(D44:G44)</f>
        <v>66048</v>
      </c>
      <c r="I44" s="36">
        <v>14399</v>
      </c>
      <c r="J44" s="36">
        <v>17456</v>
      </c>
      <c r="K44" s="35">
        <v>16973</v>
      </c>
      <c r="L44" s="35">
        <f>M44-SUM(I44:K44)</f>
        <v>16241</v>
      </c>
      <c r="M44" s="27">
        <v>65069</v>
      </c>
      <c r="N44" s="35">
        <v>14305</v>
      </c>
      <c r="O44" s="35">
        <v>15713</v>
      </c>
      <c r="P44" s="35">
        <f t="shared" ref="P44" si="67">P45*P46</f>
        <v>16400</v>
      </c>
      <c r="Q44" s="35">
        <f>Q45*Q46</f>
        <v>17056</v>
      </c>
      <c r="R44" s="285">
        <f>SUM(N44:Q44)</f>
        <v>63474</v>
      </c>
      <c r="S44" s="35">
        <f t="shared" ref="S44:V44" si="68">S45*S46</f>
        <v>14800</v>
      </c>
      <c r="T44" s="35">
        <f t="shared" si="68"/>
        <v>15580</v>
      </c>
      <c r="U44" s="35">
        <f t="shared" si="68"/>
        <v>16185</v>
      </c>
      <c r="V44" s="35">
        <f t="shared" si="68"/>
        <v>16800</v>
      </c>
      <c r="W44" s="275">
        <f>SUM(S44:V44)</f>
        <v>63365</v>
      </c>
    </row>
    <row r="45" spans="1:25" s="61" customFormat="1" ht="14.55" customHeight="1" outlineLevel="1" x14ac:dyDescent="0.45">
      <c r="B45" s="195" t="s">
        <v>156</v>
      </c>
      <c r="C45" s="196"/>
      <c r="D45" s="211">
        <v>184</v>
      </c>
      <c r="E45" s="211">
        <v>197</v>
      </c>
      <c r="F45" s="211">
        <v>199</v>
      </c>
      <c r="G45" s="211">
        <v>182</v>
      </c>
      <c r="H45" s="212">
        <f>SUM(D45:G45)</f>
        <v>762</v>
      </c>
      <c r="I45" s="211">
        <v>176</v>
      </c>
      <c r="J45" s="211">
        <v>199</v>
      </c>
      <c r="K45" s="211">
        <v>188</v>
      </c>
      <c r="L45" s="211">
        <v>185</v>
      </c>
      <c r="M45" s="212">
        <f>SUM(I45:L45)</f>
        <v>748</v>
      </c>
      <c r="N45" s="211">
        <v>169</v>
      </c>
      <c r="O45" s="211">
        <v>183</v>
      </c>
      <c r="P45" s="213">
        <v>200</v>
      </c>
      <c r="Q45" s="213">
        <v>208</v>
      </c>
      <c r="R45" s="286">
        <f>SUM(N45:Q45)</f>
        <v>760</v>
      </c>
      <c r="S45" s="213">
        <v>185</v>
      </c>
      <c r="T45" s="213">
        <v>190</v>
      </c>
      <c r="U45" s="213">
        <v>195</v>
      </c>
      <c r="V45" s="213">
        <v>200</v>
      </c>
      <c r="W45" s="212">
        <f>SUM(S45:V45)</f>
        <v>770</v>
      </c>
    </row>
    <row r="46" spans="1:25" s="61" customFormat="1" ht="14.55" customHeight="1" outlineLevel="1" x14ac:dyDescent="0.3">
      <c r="B46" s="334" t="s">
        <v>159</v>
      </c>
      <c r="C46" s="335"/>
      <c r="D46" s="36">
        <f t="shared" ref="D46:I46" si="69">D44/D45</f>
        <v>83.592391304347828</v>
      </c>
      <c r="E46" s="36">
        <f t="shared" si="69"/>
        <v>85.670050761421322</v>
      </c>
      <c r="F46" s="36">
        <f t="shared" si="69"/>
        <v>88.904522613065325</v>
      </c>
      <c r="G46" s="36">
        <f t="shared" si="69"/>
        <v>88.450549450549445</v>
      </c>
      <c r="H46" s="27">
        <f t="shared" si="69"/>
        <v>86.677165354330711</v>
      </c>
      <c r="I46" s="36">
        <f t="shared" si="69"/>
        <v>81.8125</v>
      </c>
      <c r="J46" s="36">
        <f>J44/J45</f>
        <v>87.718592964824126</v>
      </c>
      <c r="K46" s="36">
        <f t="shared" ref="K46" si="70">K44/K45</f>
        <v>90.281914893617028</v>
      </c>
      <c r="L46" s="36">
        <f>L44/L45</f>
        <v>87.789189189189187</v>
      </c>
      <c r="M46" s="27">
        <f>M44/M45</f>
        <v>86.990641711229941</v>
      </c>
      <c r="N46" s="36">
        <f t="shared" ref="N46:O46" si="71">N44/N45</f>
        <v>84.644970414201183</v>
      </c>
      <c r="O46" s="36">
        <f t="shared" si="71"/>
        <v>85.863387978142072</v>
      </c>
      <c r="P46" s="171">
        <v>82</v>
      </c>
      <c r="Q46" s="171">
        <v>82</v>
      </c>
      <c r="R46" s="275">
        <f>R44/R45</f>
        <v>83.518421052631581</v>
      </c>
      <c r="S46" s="171">
        <v>80</v>
      </c>
      <c r="T46" s="171">
        <v>82</v>
      </c>
      <c r="U46" s="171">
        <v>83</v>
      </c>
      <c r="V46" s="171">
        <v>84</v>
      </c>
      <c r="W46" s="275">
        <v>84</v>
      </c>
    </row>
    <row r="47" spans="1:25" s="61" customFormat="1" ht="14.55" customHeight="1" outlineLevel="1" x14ac:dyDescent="0.3">
      <c r="B47" s="195" t="s">
        <v>157</v>
      </c>
      <c r="C47" s="196"/>
      <c r="D47" s="36">
        <v>1617</v>
      </c>
      <c r="E47" s="36">
        <v>1206</v>
      </c>
      <c r="F47" s="36">
        <v>1768</v>
      </c>
      <c r="G47" s="36">
        <v>566</v>
      </c>
      <c r="H47" s="27">
        <f>SUM(D47:G47)</f>
        <v>5157</v>
      </c>
      <c r="I47" s="36">
        <v>1033</v>
      </c>
      <c r="J47" s="36">
        <v>-973</v>
      </c>
      <c r="K47" s="35">
        <v>1597</v>
      </c>
      <c r="L47" s="266">
        <f>M47-SUM(I47:K47)</f>
        <v>1473</v>
      </c>
      <c r="M47" s="122">
        <v>3130</v>
      </c>
      <c r="N47" s="35">
        <v>1215</v>
      </c>
      <c r="O47" s="35">
        <v>1567</v>
      </c>
      <c r="P47" s="35">
        <f t="shared" ref="P47" si="72">P44*P48</f>
        <v>1738.3999999999999</v>
      </c>
      <c r="Q47" s="35">
        <f>Q44*Q48</f>
        <v>1807.9359999999999</v>
      </c>
      <c r="R47" s="27">
        <f>SUM(N47:Q47)</f>
        <v>6328.3359999999993</v>
      </c>
      <c r="S47" s="35">
        <f t="shared" ref="S47:V47" si="73">S44*S48</f>
        <v>1450.4</v>
      </c>
      <c r="T47" s="35">
        <f t="shared" si="73"/>
        <v>1526.8400000000001</v>
      </c>
      <c r="U47" s="35">
        <f t="shared" si="73"/>
        <v>1586.13</v>
      </c>
      <c r="V47" s="35">
        <f t="shared" si="73"/>
        <v>1646.4</v>
      </c>
      <c r="W47" s="275">
        <f>SUM(S47:V47)</f>
        <v>6209.77</v>
      </c>
    </row>
    <row r="48" spans="1:25" s="61" customFormat="1" ht="14.55" customHeight="1" outlineLevel="1" x14ac:dyDescent="0.3">
      <c r="B48" s="217" t="s">
        <v>158</v>
      </c>
      <c r="C48" s="218"/>
      <c r="D48" s="43">
        <f t="shared" ref="D48:I48" si="74">D47/D44</f>
        <v>0.10512970548078798</v>
      </c>
      <c r="E48" s="43">
        <f t="shared" si="74"/>
        <v>7.1458197546957397E-2</v>
      </c>
      <c r="F48" s="43">
        <f t="shared" si="74"/>
        <v>9.9932172733438837E-2</v>
      </c>
      <c r="G48" s="43">
        <f t="shared" si="74"/>
        <v>3.5159647161138029E-2</v>
      </c>
      <c r="H48" s="67">
        <f t="shared" si="74"/>
        <v>7.8079578488372089E-2</v>
      </c>
      <c r="I48" s="43">
        <f t="shared" si="74"/>
        <v>7.1741093131467468E-2</v>
      </c>
      <c r="J48" s="43">
        <f t="shared" ref="J48:O48" si="75">J47/J44</f>
        <v>-5.574014665444546E-2</v>
      </c>
      <c r="K48" s="43">
        <f t="shared" si="75"/>
        <v>9.4090614505390913E-2</v>
      </c>
      <c r="L48" s="231">
        <f t="shared" si="75"/>
        <v>9.0696385690536299E-2</v>
      </c>
      <c r="M48" s="231">
        <f t="shared" si="75"/>
        <v>4.8102783199372973E-2</v>
      </c>
      <c r="N48" s="43">
        <f t="shared" si="75"/>
        <v>8.4935337294652219E-2</v>
      </c>
      <c r="O48" s="43">
        <f t="shared" si="75"/>
        <v>9.9726341246101954E-2</v>
      </c>
      <c r="P48" s="219">
        <v>0.106</v>
      </c>
      <c r="Q48" s="219">
        <v>0.106</v>
      </c>
      <c r="R48" s="287">
        <f>R47/R44</f>
        <v>9.9699656552289115E-2</v>
      </c>
      <c r="S48" s="219">
        <v>9.8000000000000004E-2</v>
      </c>
      <c r="T48" s="219">
        <v>9.8000000000000004E-2</v>
      </c>
      <c r="U48" s="219">
        <v>9.8000000000000004E-2</v>
      </c>
      <c r="V48" s="219">
        <v>9.8000000000000004E-2</v>
      </c>
      <c r="W48" s="301">
        <f>AVERAGE(S48:V48)</f>
        <v>9.8000000000000004E-2</v>
      </c>
    </row>
    <row r="49" spans="2:23" s="61" customFormat="1" ht="14.55" customHeight="1" x14ac:dyDescent="0.3">
      <c r="B49" s="354" t="s">
        <v>160</v>
      </c>
      <c r="C49" s="355"/>
      <c r="D49" s="36"/>
      <c r="E49" s="36"/>
      <c r="F49" s="36"/>
      <c r="G49" s="36"/>
      <c r="H49" s="27"/>
      <c r="I49" s="36"/>
      <c r="J49" s="36"/>
      <c r="K49" s="35"/>
      <c r="L49" s="266"/>
      <c r="M49" s="122"/>
      <c r="N49" s="35"/>
      <c r="O49" s="35"/>
      <c r="P49" s="35"/>
      <c r="Q49" s="35"/>
      <c r="R49" s="27"/>
      <c r="S49" s="35"/>
      <c r="T49" s="35"/>
      <c r="U49" s="35"/>
      <c r="V49" s="35"/>
      <c r="W49" s="275"/>
    </row>
    <row r="50" spans="2:23" s="61" customFormat="1" ht="14.55" customHeight="1" outlineLevel="1" x14ac:dyDescent="0.3">
      <c r="B50" s="109" t="s">
        <v>165</v>
      </c>
      <c r="C50" s="78"/>
      <c r="D50" s="36">
        <v>2726</v>
      </c>
      <c r="E50" s="36">
        <v>3474</v>
      </c>
      <c r="F50" s="36">
        <v>4051</v>
      </c>
      <c r="G50" s="122">
        <v>3199</v>
      </c>
      <c r="H50" s="27">
        <v>13482</v>
      </c>
      <c r="I50" s="36">
        <v>3659</v>
      </c>
      <c r="J50" s="36">
        <f>2979</f>
        <v>2979</v>
      </c>
      <c r="K50" s="36">
        <v>3260</v>
      </c>
      <c r="L50" s="122">
        <f>M50-SUM(I50:K50)</f>
        <v>2617</v>
      </c>
      <c r="M50" s="122">
        <v>12515</v>
      </c>
      <c r="N50" s="36">
        <v>2636</v>
      </c>
      <c r="O50" s="36">
        <v>2904</v>
      </c>
      <c r="P50" s="36">
        <f>O50*(1+P51)</f>
        <v>3020.1600000000003</v>
      </c>
      <c r="Q50" s="36">
        <f>P50*(1+Q51)</f>
        <v>3140.9664000000002</v>
      </c>
      <c r="R50" s="285">
        <f>SUM(N50:Q50)</f>
        <v>11701.126400000001</v>
      </c>
      <c r="S50" s="36">
        <f>Q50*(1+S51)</f>
        <v>3140.9664000000002</v>
      </c>
      <c r="T50" s="36">
        <f>S50*(1+T51)</f>
        <v>3140.9664000000002</v>
      </c>
      <c r="U50" s="36">
        <f>T50*(1+U51)</f>
        <v>3140.9664000000002</v>
      </c>
      <c r="V50" s="36">
        <f>U50*(1+V51)</f>
        <v>3140.9664000000002</v>
      </c>
      <c r="W50" s="27">
        <f>SUM(S50:V50)</f>
        <v>12563.865600000001</v>
      </c>
    </row>
    <row r="51" spans="2:23" s="61" customFormat="1" ht="14.55" customHeight="1" outlineLevel="1" x14ac:dyDescent="0.3">
      <c r="B51" s="160" t="s">
        <v>161</v>
      </c>
      <c r="C51" s="161"/>
      <c r="D51" s="36"/>
      <c r="E51" s="214">
        <f>(E50/D50)-1</f>
        <v>0.27439471753484956</v>
      </c>
      <c r="F51" s="214">
        <f t="shared" ref="F51:G51" si="76">(F50/E50)-1</f>
        <v>0.16609096142774904</v>
      </c>
      <c r="G51" s="215">
        <f t="shared" si="76"/>
        <v>-0.21031843989138488</v>
      </c>
      <c r="H51" s="216"/>
      <c r="I51" s="214">
        <f>(I50/G50)-1</f>
        <v>0.14379493591747416</v>
      </c>
      <c r="J51" s="214">
        <f>(J50/I50)-1</f>
        <v>-0.18584312653730528</v>
      </c>
      <c r="K51" s="214">
        <f>(K50/J50)-1</f>
        <v>9.4326955354145703E-2</v>
      </c>
      <c r="L51" s="215">
        <f>(L50/K50)-1</f>
        <v>-0.19723926380368095</v>
      </c>
      <c r="M51" s="215"/>
      <c r="N51" s="214">
        <f>(N50/L50)-1</f>
        <v>7.260221627818142E-3</v>
      </c>
      <c r="O51" s="214">
        <f>(O50/N50)-1</f>
        <v>0.1016691957511382</v>
      </c>
      <c r="P51" s="261">
        <v>0.04</v>
      </c>
      <c r="Q51" s="261">
        <v>0.04</v>
      </c>
      <c r="R51" s="277"/>
      <c r="S51" s="261">
        <v>0</v>
      </c>
      <c r="T51" s="261">
        <v>0</v>
      </c>
      <c r="U51" s="261">
        <v>0</v>
      </c>
      <c r="V51" s="261">
        <v>0</v>
      </c>
      <c r="W51" s="277"/>
    </row>
    <row r="52" spans="2:23" s="61" customFormat="1" ht="14.55" customHeight="1" outlineLevel="1" x14ac:dyDescent="0.3">
      <c r="B52" s="195" t="s">
        <v>164</v>
      </c>
      <c r="C52" s="196"/>
      <c r="D52" s="36">
        <v>259</v>
      </c>
      <c r="E52" s="36">
        <v>121</v>
      </c>
      <c r="F52" s="36">
        <v>496</v>
      </c>
      <c r="G52" s="122">
        <v>438</v>
      </c>
      <c r="H52" s="27">
        <v>1318</v>
      </c>
      <c r="I52" s="36">
        <v>334</v>
      </c>
      <c r="J52" s="36">
        <v>175</v>
      </c>
      <c r="K52" s="36">
        <v>434</v>
      </c>
      <c r="L52" s="122">
        <f>M52-SUM(I52:K52)</f>
        <v>288</v>
      </c>
      <c r="M52" s="122">
        <v>1231</v>
      </c>
      <c r="N52" s="36">
        <v>321</v>
      </c>
      <c r="O52" s="36">
        <v>382</v>
      </c>
      <c r="P52" s="36">
        <f t="shared" ref="P52:Q52" si="77">P50*P53</f>
        <v>365.43936000000002</v>
      </c>
      <c r="Q52" s="36">
        <f t="shared" si="77"/>
        <v>380.05693440000005</v>
      </c>
      <c r="R52" s="27">
        <f>SUM(N52:Q52)</f>
        <v>1448.4962944000001</v>
      </c>
      <c r="S52" s="36">
        <f>S50*S53</f>
        <v>376.91596800000002</v>
      </c>
      <c r="T52" s="36">
        <f t="shared" ref="T52:W52" si="78">T50*T53</f>
        <v>376.91596800000002</v>
      </c>
      <c r="U52" s="36">
        <f t="shared" si="78"/>
        <v>376.91596800000002</v>
      </c>
      <c r="V52" s="36">
        <f t="shared" si="78"/>
        <v>376.91596800000002</v>
      </c>
      <c r="W52" s="27">
        <f t="shared" si="78"/>
        <v>1507.6638720000001</v>
      </c>
    </row>
    <row r="53" spans="2:23" s="61" customFormat="1" ht="14.55" customHeight="1" outlineLevel="1" x14ac:dyDescent="0.3">
      <c r="B53" s="217" t="s">
        <v>168</v>
      </c>
      <c r="C53" s="218"/>
      <c r="D53" s="43">
        <f>D52/D50</f>
        <v>9.5011005135730006E-2</v>
      </c>
      <c r="E53" s="220">
        <f t="shared" ref="E53:I53" si="79">E52/E50</f>
        <v>3.4830166954519286E-2</v>
      </c>
      <c r="F53" s="220">
        <f t="shared" si="79"/>
        <v>0.12243890397432733</v>
      </c>
      <c r="G53" s="221">
        <f t="shared" si="79"/>
        <v>0.13691778680837763</v>
      </c>
      <c r="H53" s="222">
        <f>H52/H50</f>
        <v>9.7759976264649162E-2</v>
      </c>
      <c r="I53" s="220">
        <f t="shared" si="79"/>
        <v>9.1281770975676413E-2</v>
      </c>
      <c r="J53" s="220">
        <f>J52/J50</f>
        <v>5.8744545149378984E-2</v>
      </c>
      <c r="K53" s="220">
        <f t="shared" ref="K53:O53" si="80">K52/K50</f>
        <v>0.13312883435582823</v>
      </c>
      <c r="L53" s="221">
        <f t="shared" si="80"/>
        <v>0.11004967520061139</v>
      </c>
      <c r="M53" s="221">
        <f>M52/M50</f>
        <v>9.8361965641230523E-2</v>
      </c>
      <c r="N53" s="220">
        <f t="shared" si="80"/>
        <v>0.12177541729893779</v>
      </c>
      <c r="O53" s="220">
        <f t="shared" si="80"/>
        <v>0.1315426997245179</v>
      </c>
      <c r="P53" s="278">
        <v>0.121</v>
      </c>
      <c r="Q53" s="278">
        <v>0.121</v>
      </c>
      <c r="R53" s="288">
        <f>R52/R50</f>
        <v>0.12379118427436182</v>
      </c>
      <c r="S53" s="278">
        <v>0.12</v>
      </c>
      <c r="T53" s="278">
        <v>0.12</v>
      </c>
      <c r="U53" s="278">
        <v>0.12</v>
      </c>
      <c r="V53" s="278">
        <v>0.12</v>
      </c>
      <c r="W53" s="302">
        <v>0.12</v>
      </c>
    </row>
    <row r="54" spans="2:23" s="61" customFormat="1" ht="14.55" customHeight="1" outlineLevel="1" x14ac:dyDescent="0.3">
      <c r="B54" s="195" t="s">
        <v>170</v>
      </c>
      <c r="C54" s="196"/>
      <c r="D54" s="36">
        <v>1732</v>
      </c>
      <c r="E54" s="36">
        <v>1938</v>
      </c>
      <c r="F54" s="36">
        <v>2127</v>
      </c>
      <c r="G54" s="122">
        <v>1954</v>
      </c>
      <c r="H54" s="27">
        <f>SUM(D54:G54)</f>
        <v>7751</v>
      </c>
      <c r="I54" s="36">
        <v>1735</v>
      </c>
      <c r="J54" s="36">
        <v>1810</v>
      </c>
      <c r="K54" s="36">
        <v>1701</v>
      </c>
      <c r="L54" s="122">
        <f>M54-SUM(I54:K54)</f>
        <v>1800</v>
      </c>
      <c r="M54" s="122">
        <v>7046</v>
      </c>
      <c r="N54" s="36">
        <v>1564</v>
      </c>
      <c r="O54" s="36">
        <v>1674</v>
      </c>
      <c r="P54" s="36">
        <f>O54*(1+P55)</f>
        <v>1791.18</v>
      </c>
      <c r="Q54" s="36">
        <f>P54*(1+Q55)</f>
        <v>1916.5626000000002</v>
      </c>
      <c r="R54" s="285">
        <f>SUM(N54:Q54)</f>
        <v>6945.7426000000005</v>
      </c>
      <c r="S54" s="36">
        <f>Q54*(1+S55)</f>
        <v>1897.3969740000002</v>
      </c>
      <c r="T54" s="36">
        <f>S54*(1+T55)</f>
        <v>1878.4230042600002</v>
      </c>
      <c r="U54" s="36">
        <f>T54*(1+U55)</f>
        <v>1859.6387742174002</v>
      </c>
      <c r="V54" s="36">
        <f>U54*(1+V55)</f>
        <v>1841.0423864752261</v>
      </c>
      <c r="W54" s="27">
        <f>SUM(S54:V54)</f>
        <v>7476.5011389526262</v>
      </c>
    </row>
    <row r="55" spans="2:23" s="61" customFormat="1" ht="14.55" customHeight="1" outlineLevel="1" x14ac:dyDescent="0.3">
      <c r="B55" s="195" t="s">
        <v>162</v>
      </c>
      <c r="C55" s="196"/>
      <c r="D55" s="36"/>
      <c r="E55" s="214">
        <f>(E54/D54)-1</f>
        <v>0.11893764434180132</v>
      </c>
      <c r="F55" s="214">
        <f t="shared" ref="F55" si="81">(F54/E54)-1</f>
        <v>9.7523219814241502E-2</v>
      </c>
      <c r="G55" s="215">
        <f t="shared" ref="G55" si="82">(G54/F54)-1</f>
        <v>-8.1335213916314042E-2</v>
      </c>
      <c r="H55" s="216"/>
      <c r="I55" s="214">
        <f>(I54/G54)-1</f>
        <v>-0.11207778915046063</v>
      </c>
      <c r="J55" s="214">
        <f>(J54/I54)-1</f>
        <v>4.3227665706051965E-2</v>
      </c>
      <c r="K55" s="214">
        <f t="shared" ref="K55:L55" si="83">(K54/J54)-1</f>
        <v>-6.0220994475138068E-2</v>
      </c>
      <c r="L55" s="215">
        <f t="shared" si="83"/>
        <v>5.8201058201058142E-2</v>
      </c>
      <c r="M55" s="215"/>
      <c r="N55" s="214">
        <f>(N54/L54)-1</f>
        <v>-0.13111111111111107</v>
      </c>
      <c r="O55" s="214">
        <f>(O54/N54)-1</f>
        <v>7.0332480818414256E-2</v>
      </c>
      <c r="P55" s="224">
        <v>7.0000000000000007E-2</v>
      </c>
      <c r="Q55" s="224">
        <v>7.0000000000000007E-2</v>
      </c>
      <c r="R55" s="216"/>
      <c r="S55" s="224">
        <v>-0.01</v>
      </c>
      <c r="T55" s="224">
        <v>-0.01</v>
      </c>
      <c r="U55" s="224">
        <v>-0.01</v>
      </c>
      <c r="V55" s="224">
        <v>-0.01</v>
      </c>
      <c r="W55" s="216"/>
    </row>
    <row r="56" spans="2:23" s="61" customFormat="1" ht="14.55" customHeight="1" outlineLevel="1" x14ac:dyDescent="0.3">
      <c r="B56" s="195" t="s">
        <v>166</v>
      </c>
      <c r="C56" s="196"/>
      <c r="D56" s="36">
        <v>167</v>
      </c>
      <c r="E56" s="36">
        <v>151</v>
      </c>
      <c r="F56" s="36">
        <v>245</v>
      </c>
      <c r="G56" s="122">
        <v>163</v>
      </c>
      <c r="H56" s="27">
        <f>SUM(D56:G56)</f>
        <v>726</v>
      </c>
      <c r="I56" s="36">
        <v>148</v>
      </c>
      <c r="J56" s="36">
        <v>153</v>
      </c>
      <c r="K56" s="36">
        <v>35</v>
      </c>
      <c r="L56" s="122">
        <f>M56-SUM(I56:K56)</f>
        <v>157</v>
      </c>
      <c r="M56" s="122">
        <v>493</v>
      </c>
      <c r="N56" s="36">
        <v>98</v>
      </c>
      <c r="O56" s="36">
        <v>152</v>
      </c>
      <c r="P56" s="36">
        <f t="shared" ref="P56" si="84">P54*P57</f>
        <v>152.25030000000001</v>
      </c>
      <c r="Q56" s="36">
        <f t="shared" ref="Q56" si="85">Q54*Q57</f>
        <v>162.90782100000004</v>
      </c>
      <c r="R56" s="27">
        <f>SUM(N56:Q56)</f>
        <v>565.15812100000005</v>
      </c>
      <c r="S56" s="36">
        <f t="shared" ref="S56:W56" si="86">S54*S57</f>
        <v>170.76572766000001</v>
      </c>
      <c r="T56" s="36">
        <f t="shared" si="86"/>
        <v>169.05807038340001</v>
      </c>
      <c r="U56" s="36">
        <f t="shared" si="86"/>
        <v>169.22712845378342</v>
      </c>
      <c r="V56" s="36">
        <f t="shared" si="86"/>
        <v>167.53485716924556</v>
      </c>
      <c r="W56" s="27">
        <f t="shared" si="86"/>
        <v>680.36160364468901</v>
      </c>
    </row>
    <row r="57" spans="2:23" s="61" customFormat="1" ht="14.55" customHeight="1" outlineLevel="1" x14ac:dyDescent="0.3">
      <c r="B57" s="217" t="s">
        <v>167</v>
      </c>
      <c r="C57" s="218"/>
      <c r="D57" s="43">
        <f>D56/D54</f>
        <v>9.6420323325635104E-2</v>
      </c>
      <c r="E57" s="220">
        <f t="shared" ref="E57" si="87">E56/E54</f>
        <v>7.7915376676986586E-2</v>
      </c>
      <c r="F57" s="220">
        <f t="shared" ref="F57" si="88">F56/F54</f>
        <v>0.1151857075693465</v>
      </c>
      <c r="G57" s="221">
        <f t="shared" ref="G57" si="89">G56/G54</f>
        <v>8.3418628454452401E-2</v>
      </c>
      <c r="H57" s="222">
        <f t="shared" ref="H57" si="90">H56/H54</f>
        <v>9.3665333505354151E-2</v>
      </c>
      <c r="I57" s="220">
        <f t="shared" ref="I57" si="91">I56/I54</f>
        <v>8.5302593659942361E-2</v>
      </c>
      <c r="J57" s="220">
        <f t="shared" ref="J57:K57" si="92">J56/J54</f>
        <v>8.453038674033149E-2</v>
      </c>
      <c r="K57" s="220">
        <f t="shared" si="92"/>
        <v>2.0576131687242798E-2</v>
      </c>
      <c r="L57" s="221">
        <f>L56/L54</f>
        <v>8.7222222222222229E-2</v>
      </c>
      <c r="M57" s="221">
        <f>M56/M54</f>
        <v>6.9968776610843025E-2</v>
      </c>
      <c r="N57" s="220">
        <f t="shared" ref="N57" si="93">N56/N54</f>
        <v>6.2659846547314574E-2</v>
      </c>
      <c r="O57" s="220">
        <f>O56/O54</f>
        <v>9.0800477897252097E-2</v>
      </c>
      <c r="P57" s="278">
        <v>8.5000000000000006E-2</v>
      </c>
      <c r="Q57" s="223">
        <v>8.5000000000000006E-2</v>
      </c>
      <c r="R57" s="288">
        <f>R56/R54</f>
        <v>8.1367559028173608E-2</v>
      </c>
      <c r="S57" s="278">
        <v>0.09</v>
      </c>
      <c r="T57" s="278">
        <v>0.09</v>
      </c>
      <c r="U57" s="278">
        <v>9.0999999999999998E-2</v>
      </c>
      <c r="V57" s="278">
        <v>9.0999999999999998E-2</v>
      </c>
      <c r="W57" s="302">
        <v>9.0999999999999998E-2</v>
      </c>
    </row>
    <row r="58" spans="2:23" s="61" customFormat="1" ht="14.55" customHeight="1" outlineLevel="1" x14ac:dyDescent="0.3">
      <c r="B58" s="195" t="s">
        <v>169</v>
      </c>
      <c r="C58" s="196"/>
      <c r="D58" s="36">
        <v>2251</v>
      </c>
      <c r="E58" s="36">
        <v>2132</v>
      </c>
      <c r="F58" s="36">
        <v>2172</v>
      </c>
      <c r="G58" s="122">
        <v>2632</v>
      </c>
      <c r="H58" s="27">
        <v>9155</v>
      </c>
      <c r="I58" s="36">
        <v>2562</v>
      </c>
      <c r="J58" s="36">
        <v>2385</v>
      </c>
      <c r="K58" s="36">
        <v>2547</v>
      </c>
      <c r="L58" s="122">
        <f>M58-SUM(I58:K58)</f>
        <v>2443</v>
      </c>
      <c r="M58" s="122">
        <v>9937</v>
      </c>
      <c r="N58" s="36">
        <v>2332</v>
      </c>
      <c r="O58" s="36">
        <v>2308</v>
      </c>
      <c r="P58" s="36">
        <f>O58*(1+P59)</f>
        <v>2469.56</v>
      </c>
      <c r="Q58" s="36">
        <f>P58*(1+Q59)</f>
        <v>2642.4292</v>
      </c>
      <c r="R58" s="285">
        <f>SUM(N58:Q58)</f>
        <v>9751.9892</v>
      </c>
      <c r="S58" s="36">
        <f>Q58*(1+S59)</f>
        <v>2668.8534920000002</v>
      </c>
      <c r="T58" s="36">
        <f>S58*(1+T59)</f>
        <v>2695.5420269200004</v>
      </c>
      <c r="U58" s="36">
        <f>T58*(1+U59)</f>
        <v>2722.4974471892006</v>
      </c>
      <c r="V58" s="36">
        <f>U58*(1+V59)</f>
        <v>2749.7224216610925</v>
      </c>
      <c r="W58" s="27">
        <f>SUM(S58:V58)</f>
        <v>10836.615387770293</v>
      </c>
    </row>
    <row r="59" spans="2:23" s="61" customFormat="1" ht="14.55" customHeight="1" outlineLevel="1" x14ac:dyDescent="0.3">
      <c r="B59" s="195" t="s">
        <v>163</v>
      </c>
      <c r="C59" s="196"/>
      <c r="D59" s="36"/>
      <c r="E59" s="214">
        <f>(E58/D58)-1</f>
        <v>-5.2865393158596174E-2</v>
      </c>
      <c r="F59" s="214">
        <f t="shared" ref="F59" si="94">(F58/E58)-1</f>
        <v>1.8761726078799335E-2</v>
      </c>
      <c r="G59" s="215">
        <f t="shared" ref="G59" si="95">(G58/F58)-1</f>
        <v>0.2117863720073665</v>
      </c>
      <c r="H59" s="216"/>
      <c r="I59" s="214">
        <f>(I58/G58)-1</f>
        <v>-2.6595744680851019E-2</v>
      </c>
      <c r="J59" s="214">
        <f>(J58/I58)-1</f>
        <v>-6.9086651053864134E-2</v>
      </c>
      <c r="K59" s="214">
        <f t="shared" ref="K59:L59" si="96">(K58/J58)-1</f>
        <v>6.7924528301886777E-2</v>
      </c>
      <c r="L59" s="215">
        <f t="shared" si="96"/>
        <v>-4.0832351786415422E-2</v>
      </c>
      <c r="M59" s="215"/>
      <c r="N59" s="214">
        <f>(N58/L58)-1</f>
        <v>-4.5435939418747462E-2</v>
      </c>
      <c r="O59" s="214">
        <f>(O58/N58)-1</f>
        <v>-1.0291595197255532E-2</v>
      </c>
      <c r="P59" s="261">
        <v>7.0000000000000007E-2</v>
      </c>
      <c r="Q59" s="224">
        <v>7.0000000000000007E-2</v>
      </c>
      <c r="R59" s="216"/>
      <c r="S59" s="261">
        <v>0.01</v>
      </c>
      <c r="T59" s="261">
        <v>0.01</v>
      </c>
      <c r="U59" s="261">
        <v>0.01</v>
      </c>
      <c r="V59" s="261">
        <v>0.01</v>
      </c>
      <c r="W59" s="277"/>
    </row>
    <row r="60" spans="2:23" s="61" customFormat="1" ht="14.55" customHeight="1" outlineLevel="1" x14ac:dyDescent="0.3">
      <c r="B60" s="195" t="s">
        <v>171</v>
      </c>
      <c r="C60" s="196"/>
      <c r="D60" s="36">
        <v>317</v>
      </c>
      <c r="E60" s="36">
        <v>274</v>
      </c>
      <c r="F60" s="36">
        <v>281</v>
      </c>
      <c r="G60" s="122">
        <v>362</v>
      </c>
      <c r="H60" s="27">
        <v>1230</v>
      </c>
      <c r="I60" s="36">
        <v>340</v>
      </c>
      <c r="J60" s="36">
        <v>265</v>
      </c>
      <c r="K60" s="36">
        <v>315</v>
      </c>
      <c r="L60" s="122">
        <f>M60-SUM(I60:K60)</f>
        <v>364</v>
      </c>
      <c r="M60" s="122">
        <v>1284</v>
      </c>
      <c r="N60" s="36">
        <v>318</v>
      </c>
      <c r="O60" s="36">
        <v>356</v>
      </c>
      <c r="P60" s="36">
        <f t="shared" ref="P60" si="97">P58*P61</f>
        <v>321.0428</v>
      </c>
      <c r="Q60" s="36">
        <f t="shared" ref="Q60" si="98">Q58*Q61</f>
        <v>343.51579600000002</v>
      </c>
      <c r="R60" s="27">
        <f>SUM(N60:Q60)</f>
        <v>1338.5585959999999</v>
      </c>
      <c r="S60" s="36">
        <f t="shared" ref="S60:W60" si="99">S58*S61</f>
        <v>346.95095396000005</v>
      </c>
      <c r="T60" s="36">
        <f t="shared" si="99"/>
        <v>350.42046349960003</v>
      </c>
      <c r="U60" s="36">
        <f t="shared" si="99"/>
        <v>353.92466813459606</v>
      </c>
      <c r="V60" s="36">
        <f t="shared" si="99"/>
        <v>357.46391481594202</v>
      </c>
      <c r="W60" s="27">
        <f t="shared" si="99"/>
        <v>1408.760000410138</v>
      </c>
    </row>
    <row r="61" spans="2:23" s="61" customFormat="1" ht="14.55" customHeight="1" outlineLevel="1" x14ac:dyDescent="0.3">
      <c r="B61" s="217" t="s">
        <v>172</v>
      </c>
      <c r="C61" s="218"/>
      <c r="D61" s="43">
        <f>D60/D58</f>
        <v>0.1408262994224789</v>
      </c>
      <c r="E61" s="220">
        <f t="shared" ref="E61" si="100">E60/E58</f>
        <v>0.12851782363977485</v>
      </c>
      <c r="F61" s="220">
        <f t="shared" ref="F61" si="101">F60/F58</f>
        <v>0.12937384898710866</v>
      </c>
      <c r="G61" s="221">
        <f t="shared" ref="G61" si="102">G60/G58</f>
        <v>0.13753799392097266</v>
      </c>
      <c r="H61" s="222">
        <f t="shared" ref="H61" si="103">H60/H58</f>
        <v>0.13435281267067176</v>
      </c>
      <c r="I61" s="220">
        <f t="shared" ref="I61" si="104">I60/I58</f>
        <v>0.13270882123341141</v>
      </c>
      <c r="J61" s="220">
        <f t="shared" ref="J61:O61" si="105">J60/J58</f>
        <v>0.1111111111111111</v>
      </c>
      <c r="K61" s="220">
        <f t="shared" si="105"/>
        <v>0.12367491166077739</v>
      </c>
      <c r="L61" s="221">
        <f t="shared" si="105"/>
        <v>0.14899713467048711</v>
      </c>
      <c r="M61" s="220">
        <f t="shared" si="105"/>
        <v>0.12921404850558518</v>
      </c>
      <c r="N61" s="311">
        <f t="shared" si="105"/>
        <v>0.13636363636363635</v>
      </c>
      <c r="O61" s="220">
        <f t="shared" si="105"/>
        <v>0.15424610051993068</v>
      </c>
      <c r="P61" s="223">
        <v>0.13</v>
      </c>
      <c r="Q61" s="223">
        <v>0.13</v>
      </c>
      <c r="R61" s="288">
        <f>R60/R58</f>
        <v>0.13726005726093296</v>
      </c>
      <c r="S61" s="223">
        <v>0.13</v>
      </c>
      <c r="T61" s="223">
        <v>0.13</v>
      </c>
      <c r="U61" s="223">
        <v>0.13</v>
      </c>
      <c r="V61" s="223">
        <v>0.13</v>
      </c>
      <c r="W61" s="222">
        <v>0.13</v>
      </c>
    </row>
    <row r="62" spans="2:23" s="61" customFormat="1" ht="14.55" customHeight="1" outlineLevel="1" x14ac:dyDescent="0.3">
      <c r="B62" s="225" t="s">
        <v>173</v>
      </c>
      <c r="C62" s="226"/>
      <c r="D62" s="227">
        <f>D50+D54+D58</f>
        <v>6709</v>
      </c>
      <c r="E62" s="227">
        <f t="shared" ref="E62:Q62" si="106">E50+E54+E58</f>
        <v>7544</v>
      </c>
      <c r="F62" s="227">
        <f t="shared" si="106"/>
        <v>8350</v>
      </c>
      <c r="G62" s="228">
        <f t="shared" si="106"/>
        <v>7785</v>
      </c>
      <c r="H62" s="228">
        <f t="shared" si="106"/>
        <v>30388</v>
      </c>
      <c r="I62" s="227">
        <f t="shared" si="106"/>
        <v>7956</v>
      </c>
      <c r="J62" s="227">
        <f t="shared" si="106"/>
        <v>7174</v>
      </c>
      <c r="K62" s="227">
        <f t="shared" si="106"/>
        <v>7508</v>
      </c>
      <c r="L62" s="228">
        <f t="shared" si="106"/>
        <v>6860</v>
      </c>
      <c r="M62" s="228">
        <f t="shared" si="106"/>
        <v>29498</v>
      </c>
      <c r="N62" s="227">
        <f>N50+N54+N58</f>
        <v>6532</v>
      </c>
      <c r="O62" s="36">
        <f t="shared" si="106"/>
        <v>6886</v>
      </c>
      <c r="P62" s="227">
        <f t="shared" si="106"/>
        <v>7280.9</v>
      </c>
      <c r="Q62" s="227">
        <f t="shared" si="106"/>
        <v>7699.9582000000009</v>
      </c>
      <c r="R62" s="229">
        <f>R50+R54+R58</f>
        <v>28398.858200000002</v>
      </c>
      <c r="S62" s="227">
        <f t="shared" ref="S62:V62" si="107">S50+S54+S58</f>
        <v>7707.2168660000007</v>
      </c>
      <c r="T62" s="227">
        <f t="shared" si="107"/>
        <v>7714.9314311800008</v>
      </c>
      <c r="U62" s="227">
        <f t="shared" si="107"/>
        <v>7723.1026214066005</v>
      </c>
      <c r="V62" s="227">
        <f t="shared" si="107"/>
        <v>7731.7312081363179</v>
      </c>
      <c r="W62" s="229">
        <f>W50+W54+W58</f>
        <v>30876.98212672292</v>
      </c>
    </row>
    <row r="63" spans="2:23" s="61" customFormat="1" ht="14.55" customHeight="1" outlineLevel="1" x14ac:dyDescent="0.3">
      <c r="B63" s="195" t="s">
        <v>174</v>
      </c>
      <c r="C63" s="196"/>
      <c r="D63" s="36">
        <f>+D52+D56+D60</f>
        <v>743</v>
      </c>
      <c r="E63" s="36">
        <f t="shared" ref="E63:P63" si="108">+E52+E56+E60</f>
        <v>546</v>
      </c>
      <c r="F63" s="36">
        <f t="shared" si="108"/>
        <v>1022</v>
      </c>
      <c r="G63" s="122">
        <f t="shared" si="108"/>
        <v>963</v>
      </c>
      <c r="H63" s="122">
        <f t="shared" si="108"/>
        <v>3274</v>
      </c>
      <c r="I63" s="36">
        <f t="shared" si="108"/>
        <v>822</v>
      </c>
      <c r="J63" s="36">
        <f t="shared" si="108"/>
        <v>593</v>
      </c>
      <c r="K63" s="36">
        <f>+K52+K56+K60</f>
        <v>784</v>
      </c>
      <c r="L63" s="122">
        <f t="shared" si="108"/>
        <v>809</v>
      </c>
      <c r="M63" s="122">
        <f t="shared" si="108"/>
        <v>3008</v>
      </c>
      <c r="N63" s="36">
        <f>+N52+N56+N60</f>
        <v>737</v>
      </c>
      <c r="O63" s="36">
        <f>+O52+O56+O60</f>
        <v>890</v>
      </c>
      <c r="P63" s="36">
        <f t="shared" si="108"/>
        <v>838.73245999999995</v>
      </c>
      <c r="Q63" s="36">
        <f>+Q52+Q56+Q60</f>
        <v>886.48055140000008</v>
      </c>
      <c r="R63" s="27">
        <f>+R52+R56+R60</f>
        <v>3352.2130114000001</v>
      </c>
      <c r="S63" s="36">
        <f t="shared" ref="S63:V63" si="109">+S52+S56+S60</f>
        <v>894.63264962000017</v>
      </c>
      <c r="T63" s="36">
        <f t="shared" si="109"/>
        <v>896.39450188300009</v>
      </c>
      <c r="U63" s="36">
        <f t="shared" si="109"/>
        <v>900.06776458837953</v>
      </c>
      <c r="V63" s="36">
        <f t="shared" si="109"/>
        <v>901.91473998518768</v>
      </c>
      <c r="W63" s="27">
        <f>+W52+W56+W60</f>
        <v>3596.7854760548271</v>
      </c>
    </row>
    <row r="64" spans="2:23" s="61" customFormat="1" ht="14.55" customHeight="1" outlineLevel="1" x14ac:dyDescent="0.3">
      <c r="B64" s="217" t="s">
        <v>175</v>
      </c>
      <c r="C64" s="218"/>
      <c r="D64" s="43">
        <f>D63/D62</f>
        <v>0.11074675808615293</v>
      </c>
      <c r="E64" s="43">
        <f t="shared" ref="E64:Q64" si="110">E63/E62</f>
        <v>7.2375397667020142E-2</v>
      </c>
      <c r="F64" s="43">
        <f t="shared" si="110"/>
        <v>0.12239520958083833</v>
      </c>
      <c r="G64" s="231">
        <f t="shared" si="110"/>
        <v>0.12369942196531791</v>
      </c>
      <c r="H64" s="231">
        <f t="shared" si="110"/>
        <v>0.10773989732789259</v>
      </c>
      <c r="I64" s="43">
        <f t="shared" si="110"/>
        <v>0.1033182503770739</v>
      </c>
      <c r="J64" s="43">
        <f t="shared" si="110"/>
        <v>8.2659604126010588E-2</v>
      </c>
      <c r="K64" s="43">
        <f t="shared" si="110"/>
        <v>0.10442194992008524</v>
      </c>
      <c r="L64" s="231">
        <f t="shared" si="110"/>
        <v>0.11793002915451894</v>
      </c>
      <c r="M64" s="231">
        <f>M63/M62</f>
        <v>0.10197301511966914</v>
      </c>
      <c r="N64" s="43">
        <f>N63/N62</f>
        <v>0.11282914880587876</v>
      </c>
      <c r="O64" s="43">
        <f>O63/O62</f>
        <v>0.12924774905605577</v>
      </c>
      <c r="P64" s="43">
        <f t="shared" si="110"/>
        <v>0.11519626145119422</v>
      </c>
      <c r="Q64" s="43">
        <f t="shared" si="110"/>
        <v>0.11512796931806721</v>
      </c>
      <c r="R64" s="287">
        <f>R63/R62</f>
        <v>0.11804041513894385</v>
      </c>
      <c r="S64" s="43">
        <f t="shared" ref="S64:W64" si="111">S63/S62</f>
        <v>0.11607726435811441</v>
      </c>
      <c r="T64" s="43">
        <f t="shared" si="111"/>
        <v>0.11618956174519056</v>
      </c>
      <c r="U64" s="43">
        <f t="shared" si="111"/>
        <v>0.11654225104993506</v>
      </c>
      <c r="V64" s="43">
        <f t="shared" si="111"/>
        <v>0.11665107279415993</v>
      </c>
      <c r="W64" s="67">
        <f t="shared" si="111"/>
        <v>0.11648759782588786</v>
      </c>
    </row>
    <row r="65" spans="2:25" s="82" customFormat="1" ht="14.55" customHeight="1" x14ac:dyDescent="0.3">
      <c r="B65" s="354" t="s">
        <v>176</v>
      </c>
      <c r="C65" s="355"/>
      <c r="D65" s="36"/>
      <c r="E65" s="36"/>
      <c r="F65" s="36"/>
      <c r="G65" s="122"/>
      <c r="H65" s="122"/>
      <c r="I65" s="36"/>
      <c r="J65" s="36"/>
      <c r="K65" s="36"/>
      <c r="L65" s="122"/>
      <c r="M65" s="122"/>
      <c r="N65" s="36"/>
      <c r="O65" s="36"/>
      <c r="P65" s="36"/>
      <c r="Q65" s="36"/>
      <c r="R65" s="27"/>
      <c r="S65" s="36"/>
      <c r="T65" s="36"/>
      <c r="U65" s="36"/>
      <c r="V65" s="36"/>
      <c r="W65" s="27"/>
    </row>
    <row r="66" spans="2:25" s="61" customFormat="1" ht="14.55" customHeight="1" outlineLevel="1" x14ac:dyDescent="0.3">
      <c r="B66" s="195" t="s">
        <v>177</v>
      </c>
      <c r="C66" s="196"/>
      <c r="D66" s="36">
        <v>86</v>
      </c>
      <c r="E66" s="36">
        <v>115</v>
      </c>
      <c r="F66" s="36">
        <v>114</v>
      </c>
      <c r="G66" s="122">
        <v>98</v>
      </c>
      <c r="H66" s="27">
        <f>SUM(D66:G66)</f>
        <v>413</v>
      </c>
      <c r="I66" s="36">
        <v>64</v>
      </c>
      <c r="J66" s="36">
        <v>84</v>
      </c>
      <c r="K66" s="36">
        <v>63</v>
      </c>
      <c r="L66" s="122">
        <f>M66-SUM(I66:K66)</f>
        <v>87</v>
      </c>
      <c r="M66" s="122">
        <v>298</v>
      </c>
      <c r="N66" s="36">
        <v>92</v>
      </c>
      <c r="O66" s="36">
        <v>72</v>
      </c>
      <c r="P66" s="36">
        <f>O66*(1+P67)</f>
        <v>68.039999999999992</v>
      </c>
      <c r="Q66" s="36">
        <f>P66*(1+Q67)</f>
        <v>64.297799999999995</v>
      </c>
      <c r="R66" s="285">
        <f>SUM(N66:Q66)</f>
        <v>296.33780000000002</v>
      </c>
      <c r="S66" s="36">
        <f>Q66*(1+S67)</f>
        <v>60.761420999999991</v>
      </c>
      <c r="T66" s="36">
        <f>S66*(1+T67)</f>
        <v>57.419542844999988</v>
      </c>
      <c r="U66" s="36">
        <f>T66*(1+U67)</f>
        <v>54.261467988524984</v>
      </c>
      <c r="V66" s="36">
        <f>U66*(1+V67)</f>
        <v>51.277087249156111</v>
      </c>
      <c r="W66" s="27">
        <f>SUM(S66:V66)</f>
        <v>223.71951908268107</v>
      </c>
    </row>
    <row r="67" spans="2:25" s="61" customFormat="1" ht="14.55" customHeight="1" outlineLevel="1" x14ac:dyDescent="0.3">
      <c r="B67" s="195" t="s">
        <v>178</v>
      </c>
      <c r="C67" s="196"/>
      <c r="D67" s="36"/>
      <c r="E67" s="214">
        <f>(E66/D66)-1</f>
        <v>0.33720930232558133</v>
      </c>
      <c r="F67" s="214">
        <f t="shared" ref="F67" si="112">(F66/E66)-1</f>
        <v>-8.6956521739129933E-3</v>
      </c>
      <c r="G67" s="215">
        <f t="shared" ref="G67" si="113">(G66/F66)-1</f>
        <v>-0.14035087719298245</v>
      </c>
      <c r="H67" s="277"/>
      <c r="I67" s="214">
        <f>(I66/G66)-1</f>
        <v>-0.34693877551020413</v>
      </c>
      <c r="J67" s="214">
        <f>(J66/I66)-1</f>
        <v>0.3125</v>
      </c>
      <c r="K67" s="214">
        <f t="shared" ref="K67:L67" si="114">(K66/J66)-1</f>
        <v>-0.25</v>
      </c>
      <c r="L67" s="215">
        <f t="shared" si="114"/>
        <v>0.38095238095238093</v>
      </c>
      <c r="M67" s="215"/>
      <c r="N67" s="214">
        <f>(N66/L66)-1</f>
        <v>5.7471264367816133E-2</v>
      </c>
      <c r="O67" s="214">
        <f>(O66/N66)-1</f>
        <v>-0.21739130434782605</v>
      </c>
      <c r="P67" s="224">
        <v>-5.5E-2</v>
      </c>
      <c r="Q67" s="224">
        <v>-5.5E-2</v>
      </c>
      <c r="R67" s="216"/>
      <c r="S67" s="224">
        <v>-5.5E-2</v>
      </c>
      <c r="T67" s="224">
        <v>-5.5E-2</v>
      </c>
      <c r="U67" s="224">
        <v>-5.5E-2</v>
      </c>
      <c r="V67" s="224">
        <v>-5.5E-2</v>
      </c>
      <c r="W67" s="216">
        <v>-5.5E-2</v>
      </c>
    </row>
    <row r="68" spans="2:25" s="61" customFormat="1" ht="14.55" customHeight="1" outlineLevel="1" x14ac:dyDescent="0.3">
      <c r="B68" s="195" t="s">
        <v>179</v>
      </c>
      <c r="C68" s="196"/>
      <c r="D68" s="36">
        <v>20</v>
      </c>
      <c r="E68" s="36">
        <v>11</v>
      </c>
      <c r="F68" s="36">
        <v>10</v>
      </c>
      <c r="G68" s="122">
        <v>9</v>
      </c>
      <c r="H68" s="27">
        <f>SUM(D68:G68)</f>
        <v>50</v>
      </c>
      <c r="I68" s="36">
        <v>5</v>
      </c>
      <c r="J68" s="36">
        <v>18</v>
      </c>
      <c r="K68" s="36">
        <v>13</v>
      </c>
      <c r="L68" s="122">
        <f>M68-SUM(I68:K68)</f>
        <v>23</v>
      </c>
      <c r="M68" s="122">
        <v>59</v>
      </c>
      <c r="N68" s="36">
        <v>39</v>
      </c>
      <c r="O68" s="36">
        <v>25</v>
      </c>
      <c r="P68" s="36">
        <f t="shared" ref="P68" si="115">P66*P69</f>
        <v>11.566799999999999</v>
      </c>
      <c r="Q68" s="36">
        <f t="shared" ref="Q68" si="116">Q66*Q69</f>
        <v>10.930626</v>
      </c>
      <c r="R68" s="285">
        <f>SUM(N68:Q68)</f>
        <v>86.497426000000004</v>
      </c>
      <c r="S68" s="36">
        <f t="shared" ref="S68:V68" si="117">S66*S69</f>
        <v>10.329441569999998</v>
      </c>
      <c r="T68" s="36">
        <f t="shared" si="117"/>
        <v>9.7613222836499993</v>
      </c>
      <c r="U68" s="36">
        <f t="shared" si="117"/>
        <v>9.2244495580492476</v>
      </c>
      <c r="V68" s="36">
        <f t="shared" si="117"/>
        <v>8.7171048323565401</v>
      </c>
      <c r="W68" s="27">
        <f>W66*W69</f>
        <v>38.032318244055787</v>
      </c>
    </row>
    <row r="69" spans="2:25" s="61" customFormat="1" ht="14.55" customHeight="1" outlineLevel="1" x14ac:dyDescent="0.3">
      <c r="B69" s="217" t="s">
        <v>180</v>
      </c>
      <c r="C69" s="218"/>
      <c r="D69" s="43">
        <f>D68/D66</f>
        <v>0.23255813953488372</v>
      </c>
      <c r="E69" s="220">
        <f t="shared" ref="E69" si="118">E68/E66</f>
        <v>9.5652173913043481E-2</v>
      </c>
      <c r="F69" s="220">
        <f t="shared" ref="F69" si="119">F68/F66</f>
        <v>8.771929824561403E-2</v>
      </c>
      <c r="G69" s="221">
        <f t="shared" ref="G69" si="120">G68/G66</f>
        <v>9.1836734693877556E-2</v>
      </c>
      <c r="H69" s="222">
        <f t="shared" ref="H69" si="121">H68/H66</f>
        <v>0.12106537530266344</v>
      </c>
      <c r="I69" s="220">
        <f t="shared" ref="I69" si="122">I68/I66</f>
        <v>7.8125E-2</v>
      </c>
      <c r="J69" s="220">
        <f t="shared" ref="J69:O69" si="123">J68/J66</f>
        <v>0.21428571428571427</v>
      </c>
      <c r="K69" s="220">
        <f t="shared" si="123"/>
        <v>0.20634920634920634</v>
      </c>
      <c r="L69" s="221">
        <f t="shared" si="123"/>
        <v>0.26436781609195403</v>
      </c>
      <c r="M69" s="220">
        <f t="shared" si="123"/>
        <v>0.19798657718120805</v>
      </c>
      <c r="N69" s="311">
        <f t="shared" si="123"/>
        <v>0.42391304347826086</v>
      </c>
      <c r="O69" s="220">
        <f t="shared" si="123"/>
        <v>0.34722222222222221</v>
      </c>
      <c r="P69" s="223">
        <v>0.17</v>
      </c>
      <c r="Q69" s="278">
        <v>0.17</v>
      </c>
      <c r="R69" s="222">
        <f>R68/R66</f>
        <v>0.29188792654868867</v>
      </c>
      <c r="S69" s="223">
        <v>0.17</v>
      </c>
      <c r="T69" s="223">
        <v>0.17</v>
      </c>
      <c r="U69" s="223">
        <v>0.17</v>
      </c>
      <c r="V69" s="223">
        <v>0.17</v>
      </c>
      <c r="W69" s="222">
        <v>0.17</v>
      </c>
    </row>
    <row r="70" spans="2:25" s="61" customFormat="1" ht="14.55" customHeight="1" x14ac:dyDescent="0.3">
      <c r="B70" s="354" t="s">
        <v>184</v>
      </c>
      <c r="C70" s="355"/>
      <c r="D70" s="233"/>
      <c r="E70" s="234"/>
      <c r="F70" s="234"/>
      <c r="G70" s="234"/>
      <c r="H70" s="235"/>
      <c r="I70" s="234"/>
      <c r="J70" s="234"/>
      <c r="K70" s="234"/>
      <c r="L70" s="265"/>
      <c r="M70" s="265"/>
      <c r="N70" s="234"/>
      <c r="O70" s="214"/>
      <c r="P70" s="234"/>
      <c r="Q70" s="234"/>
      <c r="R70" s="235"/>
      <c r="S70" s="234"/>
      <c r="T70" s="234"/>
      <c r="U70" s="234"/>
      <c r="V70" s="234"/>
      <c r="W70" s="235"/>
    </row>
    <row r="71" spans="2:25" s="61" customFormat="1" outlineLevel="1" x14ac:dyDescent="0.3">
      <c r="B71" s="195" t="s">
        <v>181</v>
      </c>
      <c r="C71" s="196"/>
      <c r="D71" s="36">
        <v>-27</v>
      </c>
      <c r="E71" s="36">
        <v>7</v>
      </c>
      <c r="F71" s="36">
        <v>-307</v>
      </c>
      <c r="G71" s="36">
        <v>-408</v>
      </c>
      <c r="H71" s="63"/>
      <c r="I71" s="36">
        <v>213</v>
      </c>
      <c r="J71" s="36">
        <v>41</v>
      </c>
      <c r="K71" s="36">
        <v>-646</v>
      </c>
      <c r="L71" s="36">
        <v>98</v>
      </c>
      <c r="M71" s="63"/>
      <c r="N71" s="36">
        <v>47</v>
      </c>
      <c r="O71" s="36">
        <v>68</v>
      </c>
      <c r="P71" s="99">
        <f>AVERAGE(O71,N71)</f>
        <v>57.5</v>
      </c>
      <c r="Q71" s="99">
        <f>AVERAGE(P71,O71)</f>
        <v>62.75</v>
      </c>
      <c r="R71" s="63"/>
      <c r="S71" s="99">
        <f>AVERAGE(R71,Q71)</f>
        <v>62.75</v>
      </c>
      <c r="T71" s="99">
        <f>AVERAGE(S71,R71)</f>
        <v>62.75</v>
      </c>
      <c r="U71" s="99">
        <f>AVERAGE(T71,S71)</f>
        <v>62.75</v>
      </c>
      <c r="V71" s="99">
        <f>AVERAGE(U71,T71)</f>
        <v>62.75</v>
      </c>
      <c r="W71" s="27"/>
    </row>
    <row r="72" spans="2:25" s="61" customFormat="1" outlineLevel="1" x14ac:dyDescent="0.3">
      <c r="B72" s="195" t="s">
        <v>182</v>
      </c>
      <c r="C72" s="196"/>
      <c r="D72" s="36">
        <f>-113-248</f>
        <v>-361</v>
      </c>
      <c r="E72" s="36">
        <f>-30-50</f>
        <v>-80</v>
      </c>
      <c r="F72" s="36">
        <f>-57-163</f>
        <v>-220</v>
      </c>
      <c r="G72" s="36">
        <f>-98-279</f>
        <v>-377</v>
      </c>
      <c r="H72" s="63">
        <f>SUM(D72:G72)</f>
        <v>-1038</v>
      </c>
      <c r="I72" s="36">
        <f>94-166</f>
        <v>-72</v>
      </c>
      <c r="J72" s="36">
        <f>69-126</f>
        <v>-57</v>
      </c>
      <c r="K72" s="36">
        <v>-112</v>
      </c>
      <c r="L72" s="36">
        <v>-122</v>
      </c>
      <c r="M72" s="63">
        <f>SUM(I72:L72)</f>
        <v>-363</v>
      </c>
      <c r="N72" s="36">
        <v>33</v>
      </c>
      <c r="O72" s="36">
        <v>53</v>
      </c>
      <c r="P72" s="99">
        <f>O72</f>
        <v>53</v>
      </c>
      <c r="Q72" s="99">
        <f>P72</f>
        <v>53</v>
      </c>
      <c r="R72" s="275">
        <f>SUM(N72:Q72)</f>
        <v>192</v>
      </c>
      <c r="S72" s="99">
        <v>-10</v>
      </c>
      <c r="T72" s="99">
        <f>S72</f>
        <v>-10</v>
      </c>
      <c r="U72" s="99">
        <f>T72</f>
        <v>-10</v>
      </c>
      <c r="V72" s="99">
        <f>U72</f>
        <v>-10</v>
      </c>
      <c r="W72" s="27">
        <f>SUM(S72:V72)</f>
        <v>-40</v>
      </c>
    </row>
    <row r="73" spans="2:25" s="61" customFormat="1" outlineLevel="1" x14ac:dyDescent="0.3">
      <c r="B73" s="217" t="s">
        <v>183</v>
      </c>
      <c r="C73" s="218"/>
      <c r="D73" s="42">
        <v>-12</v>
      </c>
      <c r="E73" s="42">
        <v>15</v>
      </c>
      <c r="F73" s="42">
        <v>-26</v>
      </c>
      <c r="G73" s="42">
        <v>10</v>
      </c>
      <c r="H73" s="230"/>
      <c r="I73" s="42">
        <v>26</v>
      </c>
      <c r="J73" s="42">
        <v>13</v>
      </c>
      <c r="K73" s="42">
        <v>2</v>
      </c>
      <c r="L73" s="42">
        <v>-1</v>
      </c>
      <c r="M73" s="230"/>
      <c r="N73" s="42">
        <v>22</v>
      </c>
      <c r="O73" s="42">
        <v>27</v>
      </c>
      <c r="P73" s="232">
        <f>AVERAGE(O73,N73)</f>
        <v>24.5</v>
      </c>
      <c r="Q73" s="232">
        <f>AVERAGE(P73,O73)</f>
        <v>25.75</v>
      </c>
      <c r="R73" s="230"/>
      <c r="S73" s="232">
        <f>AVERAGE(R73,Q73)</f>
        <v>25.75</v>
      </c>
      <c r="T73" s="232">
        <f>AVERAGE(S73,R73)</f>
        <v>25.75</v>
      </c>
      <c r="U73" s="232">
        <f>AVERAGE(T73,S73)</f>
        <v>25.75</v>
      </c>
      <c r="V73" s="232">
        <f>AVERAGE(U73,T73)</f>
        <v>25.75</v>
      </c>
      <c r="W73" s="303">
        <f>AVERAGE(V73,U73)</f>
        <v>25.75</v>
      </c>
      <c r="X73"/>
      <c r="Y73"/>
    </row>
    <row r="74" spans="2:25" s="61" customFormat="1" x14ac:dyDescent="0.3">
      <c r="B74" s="354" t="s">
        <v>39</v>
      </c>
      <c r="C74" s="355"/>
      <c r="D74" s="36"/>
      <c r="E74" s="36"/>
      <c r="F74" s="36"/>
      <c r="G74" s="36"/>
      <c r="H74" s="63"/>
      <c r="I74" s="36"/>
      <c r="J74" s="36"/>
      <c r="K74" s="36"/>
      <c r="L74" s="36"/>
      <c r="M74" s="63"/>
      <c r="N74" s="36"/>
      <c r="O74" s="36"/>
      <c r="P74" s="36"/>
      <c r="Q74" s="36"/>
      <c r="R74" s="63"/>
      <c r="S74" s="36"/>
      <c r="T74" s="36"/>
      <c r="U74" s="36"/>
      <c r="V74" s="36"/>
      <c r="W74" s="27"/>
      <c r="X74"/>
      <c r="Y74"/>
    </row>
    <row r="75" spans="2:25" s="61" customFormat="1" outlineLevel="1" x14ac:dyDescent="0.3">
      <c r="B75" s="160" t="s">
        <v>185</v>
      </c>
      <c r="C75" s="162"/>
      <c r="D75" s="247">
        <f t="shared" ref="D75:N75" si="124">D11/D13</f>
        <v>0.87972368955709057</v>
      </c>
      <c r="E75" s="247">
        <f t="shared" si="124"/>
        <v>0.89324858411767105</v>
      </c>
      <c r="F75" s="247">
        <f t="shared" si="124"/>
        <v>0.88978297032767228</v>
      </c>
      <c r="G75" s="247">
        <f t="shared" si="124"/>
        <v>0.88435922453654603</v>
      </c>
      <c r="H75" s="248">
        <f t="shared" si="124"/>
        <v>0.88701958091433086</v>
      </c>
      <c r="I75" s="247">
        <f t="shared" si="124"/>
        <v>0.87862318840579712</v>
      </c>
      <c r="J75" s="247">
        <f t="shared" si="124"/>
        <v>0.89614219349626334</v>
      </c>
      <c r="K75" s="247">
        <f t="shared" si="124"/>
        <v>0.89940580801740733</v>
      </c>
      <c r="L75" s="247">
        <f t="shared" si="124"/>
        <v>0.89478656703598725</v>
      </c>
      <c r="M75" s="248">
        <f>M11/M13</f>
        <v>0.89244060018398874</v>
      </c>
      <c r="N75" s="247">
        <f t="shared" si="124"/>
        <v>0.8825324180015256</v>
      </c>
      <c r="O75" s="247">
        <f t="shared" ref="O75" si="125">O11/O13</f>
        <v>0.88601081841769647</v>
      </c>
      <c r="P75" s="249">
        <v>0.89</v>
      </c>
      <c r="Q75" s="249">
        <v>0.89</v>
      </c>
      <c r="R75" s="248">
        <f>R11/R13</f>
        <v>0.88732318074825101</v>
      </c>
      <c r="S75" s="249">
        <v>0.89</v>
      </c>
      <c r="T75" s="249">
        <v>0.89</v>
      </c>
      <c r="U75" s="249">
        <v>0.89</v>
      </c>
      <c r="V75" s="249">
        <v>0.89</v>
      </c>
      <c r="W75" s="248">
        <v>0.89</v>
      </c>
      <c r="X75"/>
      <c r="Y75"/>
    </row>
    <row r="76" spans="2:25" s="61" customFormat="1" outlineLevel="1" x14ac:dyDescent="0.3">
      <c r="B76" s="195" t="s">
        <v>186</v>
      </c>
      <c r="C76" s="162"/>
      <c r="D76" s="247">
        <f t="shared" ref="D76:N76" si="126">D12/D13</f>
        <v>0.12027631044290939</v>
      </c>
      <c r="E76" s="247">
        <f t="shared" si="126"/>
        <v>0.10675141588232898</v>
      </c>
      <c r="F76" s="247">
        <f t="shared" si="126"/>
        <v>0.11021702967232774</v>
      </c>
      <c r="G76" s="247">
        <f t="shared" si="126"/>
        <v>0.11564077546345396</v>
      </c>
      <c r="H76" s="248">
        <f t="shared" si="126"/>
        <v>0.1129804190856691</v>
      </c>
      <c r="I76" s="247">
        <f t="shared" si="126"/>
        <v>0.1213768115942029</v>
      </c>
      <c r="J76" s="247">
        <f t="shared" si="126"/>
        <v>0.10385780650373662</v>
      </c>
      <c r="K76" s="247">
        <f t="shared" si="126"/>
        <v>0.10059419198259269</v>
      </c>
      <c r="L76" s="247">
        <f t="shared" si="126"/>
        <v>0.10521343296401271</v>
      </c>
      <c r="M76" s="248">
        <f>M12/M13</f>
        <v>0.10755939981601124</v>
      </c>
      <c r="N76" s="247">
        <f t="shared" si="126"/>
        <v>0.11746758199847444</v>
      </c>
      <c r="O76" s="247">
        <f t="shared" ref="O76" si="127">O12/O13</f>
        <v>0.11398918158230353</v>
      </c>
      <c r="P76" s="249">
        <v>0.11</v>
      </c>
      <c r="Q76" s="249">
        <v>0.11</v>
      </c>
      <c r="R76" s="248">
        <f>R12/R13</f>
        <v>0.11267681925174899</v>
      </c>
      <c r="S76" s="249">
        <v>0.11</v>
      </c>
      <c r="T76" s="249">
        <v>0.11</v>
      </c>
      <c r="U76" s="249">
        <v>0.11</v>
      </c>
      <c r="V76" s="249">
        <v>0.11</v>
      </c>
      <c r="W76" s="248">
        <v>0.11</v>
      </c>
      <c r="X76"/>
      <c r="Y76"/>
    </row>
    <row r="77" spans="2:25" s="61" customFormat="1" outlineLevel="1" x14ac:dyDescent="0.3">
      <c r="B77" s="195" t="s">
        <v>187</v>
      </c>
      <c r="C77" s="198"/>
      <c r="D77" s="247">
        <f t="shared" ref="D77:N78" si="128">(D11+D14)/D11</f>
        <v>0.15935334872979215</v>
      </c>
      <c r="E77" s="247">
        <f t="shared" si="128"/>
        <v>0.12206358618802171</v>
      </c>
      <c r="F77" s="247">
        <f t="shared" si="128"/>
        <v>0.15682608695652173</v>
      </c>
      <c r="G77" s="247">
        <f t="shared" si="128"/>
        <v>0.11613181752770182</v>
      </c>
      <c r="H77" s="248">
        <f t="shared" si="128"/>
        <v>0.13851387015424316</v>
      </c>
      <c r="I77" s="247">
        <f t="shared" si="128"/>
        <v>0.14785013829519739</v>
      </c>
      <c r="J77" s="247">
        <f t="shared" si="128"/>
        <v>8.6503786512802022E-2</v>
      </c>
      <c r="K77" s="247">
        <f t="shared" si="128"/>
        <v>0.1668837815204243</v>
      </c>
      <c r="L77" s="247">
        <f t="shared" si="128"/>
        <v>0.15550009598771358</v>
      </c>
      <c r="M77" s="248">
        <f>(M11+M14)/M11</f>
        <v>0.1384613561772059</v>
      </c>
      <c r="N77" s="247">
        <f t="shared" si="128"/>
        <v>0.17010587726879861</v>
      </c>
      <c r="O77" s="247">
        <f t="shared" ref="O77" si="129">(O11+O14)/O11</f>
        <v>0.18384871196704225</v>
      </c>
      <c r="P77" s="249">
        <v>0.17</v>
      </c>
      <c r="Q77" s="249">
        <v>0.17</v>
      </c>
      <c r="R77" s="248">
        <f>(R11+R14)/R11</f>
        <v>0.17342677236992352</v>
      </c>
      <c r="S77" s="249">
        <v>0.17</v>
      </c>
      <c r="T77" s="249">
        <v>0.17</v>
      </c>
      <c r="U77" s="249">
        <v>0.17</v>
      </c>
      <c r="V77" s="249">
        <v>0.17</v>
      </c>
      <c r="W77" s="248">
        <v>0.17</v>
      </c>
      <c r="X77"/>
      <c r="Y77"/>
    </row>
    <row r="78" spans="2:25" s="61" customFormat="1" outlineLevel="1" x14ac:dyDescent="0.3">
      <c r="B78" s="195" t="s">
        <v>188</v>
      </c>
      <c r="C78" s="198"/>
      <c r="D78" s="247">
        <f t="shared" si="128"/>
        <v>0.21171171171171171</v>
      </c>
      <c r="E78" s="247">
        <f t="shared" si="128"/>
        <v>0.20381679389312976</v>
      </c>
      <c r="F78" s="247">
        <f t="shared" si="128"/>
        <v>0.23095823095823095</v>
      </c>
      <c r="G78" s="247">
        <f t="shared" si="128"/>
        <v>0.23477622890682318</v>
      </c>
      <c r="H78" s="248">
        <f t="shared" si="128"/>
        <v>0.22064646836725296</v>
      </c>
      <c r="I78" s="247">
        <f t="shared" si="128"/>
        <v>0.22242446305060065</v>
      </c>
      <c r="J78" s="247">
        <f t="shared" si="128"/>
        <v>0.20497860754570207</v>
      </c>
      <c r="K78" s="247">
        <f t="shared" si="128"/>
        <v>0.17512479201331116</v>
      </c>
      <c r="L78" s="247">
        <f t="shared" si="128"/>
        <v>0.24285714285714285</v>
      </c>
      <c r="M78" s="248">
        <f>(M12+M15)/M12</f>
        <v>0.21175776641761698</v>
      </c>
      <c r="N78" s="247">
        <f t="shared" si="128"/>
        <v>0.23376623376623376</v>
      </c>
      <c r="O78" s="247">
        <f t="shared" ref="O78" si="130">(O12+O15)/O12</f>
        <v>0.25462962962962965</v>
      </c>
      <c r="P78" s="249">
        <f t="shared" ref="P78:W78" si="131">AVERAGE(O78,N78)</f>
        <v>0.24419793169793169</v>
      </c>
      <c r="Q78" s="249">
        <f t="shared" si="131"/>
        <v>0.24941378066378067</v>
      </c>
      <c r="R78" s="248">
        <f>(R12+R15)/R12</f>
        <v>0.24569735148032046</v>
      </c>
      <c r="S78" s="249">
        <f t="shared" si="131"/>
        <v>0.24755556607205056</v>
      </c>
      <c r="T78" s="249">
        <f t="shared" si="131"/>
        <v>0.2466264587761855</v>
      </c>
      <c r="U78" s="249">
        <f t="shared" si="131"/>
        <v>0.24709101242411802</v>
      </c>
      <c r="V78" s="249">
        <f t="shared" si="131"/>
        <v>0.24685873560015176</v>
      </c>
      <c r="W78" s="248">
        <f t="shared" si="131"/>
        <v>0.24697487401213489</v>
      </c>
      <c r="X78"/>
      <c r="Y78"/>
    </row>
    <row r="79" spans="2:25" s="41" customFormat="1" outlineLevel="1" x14ac:dyDescent="0.3">
      <c r="B79" s="51" t="s">
        <v>32</v>
      </c>
      <c r="C79" s="52"/>
      <c r="D79" s="111">
        <f t="shared" ref="D79:R79" si="132">D24/D13</f>
        <v>9.1155356900988763E-2</v>
      </c>
      <c r="E79" s="111">
        <f t="shared" si="132"/>
        <v>6.8573524019068577E-2</v>
      </c>
      <c r="F79" s="111">
        <f t="shared" si="132"/>
        <v>9.9810437541104108E-2</v>
      </c>
      <c r="G79" s="111">
        <f t="shared" si="132"/>
        <v>4.9251262037076318E-2</v>
      </c>
      <c r="H79" s="156">
        <f t="shared" si="132"/>
        <v>7.7439290842124975E-2</v>
      </c>
      <c r="I79" s="111">
        <f t="shared" si="132"/>
        <v>7.9003181336161188E-2</v>
      </c>
      <c r="J79" s="111">
        <f t="shared" si="132"/>
        <v>-1.6925873560896788E-2</v>
      </c>
      <c r="K79" s="111">
        <f t="shared" si="132"/>
        <v>9.5489162272993561E-2</v>
      </c>
      <c r="L79" s="111">
        <f t="shared" si="132"/>
        <v>9.3747315983852955E-2</v>
      </c>
      <c r="M79" s="34">
        <f t="shared" si="132"/>
        <v>6.1689101310126782E-2</v>
      </c>
      <c r="N79" s="111">
        <f t="shared" si="132"/>
        <v>9.6491228070175433E-2</v>
      </c>
      <c r="O79" s="111">
        <f t="shared" ref="O79" si="133">O24/O13</f>
        <v>0.11148247504287788</v>
      </c>
      <c r="P79" s="111">
        <f t="shared" si="132"/>
        <v>0.11096574120280057</v>
      </c>
      <c r="Q79" s="111">
        <f t="shared" si="132"/>
        <v>0.11085265089756438</v>
      </c>
      <c r="R79" s="34">
        <f t="shared" si="132"/>
        <v>0.10777670197167784</v>
      </c>
      <c r="S79" s="111">
        <f t="shared" ref="S79:W79" si="134">S24/S13</f>
        <v>0.10363617385381586</v>
      </c>
      <c r="T79" s="111">
        <f t="shared" si="134"/>
        <v>0.10348005019728697</v>
      </c>
      <c r="U79" s="111">
        <f t="shared" si="134"/>
        <v>0.10345100568090597</v>
      </c>
      <c r="V79" s="111">
        <f t="shared" si="134"/>
        <v>0.10334564732359788</v>
      </c>
      <c r="W79" s="156">
        <f t="shared" si="134"/>
        <v>0.10351487777692336</v>
      </c>
      <c r="X79"/>
      <c r="Y79"/>
    </row>
    <row r="80" spans="2:25" s="45" customFormat="1" outlineLevel="1" x14ac:dyDescent="0.3">
      <c r="B80" s="160" t="s">
        <v>33</v>
      </c>
      <c r="C80" s="52"/>
      <c r="D80" s="111">
        <f t="shared" ref="D80:R80" si="135">D26/D13</f>
        <v>9.6257167366472524E-2</v>
      </c>
      <c r="E80" s="111">
        <f t="shared" si="135"/>
        <v>6.9795868475736461E-2</v>
      </c>
      <c r="F80" s="111">
        <f t="shared" si="135"/>
        <v>0.10201555185887268</v>
      </c>
      <c r="G80" s="111">
        <f t="shared" si="135"/>
        <v>5.3408560641411786E-2</v>
      </c>
      <c r="H80" s="156">
        <f t="shared" si="135"/>
        <v>8.0539775683043047E-2</v>
      </c>
      <c r="I80" s="111">
        <f t="shared" si="135"/>
        <v>7.4849770236832799E-2</v>
      </c>
      <c r="J80" s="111">
        <f t="shared" si="135"/>
        <v>-1.971318925469602E-2</v>
      </c>
      <c r="K80" s="111">
        <f t="shared" si="135"/>
        <v>9.1806845761151556E-2</v>
      </c>
      <c r="L80" s="121">
        <f t="shared" si="135"/>
        <v>8.8636949239886631E-2</v>
      </c>
      <c r="M80" s="34">
        <f t="shared" si="135"/>
        <v>5.777669687324867E-2</v>
      </c>
      <c r="N80" s="111">
        <f t="shared" si="135"/>
        <v>8.1474065598779552E-2</v>
      </c>
      <c r="O80" s="111">
        <f t="shared" ref="O80" si="136">O26/O13</f>
        <v>9.7277804652799157E-2</v>
      </c>
      <c r="P80" s="111">
        <f t="shared" si="135"/>
        <v>9.8154081836679466E-2</v>
      </c>
      <c r="Q80" s="111">
        <f t="shared" si="135"/>
        <v>9.8595289387463869E-2</v>
      </c>
      <c r="R80" s="34">
        <f t="shared" si="135"/>
        <v>9.4573874047142695E-2</v>
      </c>
      <c r="S80" s="111">
        <f t="shared" ref="S80:W80" si="137">S26/S13</f>
        <v>9.015892309405113E-2</v>
      </c>
      <c r="T80" s="111">
        <f t="shared" si="137"/>
        <v>9.0454268231266635E-2</v>
      </c>
      <c r="U80" s="111">
        <f t="shared" si="137"/>
        <v>9.0755956705690935E-2</v>
      </c>
      <c r="V80" s="111">
        <f t="shared" si="137"/>
        <v>9.0970292654266968E-2</v>
      </c>
      <c r="W80" s="156">
        <f t="shared" si="137"/>
        <v>9.0594497329612333E-2</v>
      </c>
      <c r="X80"/>
      <c r="Y80"/>
    </row>
    <row r="81" spans="2:25" s="61" customFormat="1" outlineLevel="1" x14ac:dyDescent="0.3">
      <c r="B81" s="160" t="s">
        <v>189</v>
      </c>
      <c r="C81" s="162"/>
      <c r="D81" s="121"/>
      <c r="E81" s="36">
        <f>AVERAGE(D16:E16)</f>
        <v>-16.5</v>
      </c>
      <c r="F81" s="36">
        <f>AVERAGE(E16:F16)</f>
        <v>-16.5</v>
      </c>
      <c r="G81" s="36">
        <f>AVERAGE(F16:G16)</f>
        <v>-15.5</v>
      </c>
      <c r="H81" s="165"/>
      <c r="I81" s="36">
        <f>AVERAGE(F16,G16)</f>
        <v>-15.5</v>
      </c>
      <c r="J81" s="36">
        <f>AVERAGE(I16,J16)</f>
        <v>-16</v>
      </c>
      <c r="K81" s="36">
        <f t="shared" ref="K81:L81" si="138">AVERAGE(J16,K16)</f>
        <v>-15</v>
      </c>
      <c r="L81" s="36">
        <f t="shared" si="138"/>
        <v>-13.5</v>
      </c>
      <c r="M81" s="27"/>
      <c r="N81" s="36">
        <f>AVERAGE(K16,L16)</f>
        <v>-13.5</v>
      </c>
      <c r="O81" s="36">
        <f>AVERAGE(N16,O16)</f>
        <v>-13</v>
      </c>
      <c r="P81" s="99">
        <f t="shared" ref="P81:V82" si="139">O81</f>
        <v>-13</v>
      </c>
      <c r="Q81" s="99">
        <f t="shared" si="139"/>
        <v>-13</v>
      </c>
      <c r="R81" s="27"/>
      <c r="S81" s="99">
        <v>-14</v>
      </c>
      <c r="T81" s="99">
        <f t="shared" si="139"/>
        <v>-14</v>
      </c>
      <c r="U81" s="99">
        <f t="shared" si="139"/>
        <v>-14</v>
      </c>
      <c r="V81" s="99">
        <f t="shared" si="139"/>
        <v>-14</v>
      </c>
      <c r="W81" s="27"/>
      <c r="X81"/>
      <c r="Y81"/>
    </row>
    <row r="82" spans="2:25" s="61" customFormat="1" outlineLevel="1" x14ac:dyDescent="0.3">
      <c r="B82" s="160" t="s">
        <v>190</v>
      </c>
      <c r="C82" s="162"/>
      <c r="D82" s="121"/>
      <c r="E82" s="36">
        <f>AVERAGE(D19:E19)</f>
        <v>64.5</v>
      </c>
      <c r="F82" s="36">
        <f>AVERAGE(E19:F19)</f>
        <v>64</v>
      </c>
      <c r="G82" s="36">
        <f>AVERAGE(F19:G19)</f>
        <v>72.5</v>
      </c>
      <c r="H82" s="165"/>
      <c r="I82" s="36">
        <f>AVERAGE(F19,G19)</f>
        <v>72.5</v>
      </c>
      <c r="J82" s="36">
        <f>AVERAGE(I19,J19)</f>
        <v>75.5</v>
      </c>
      <c r="K82" s="36">
        <f t="shared" ref="K82" si="140">AVERAGE(J19,K19)</f>
        <v>83</v>
      </c>
      <c r="L82" s="36">
        <f>AVERAGE(K19,L19)</f>
        <v>76</v>
      </c>
      <c r="M82" s="27"/>
      <c r="N82" s="36">
        <f>AVERAGE(N19,L19)</f>
        <v>82</v>
      </c>
      <c r="O82" s="36">
        <f>AVERAGE(N19,O19)</f>
        <v>60</v>
      </c>
      <c r="P82" s="99">
        <f t="shared" si="139"/>
        <v>60</v>
      </c>
      <c r="Q82" s="99">
        <f t="shared" si="139"/>
        <v>60</v>
      </c>
      <c r="R82" s="27"/>
      <c r="S82" s="99">
        <v>76</v>
      </c>
      <c r="T82" s="99">
        <f t="shared" si="139"/>
        <v>76</v>
      </c>
      <c r="U82" s="99">
        <f t="shared" si="139"/>
        <v>76</v>
      </c>
      <c r="V82" s="99">
        <f t="shared" si="139"/>
        <v>76</v>
      </c>
      <c r="W82" s="27"/>
      <c r="X82"/>
      <c r="Y82"/>
    </row>
    <row r="83" spans="2:25" s="61" customFormat="1" outlineLevel="1" x14ac:dyDescent="0.3">
      <c r="B83" s="160" t="s">
        <v>144</v>
      </c>
      <c r="C83" s="161"/>
      <c r="D83" s="26">
        <f t="shared" ref="D83:J83" si="141">-D20/D13</f>
        <v>4.2665583096302313E-2</v>
      </c>
      <c r="E83" s="26">
        <f t="shared" si="141"/>
        <v>3.0966059568919856E-2</v>
      </c>
      <c r="F83" s="26">
        <f t="shared" si="141"/>
        <v>3.4392046113969593E-2</v>
      </c>
      <c r="G83" s="26">
        <f t="shared" si="141"/>
        <v>3.949433674118695E-2</v>
      </c>
      <c r="H83" s="34">
        <f t="shared" si="141"/>
        <v>3.6675198202134968E-2</v>
      </c>
      <c r="I83" s="26">
        <f t="shared" si="141"/>
        <v>3.9236479321314952E-2</v>
      </c>
      <c r="J83" s="26">
        <f t="shared" si="141"/>
        <v>3.2559078973944659E-2</v>
      </c>
      <c r="K83" s="214">
        <f t="shared" ref="K83:Q83" si="142">-K20/K13</f>
        <v>3.862247886852456E-2</v>
      </c>
      <c r="L83" s="214">
        <f t="shared" si="142"/>
        <v>4.2901314094305594E-2</v>
      </c>
      <c r="M83" s="34"/>
      <c r="N83" s="214">
        <f t="shared" si="142"/>
        <v>4.4479405034324945E-2</v>
      </c>
      <c r="O83" s="26">
        <f t="shared" si="142"/>
        <v>4.5736400017590925E-2</v>
      </c>
      <c r="P83" s="214">
        <f t="shared" si="142"/>
        <v>4.1438367097306437E-2</v>
      </c>
      <c r="Q83" s="214">
        <f t="shared" si="142"/>
        <v>3.9645531572833279E-2</v>
      </c>
      <c r="R83" s="34"/>
      <c r="S83" s="214">
        <f t="shared" ref="S83:V83" si="143">-S20/S13</f>
        <v>4.1227131012657361E-2</v>
      </c>
      <c r="T83" s="214">
        <f t="shared" si="143"/>
        <v>4.4415781130036545E-2</v>
      </c>
      <c r="U83" s="214">
        <f t="shared" si="143"/>
        <v>4.1061199390326673E-2</v>
      </c>
      <c r="V83" s="214">
        <f t="shared" si="143"/>
        <v>4.0027171741950675E-2</v>
      </c>
      <c r="W83" s="216"/>
      <c r="X83"/>
      <c r="Y83"/>
    </row>
    <row r="84" spans="2:25" s="81" customFormat="1" outlineLevel="1" x14ac:dyDescent="0.3">
      <c r="B84" s="334" t="s">
        <v>145</v>
      </c>
      <c r="C84" s="335"/>
      <c r="D84" s="26">
        <f t="shared" ref="D84:J84" si="144">-D21/D13</f>
        <v>3.4719400424398396E-2</v>
      </c>
      <c r="E84" s="26">
        <f t="shared" si="144"/>
        <v>3.2595852177810372E-2</v>
      </c>
      <c r="F84" s="26">
        <f t="shared" si="144"/>
        <v>3.3154087198731093E-2</v>
      </c>
      <c r="G84" s="26">
        <f t="shared" si="144"/>
        <v>3.8391379968608155E-2</v>
      </c>
      <c r="H84" s="34">
        <f t="shared" si="144"/>
        <v>3.4656761762074204E-2</v>
      </c>
      <c r="I84" s="26">
        <f t="shared" si="144"/>
        <v>4.0517850830682219E-2</v>
      </c>
      <c r="J84" s="26">
        <f t="shared" si="144"/>
        <v>8.5922035952332859E-2</v>
      </c>
      <c r="K84" s="214">
        <f t="shared" ref="K84:Q84" si="145">-K21/K13</f>
        <v>3.5860741484643063E-2</v>
      </c>
      <c r="L84" s="214">
        <f t="shared" si="145"/>
        <v>3.117753156402989E-2</v>
      </c>
      <c r="M84" s="34"/>
      <c r="N84" s="214">
        <f t="shared" si="145"/>
        <v>3.9950419527078569E-2</v>
      </c>
      <c r="O84" s="26">
        <f t="shared" si="145"/>
        <v>3.5753551167597521E-2</v>
      </c>
      <c r="P84" s="214">
        <f t="shared" si="145"/>
        <v>3.9863163076881716E-2</v>
      </c>
      <c r="Q84" s="214">
        <f t="shared" si="145"/>
        <v>4.0188070524919697E-2</v>
      </c>
      <c r="R84" s="34"/>
      <c r="S84" s="214">
        <f t="shared" ref="S84:V84" si="146">-S21/S13</f>
        <v>3.6230694431178129E-2</v>
      </c>
      <c r="T84" s="214">
        <f t="shared" si="146"/>
        <v>3.3052820567549428E-2</v>
      </c>
      <c r="U84" s="214">
        <f t="shared" si="146"/>
        <v>3.6465192979069257E-2</v>
      </c>
      <c r="V84" s="214">
        <f t="shared" si="146"/>
        <v>3.7556712784334305E-2</v>
      </c>
      <c r="W84" s="216"/>
      <c r="X84"/>
      <c r="Y84"/>
    </row>
    <row r="85" spans="2:25" s="41" customFormat="1" outlineLevel="1" x14ac:dyDescent="0.3">
      <c r="B85" s="160" t="s">
        <v>191</v>
      </c>
      <c r="C85" s="162"/>
      <c r="D85" s="36"/>
      <c r="E85" s="36">
        <f>AVERAGE(D22:E22)</f>
        <v>0.5</v>
      </c>
      <c r="F85" s="36">
        <f>AVERAGE(E22:F22)</f>
        <v>-0.5</v>
      </c>
      <c r="G85" s="36">
        <f>AVERAGE(F22:G22)</f>
        <v>-1</v>
      </c>
      <c r="H85" s="165"/>
      <c r="I85" s="36">
        <f>AVERAGE(F22,G22)</f>
        <v>-1</v>
      </c>
      <c r="J85" s="36">
        <f>AVERAGE(I22,J22)</f>
        <v>-4.5</v>
      </c>
      <c r="K85" s="36">
        <f t="shared" ref="K85:L85" si="147">AVERAGE(J22,K22)</f>
        <v>-7</v>
      </c>
      <c r="L85" s="36">
        <f t="shared" si="147"/>
        <v>1</v>
      </c>
      <c r="M85" s="27"/>
      <c r="N85" s="36">
        <f>AVERAGE(K22,L22)</f>
        <v>1</v>
      </c>
      <c r="O85" s="36">
        <f>AVERAGE(N22,O22)</f>
        <v>0</v>
      </c>
      <c r="P85" s="99">
        <f t="shared" ref="P85:V86" si="148">O85</f>
        <v>0</v>
      </c>
      <c r="Q85" s="99">
        <f t="shared" si="148"/>
        <v>0</v>
      </c>
      <c r="R85" s="27"/>
      <c r="S85" s="171">
        <v>1</v>
      </c>
      <c r="T85" s="99">
        <f t="shared" si="148"/>
        <v>1</v>
      </c>
      <c r="U85" s="99">
        <f t="shared" si="148"/>
        <v>1</v>
      </c>
      <c r="V85" s="99">
        <f t="shared" si="148"/>
        <v>1</v>
      </c>
      <c r="W85" s="27"/>
    </row>
    <row r="86" spans="2:25" s="45" customFormat="1" outlineLevel="1" x14ac:dyDescent="0.3">
      <c r="B86" s="160" t="s">
        <v>37</v>
      </c>
      <c r="C86" s="161"/>
      <c r="D86" s="166"/>
      <c r="E86" s="36">
        <f>AVERAGE(D28:E28)</f>
        <v>-68</v>
      </c>
      <c r="F86" s="36">
        <f>AVERAGE(E28:F28)</f>
        <v>-71</v>
      </c>
      <c r="G86" s="36">
        <f>AVERAGE(F28:G28)</f>
        <v>-69.5</v>
      </c>
      <c r="H86" s="165"/>
      <c r="I86" s="36">
        <f>AVERAGE(F28,G28)</f>
        <v>-69.5</v>
      </c>
      <c r="J86" s="36">
        <f>AVERAGE(I28,J28)</f>
        <v>-73</v>
      </c>
      <c r="K86" s="36">
        <f t="shared" ref="K86" si="149">AVERAGE(J28,K28)</f>
        <v>-77</v>
      </c>
      <c r="L86" s="36">
        <f>AVERAGE(K28,L28)</f>
        <v>-80</v>
      </c>
      <c r="M86" s="27"/>
      <c r="N86" s="36">
        <f>AVERAGE(N28,L28)</f>
        <v>-83</v>
      </c>
      <c r="O86" s="36">
        <f>AVERAGE(N28,O28)</f>
        <v>-90</v>
      </c>
      <c r="P86" s="99">
        <f t="shared" si="148"/>
        <v>-90</v>
      </c>
      <c r="Q86" s="99">
        <f t="shared" si="148"/>
        <v>-90</v>
      </c>
      <c r="R86" s="27"/>
      <c r="S86" s="99">
        <v>-80</v>
      </c>
      <c r="T86" s="99">
        <f t="shared" si="148"/>
        <v>-80</v>
      </c>
      <c r="U86" s="99">
        <f t="shared" si="148"/>
        <v>-80</v>
      </c>
      <c r="V86" s="99">
        <f t="shared" si="148"/>
        <v>-80</v>
      </c>
      <c r="W86" s="27"/>
    </row>
    <row r="87" spans="2:25" s="45" customFormat="1" outlineLevel="1" x14ac:dyDescent="0.3">
      <c r="B87" s="334" t="s">
        <v>29</v>
      </c>
      <c r="C87" s="335"/>
      <c r="D87" s="26">
        <f t="shared" ref="D87:N87" si="150">-D30/D29</f>
        <v>0.31346351490236385</v>
      </c>
      <c r="E87" s="26">
        <f t="shared" si="150"/>
        <v>0.31608133086876156</v>
      </c>
      <c r="F87" s="26">
        <f t="shared" si="150"/>
        <v>0.31483715319662242</v>
      </c>
      <c r="G87" s="26">
        <f t="shared" si="150"/>
        <v>6.6424021838034572E-2</v>
      </c>
      <c r="H87" s="34">
        <f t="shared" si="150"/>
        <v>0.27658979734451433</v>
      </c>
      <c r="I87" s="26">
        <f t="shared" si="150"/>
        <v>0.29982768523836878</v>
      </c>
      <c r="J87" s="26">
        <f t="shared" si="150"/>
        <v>0.51148225469728603</v>
      </c>
      <c r="K87" s="26">
        <f t="shared" si="150"/>
        <v>-3.4498411257376307E-2</v>
      </c>
      <c r="L87" s="26">
        <f t="shared" si="150"/>
        <v>0.22444127436994771</v>
      </c>
      <c r="M87" s="34">
        <f>-M30/M29</f>
        <v>0.12086925287356322</v>
      </c>
      <c r="N87" s="26">
        <f t="shared" si="150"/>
        <v>0.25931597753956098</v>
      </c>
      <c r="O87" s="26">
        <f t="shared" ref="O87" si="151">-O30/O29</f>
        <v>0.2867557715674362</v>
      </c>
      <c r="P87" s="224">
        <v>0.31</v>
      </c>
      <c r="Q87" s="224">
        <v>0.31</v>
      </c>
      <c r="R87" s="289">
        <f>-R30/R29</f>
        <v>0.29384458538555419</v>
      </c>
      <c r="S87" s="224">
        <v>0.3</v>
      </c>
      <c r="T87" s="224">
        <v>0.3</v>
      </c>
      <c r="U87" s="224">
        <v>0.3</v>
      </c>
      <c r="V87" s="224">
        <v>0.3</v>
      </c>
      <c r="W87" s="34">
        <f>-W30/W29</f>
        <v>0.3</v>
      </c>
    </row>
    <row r="88" spans="2:25" s="45" customFormat="1" x14ac:dyDescent="0.3">
      <c r="B88" s="358" t="s">
        <v>42</v>
      </c>
      <c r="C88" s="359"/>
      <c r="D88" s="233"/>
      <c r="E88" s="233"/>
      <c r="F88" s="233"/>
      <c r="G88" s="233"/>
      <c r="H88" s="236"/>
      <c r="I88" s="236"/>
      <c r="J88" s="316"/>
      <c r="K88" s="233"/>
      <c r="L88" s="233"/>
      <c r="M88" s="237"/>
      <c r="N88" s="233"/>
      <c r="O88" s="233"/>
      <c r="P88" s="233"/>
      <c r="Q88" s="233"/>
      <c r="R88" s="237"/>
      <c r="S88" s="233"/>
      <c r="T88" s="233"/>
      <c r="U88" s="233"/>
      <c r="V88" s="233"/>
      <c r="W88" s="237"/>
    </row>
    <row r="89" spans="2:25" s="45" customFormat="1" outlineLevel="1" x14ac:dyDescent="0.3">
      <c r="B89" s="195" t="s">
        <v>192</v>
      </c>
      <c r="C89" s="197"/>
      <c r="D89" s="200">
        <v>113</v>
      </c>
      <c r="E89" s="36">
        <v>30</v>
      </c>
      <c r="F89" s="36">
        <v>57</v>
      </c>
      <c r="G89" s="122">
        <v>98</v>
      </c>
      <c r="H89" s="27">
        <f>SUM(D89:G89)</f>
        <v>298</v>
      </c>
      <c r="I89" s="200">
        <v>-94</v>
      </c>
      <c r="J89" s="36">
        <v>-69</v>
      </c>
      <c r="K89" s="36">
        <v>-88</v>
      </c>
      <c r="L89" s="36">
        <f>-119</f>
        <v>-119</v>
      </c>
      <c r="M89" s="27">
        <f>SUM(I89:L89)</f>
        <v>-370</v>
      </c>
      <c r="N89" s="36">
        <v>-315</v>
      </c>
      <c r="O89" s="36">
        <v>-323</v>
      </c>
      <c r="P89" s="99">
        <f>Q89</f>
        <v>-305</v>
      </c>
      <c r="Q89" s="322">
        <f>R89/4</f>
        <v>-305</v>
      </c>
      <c r="R89" s="285">
        <v>-1220</v>
      </c>
      <c r="S89" s="99">
        <f>Q89</f>
        <v>-305</v>
      </c>
      <c r="T89" s="99">
        <f>S89</f>
        <v>-305</v>
      </c>
      <c r="U89" s="99">
        <f>T89</f>
        <v>-305</v>
      </c>
      <c r="V89" s="99">
        <f>U89</f>
        <v>-305</v>
      </c>
      <c r="W89" s="27">
        <f>SUM(S89:V89)</f>
        <v>-1220</v>
      </c>
    </row>
    <row r="90" spans="2:25" s="25" customFormat="1" outlineLevel="1" x14ac:dyDescent="0.3">
      <c r="B90" s="195" t="s">
        <v>152</v>
      </c>
      <c r="C90" s="197"/>
      <c r="D90" s="36">
        <f>-D89*D91</f>
        <v>-39.549999999999997</v>
      </c>
      <c r="E90" s="36">
        <f>-E89*E91</f>
        <v>-10.5</v>
      </c>
      <c r="F90" s="36">
        <f>-F89*F91</f>
        <v>-24.719999999999935</v>
      </c>
      <c r="G90" s="122">
        <f>-G89*G91</f>
        <v>-34.299999999999997</v>
      </c>
      <c r="H90" s="27"/>
      <c r="I90" s="200">
        <f>-I89*I91</f>
        <v>32.9</v>
      </c>
      <c r="J90" s="36">
        <f>-J89*J91</f>
        <v>24.15</v>
      </c>
      <c r="K90" s="36">
        <f>-K89*K91</f>
        <v>30.799999999999997</v>
      </c>
      <c r="L90" s="122">
        <f>-L89*L91</f>
        <v>41.65</v>
      </c>
      <c r="M90" s="27"/>
      <c r="N90" s="200">
        <f>-N89*N91</f>
        <v>110.25</v>
      </c>
      <c r="O90" s="36">
        <f t="shared" ref="O90:Q90" si="152">-O89*O91</f>
        <v>113.05</v>
      </c>
      <c r="P90" s="36">
        <f t="shared" si="152"/>
        <v>106.75</v>
      </c>
      <c r="Q90" s="122">
        <f t="shared" si="152"/>
        <v>106.75</v>
      </c>
      <c r="R90" s="68"/>
      <c r="S90" s="36">
        <f t="shared" ref="S90:V90" si="153">-S89*S91</f>
        <v>106.75</v>
      </c>
      <c r="T90" s="36">
        <f t="shared" si="153"/>
        <v>106.75</v>
      </c>
      <c r="U90" s="36">
        <f t="shared" si="153"/>
        <v>106.75</v>
      </c>
      <c r="V90" s="36">
        <f t="shared" si="153"/>
        <v>106.75</v>
      </c>
      <c r="W90" s="27"/>
    </row>
    <row r="91" spans="2:25" s="45" customFormat="1" outlineLevel="1" x14ac:dyDescent="0.3">
      <c r="B91" s="217" t="s">
        <v>153</v>
      </c>
      <c r="C91" s="238"/>
      <c r="D91" s="239">
        <v>0.35</v>
      </c>
      <c r="E91" s="240">
        <v>0.35</v>
      </c>
      <c r="F91" s="240">
        <v>0.43368421052631467</v>
      </c>
      <c r="G91" s="241">
        <v>0.35</v>
      </c>
      <c r="H91" s="242"/>
      <c r="I91" s="239">
        <v>0.35</v>
      </c>
      <c r="J91" s="240">
        <v>0.35</v>
      </c>
      <c r="K91" s="240">
        <v>0.35</v>
      </c>
      <c r="L91" s="241">
        <v>0.35</v>
      </c>
      <c r="M91" s="242"/>
      <c r="N91" s="239">
        <v>0.35</v>
      </c>
      <c r="O91" s="240">
        <v>0.35</v>
      </c>
      <c r="P91" s="243">
        <v>0.35</v>
      </c>
      <c r="Q91" s="244">
        <v>0.35</v>
      </c>
      <c r="R91" s="242"/>
      <c r="S91" s="243">
        <v>0.35</v>
      </c>
      <c r="T91" s="243">
        <v>0.35</v>
      </c>
      <c r="U91" s="243">
        <v>0.35</v>
      </c>
      <c r="V91" s="243">
        <v>0.35</v>
      </c>
      <c r="W91" s="242">
        <v>0.35</v>
      </c>
    </row>
    <row r="92" spans="2:25" s="45" customFormat="1" x14ac:dyDescent="0.3">
      <c r="B92" s="358" t="s">
        <v>16</v>
      </c>
      <c r="C92" s="359"/>
      <c r="D92" s="208"/>
      <c r="E92" s="208"/>
      <c r="F92" s="208"/>
      <c r="G92" s="208"/>
      <c r="H92" s="209"/>
      <c r="I92" s="208"/>
      <c r="J92" s="208"/>
      <c r="K92" s="208"/>
      <c r="L92" s="208"/>
      <c r="M92" s="209"/>
      <c r="N92" s="208"/>
      <c r="O92" s="208"/>
      <c r="P92" s="210"/>
      <c r="Q92" s="210"/>
      <c r="R92" s="209"/>
      <c r="S92" s="210"/>
      <c r="T92" s="210"/>
      <c r="U92" s="210"/>
      <c r="V92" s="210"/>
      <c r="W92" s="209"/>
    </row>
    <row r="93" spans="2:25" s="45" customFormat="1" ht="16.2" outlineLevel="1" x14ac:dyDescent="0.45">
      <c r="B93" s="334" t="s">
        <v>17</v>
      </c>
      <c r="C93" s="335"/>
      <c r="D93" s="111"/>
      <c r="E93" s="111">
        <f>(E34+E97)/D34-1</f>
        <v>-1.27539606064897E-3</v>
      </c>
      <c r="F93" s="111">
        <f>(F34+F97)/E34-1</f>
        <v>1.4875115740740075E-3</v>
      </c>
      <c r="G93" s="111">
        <f>(G34+G97)/F34-1</f>
        <v>-1.4516468516070358E-3</v>
      </c>
      <c r="H93" s="8"/>
      <c r="I93" s="111">
        <f>(I34+I97)/G34-1</f>
        <v>2.0438159999999872E-2</v>
      </c>
      <c r="J93" s="111">
        <f t="shared" ref="J93:O93" si="154">(J34+J97)/I34-1</f>
        <v>-1.2097506064281505E-2</v>
      </c>
      <c r="K93" s="111">
        <f t="shared" si="154"/>
        <v>-5.9757463569930502E-3</v>
      </c>
      <c r="L93" s="280">
        <f t="shared" si="154"/>
        <v>-3.0762417527592234E-3</v>
      </c>
      <c r="M93" s="111">
        <f t="shared" si="154"/>
        <v>2.4748620478234118E-2</v>
      </c>
      <c r="N93" s="312">
        <f t="shared" si="154"/>
        <v>-1.1589482736537815E-2</v>
      </c>
      <c r="O93" s="111">
        <f t="shared" si="154"/>
        <v>2.6741528928515557E-3</v>
      </c>
      <c r="P93" s="157">
        <f t="shared" ref="P93:V93" si="155">O93</f>
        <v>2.6741528928515557E-3</v>
      </c>
      <c r="Q93" s="157">
        <f t="shared" si="155"/>
        <v>2.6741528928515557E-3</v>
      </c>
      <c r="R93" s="8"/>
      <c r="S93" s="157">
        <v>-5.0000000000000001E-3</v>
      </c>
      <c r="T93" s="157">
        <f t="shared" si="155"/>
        <v>-5.0000000000000001E-3</v>
      </c>
      <c r="U93" s="157">
        <f t="shared" si="155"/>
        <v>-5.0000000000000001E-3</v>
      </c>
      <c r="V93" s="157">
        <f t="shared" si="155"/>
        <v>-5.0000000000000001E-3</v>
      </c>
      <c r="W93" s="156"/>
    </row>
    <row r="94" spans="2:25" s="45" customFormat="1" ht="16.2" outlineLevel="1" x14ac:dyDescent="0.45">
      <c r="B94" s="334" t="s">
        <v>18</v>
      </c>
      <c r="C94" s="335"/>
      <c r="D94" s="111"/>
      <c r="E94" s="111">
        <f>(E35+E97)/D35-1</f>
        <v>-2.3803514421730787E-3</v>
      </c>
      <c r="F94" s="111">
        <f>(F35+F97)/E35-1</f>
        <v>1.471123193589996E-3</v>
      </c>
      <c r="G94" s="111">
        <f>(G35+G97)/F35-1</f>
        <v>-3.6124920174164243E-3</v>
      </c>
      <c r="H94" s="8"/>
      <c r="I94" s="111">
        <f>(I35+I97)/G35-1</f>
        <v>2.025214034057532E-2</v>
      </c>
      <c r="J94" s="111">
        <f>(J35+J97)/I35-1</f>
        <v>-2.1296958546110023E-2</v>
      </c>
      <c r="K94" s="111">
        <f t="shared" ref="K94:N94" si="156">(K35+K97)/J35-1</f>
        <v>5.3396708990183228E-3</v>
      </c>
      <c r="L94" s="111">
        <f t="shared" si="156"/>
        <v>1.618017273425254E-3</v>
      </c>
      <c r="M94" s="180"/>
      <c r="N94" s="111">
        <f t="shared" si="156"/>
        <v>-1.2527362968421385E-2</v>
      </c>
      <c r="O94" s="111">
        <f>(O35+O97)/N35-1</f>
        <v>2.9633937782578279E-3</v>
      </c>
      <c r="P94" s="157">
        <v>3.0000000000000001E-3</v>
      </c>
      <c r="Q94" s="157">
        <v>3.0000000000000001E-3</v>
      </c>
      <c r="R94" s="8"/>
      <c r="S94" s="157">
        <v>2E-3</v>
      </c>
      <c r="T94" s="157">
        <v>2E-3</v>
      </c>
      <c r="U94" s="157">
        <v>2E-3</v>
      </c>
      <c r="V94" s="157">
        <v>2E-3</v>
      </c>
      <c r="W94" s="156"/>
    </row>
    <row r="95" spans="2:25" s="25" customFormat="1" ht="16.2" outlineLevel="1" x14ac:dyDescent="0.45">
      <c r="B95" s="334" t="s">
        <v>19</v>
      </c>
      <c r="C95" s="335"/>
      <c r="D95" s="36">
        <v>147.32</v>
      </c>
      <c r="E95" s="36">
        <v>147.38999999999999</v>
      </c>
      <c r="F95" s="36">
        <v>137.6</v>
      </c>
      <c r="G95" s="36">
        <v>141.74</v>
      </c>
      <c r="H95" s="33"/>
      <c r="I95" s="36">
        <v>122.49</v>
      </c>
      <c r="J95" s="36">
        <v>130.75</v>
      </c>
      <c r="K95" s="36">
        <v>131.71</v>
      </c>
      <c r="L95" s="36">
        <v>146.04</v>
      </c>
      <c r="M95" s="33"/>
      <c r="N95" s="36">
        <v>172</v>
      </c>
      <c r="O95" s="36">
        <v>186</v>
      </c>
      <c r="P95" s="99">
        <v>210</v>
      </c>
      <c r="Q95" s="99">
        <v>215</v>
      </c>
      <c r="R95" s="33"/>
      <c r="S95" s="99">
        <v>200</v>
      </c>
      <c r="T95" s="99">
        <v>200</v>
      </c>
      <c r="U95" s="99">
        <v>200</v>
      </c>
      <c r="V95" s="99">
        <v>200</v>
      </c>
      <c r="W95" s="27"/>
    </row>
    <row r="96" spans="2:25" s="45" customFormat="1" outlineLevel="1" x14ac:dyDescent="0.3">
      <c r="B96" s="334" t="s">
        <v>20</v>
      </c>
      <c r="C96" s="335"/>
      <c r="D96" s="36">
        <v>2585.87068804</v>
      </c>
      <c r="E96" s="35">
        <v>2004.4970726699999</v>
      </c>
      <c r="F96" s="36">
        <v>1503.7159167999998</v>
      </c>
      <c r="G96" s="36">
        <v>752.78014782000002</v>
      </c>
      <c r="H96" s="27">
        <f>SUM(D96:G96)</f>
        <v>6846.8638253299996</v>
      </c>
      <c r="I96" s="36">
        <v>3576.18839742</v>
      </c>
      <c r="J96" s="35">
        <v>2003.1534137500003</v>
      </c>
      <c r="K96" s="36">
        <f>6501-SUM(I96:J96)</f>
        <v>921.65818882999974</v>
      </c>
      <c r="L96" s="36">
        <f>7001-SUM(I96:K96)</f>
        <v>500</v>
      </c>
      <c r="M96" s="27">
        <v>7001</v>
      </c>
      <c r="N96" s="36">
        <v>2500</v>
      </c>
      <c r="O96" s="36">
        <f>5000-N96</f>
        <v>2500</v>
      </c>
      <c r="P96" s="99">
        <v>1000</v>
      </c>
      <c r="Q96" s="99">
        <v>1000</v>
      </c>
      <c r="R96" s="27">
        <f>SUM(N96:Q96)</f>
        <v>7000</v>
      </c>
      <c r="S96" s="99">
        <v>2500</v>
      </c>
      <c r="T96" s="99">
        <v>2000</v>
      </c>
      <c r="U96" s="99">
        <v>1500</v>
      </c>
      <c r="V96" s="99">
        <v>1000</v>
      </c>
      <c r="W96" s="27">
        <f>SUM(S96:V96)</f>
        <v>7000</v>
      </c>
    </row>
    <row r="97" spans="2:33" s="61" customFormat="1" ht="16.2" outlineLevel="1" x14ac:dyDescent="0.45">
      <c r="B97" s="356" t="s">
        <v>21</v>
      </c>
      <c r="C97" s="357"/>
      <c r="D97" s="245">
        <f>IF((D96)&gt;0,(D96/D95),0)</f>
        <v>17.552747</v>
      </c>
      <c r="E97" s="245">
        <f t="shared" ref="E97" si="157">IF((E96)&gt;0,(E96/E95),0)</f>
        <v>13.599953000000001</v>
      </c>
      <c r="F97" s="245">
        <f t="shared" ref="F97" si="158">IF((F96)&gt;0,(F96/F95),0)</f>
        <v>10.928167999999999</v>
      </c>
      <c r="G97" s="245">
        <f t="shared" ref="G97" si="159">IF((G96)&gt;0,(G96/G95),0)</f>
        <v>5.3109929999999999</v>
      </c>
      <c r="H97" s="246"/>
      <c r="I97" s="245">
        <f t="shared" ref="I97" si="160">IF((I96)&gt;0,(I96/I95),0)</f>
        <v>29.195758000000001</v>
      </c>
      <c r="J97" s="245">
        <f t="shared" ref="J97:Q97" si="161">IF((J96)&gt;0,(J96/J95),0)</f>
        <v>15.320485000000001</v>
      </c>
      <c r="K97" s="245">
        <f t="shared" si="161"/>
        <v>6.9976325930453243</v>
      </c>
      <c r="L97" s="245">
        <f>IF((L96)&gt;0,(L96/L95),0)</f>
        <v>3.4237195288961928</v>
      </c>
      <c r="M97" s="246"/>
      <c r="N97" s="245">
        <f t="shared" si="161"/>
        <v>14.534883720930232</v>
      </c>
      <c r="O97" s="245">
        <f t="shared" si="161"/>
        <v>13.440860215053764</v>
      </c>
      <c r="P97" s="245">
        <f t="shared" si="161"/>
        <v>4.7619047619047619</v>
      </c>
      <c r="Q97" s="245">
        <f t="shared" si="161"/>
        <v>4.6511627906976747</v>
      </c>
      <c r="R97" s="246"/>
      <c r="S97" s="245">
        <f t="shared" ref="S97:V97" si="162">IF((S96)&gt;0,(S96/S95),0)</f>
        <v>12.5</v>
      </c>
      <c r="T97" s="245">
        <f t="shared" si="162"/>
        <v>10</v>
      </c>
      <c r="U97" s="245">
        <f t="shared" si="162"/>
        <v>7.5</v>
      </c>
      <c r="V97" s="245">
        <f t="shared" si="162"/>
        <v>5</v>
      </c>
      <c r="W97" s="304"/>
    </row>
    <row r="98" spans="2:33" s="61" customFormat="1" x14ac:dyDescent="0.3">
      <c r="B98" s="21"/>
      <c r="C98" s="83"/>
      <c r="D98" s="36"/>
      <c r="E98" s="36"/>
      <c r="F98" s="36"/>
      <c r="G98" s="36"/>
      <c r="H98" s="36"/>
      <c r="I98" s="36"/>
      <c r="J98" s="36"/>
      <c r="K98" s="36"/>
      <c r="L98" s="36"/>
      <c r="M98" s="36"/>
      <c r="N98" s="36"/>
      <c r="O98" s="36"/>
      <c r="P98" s="36"/>
      <c r="Q98" s="36"/>
      <c r="R98" s="36"/>
      <c r="S98" s="14"/>
    </row>
    <row r="99" spans="2:33" s="25" customFormat="1" ht="15" customHeight="1" x14ac:dyDescent="0.3">
      <c r="B99" s="336" t="s">
        <v>55</v>
      </c>
      <c r="C99" s="337"/>
      <c r="D99" s="84"/>
      <c r="E99" s="84"/>
      <c r="F99" s="84"/>
      <c r="G99" s="84"/>
      <c r="H99" s="84"/>
      <c r="I99" s="84"/>
      <c r="J99" s="84"/>
      <c r="K99" s="84"/>
      <c r="L99" s="84"/>
      <c r="M99" s="84"/>
      <c r="N99" s="84"/>
      <c r="O99" s="84"/>
      <c r="P99" s="84"/>
      <c r="Q99" s="84"/>
      <c r="R99" s="84"/>
    </row>
    <row r="100" spans="2:33" s="45" customFormat="1" ht="15" customHeight="1" outlineLevel="1" x14ac:dyDescent="0.3">
      <c r="B100" s="338" t="s">
        <v>0</v>
      </c>
      <c r="C100" s="339"/>
      <c r="D100" s="47" t="s">
        <v>132</v>
      </c>
      <c r="E100" s="47" t="s">
        <v>133</v>
      </c>
      <c r="F100" s="47" t="s">
        <v>131</v>
      </c>
      <c r="G100" s="47" t="s">
        <v>134</v>
      </c>
      <c r="H100" s="47" t="s">
        <v>134</v>
      </c>
      <c r="I100" s="47" t="s">
        <v>132</v>
      </c>
      <c r="J100" s="47" t="s">
        <v>133</v>
      </c>
      <c r="K100" s="47" t="s">
        <v>131</v>
      </c>
      <c r="L100" s="47" t="s">
        <v>134</v>
      </c>
      <c r="M100" s="47" t="s">
        <v>134</v>
      </c>
      <c r="N100" s="47" t="s">
        <v>132</v>
      </c>
      <c r="O100" s="47" t="s">
        <v>133</v>
      </c>
      <c r="S100" s="66"/>
    </row>
    <row r="101" spans="2:33" s="45" customFormat="1" ht="16.2" outlineLevel="1" x14ac:dyDescent="0.45">
      <c r="B101" s="338"/>
      <c r="C101" s="339"/>
      <c r="D101" s="48" t="s">
        <v>22</v>
      </c>
      <c r="E101" s="48" t="s">
        <v>23</v>
      </c>
      <c r="F101" s="48" t="s">
        <v>26</v>
      </c>
      <c r="G101" s="48" t="s">
        <v>44</v>
      </c>
      <c r="H101" s="48" t="s">
        <v>45</v>
      </c>
      <c r="I101" s="48" t="s">
        <v>135</v>
      </c>
      <c r="J101" s="48" t="s">
        <v>136</v>
      </c>
      <c r="K101" s="48" t="s">
        <v>193</v>
      </c>
      <c r="L101" s="48" t="s">
        <v>194</v>
      </c>
      <c r="M101" s="48" t="s">
        <v>195</v>
      </c>
      <c r="N101" s="48" t="s">
        <v>202</v>
      </c>
      <c r="O101" s="48" t="s">
        <v>203</v>
      </c>
      <c r="S101" s="84"/>
      <c r="T101" s="84"/>
      <c r="U101" s="84"/>
      <c r="V101" s="84"/>
      <c r="W101" s="84"/>
      <c r="X101" s="84"/>
      <c r="Y101" s="84"/>
      <c r="Z101" s="84"/>
      <c r="AA101" s="84"/>
      <c r="AB101" s="84"/>
      <c r="AC101" s="84"/>
      <c r="AD101" s="84"/>
      <c r="AE101" s="84"/>
      <c r="AF101" s="84"/>
      <c r="AG101" s="84"/>
    </row>
    <row r="102" spans="2:33" s="45" customFormat="1" outlineLevel="1" x14ac:dyDescent="0.3">
      <c r="B102" s="332" t="s">
        <v>56</v>
      </c>
      <c r="C102" s="333"/>
      <c r="D102" s="85"/>
      <c r="E102" s="86"/>
      <c r="F102" s="87"/>
      <c r="G102" s="87"/>
      <c r="H102" s="88"/>
      <c r="I102" s="253"/>
      <c r="J102" s="89"/>
      <c r="K102" s="89"/>
      <c r="L102" s="89"/>
      <c r="M102" s="88"/>
      <c r="N102" s="253"/>
      <c r="O102" s="317"/>
    </row>
    <row r="103" spans="2:33" s="45" customFormat="1" outlineLevel="1" x14ac:dyDescent="0.3">
      <c r="B103" s="334" t="s">
        <v>57</v>
      </c>
      <c r="C103" s="335"/>
      <c r="D103" s="129">
        <v>8655</v>
      </c>
      <c r="E103" s="129">
        <v>9157</v>
      </c>
      <c r="F103" s="136">
        <v>9383</v>
      </c>
      <c r="G103" s="129">
        <v>11302</v>
      </c>
      <c r="H103" s="95">
        <v>11302</v>
      </c>
      <c r="I103" s="149">
        <v>7886</v>
      </c>
      <c r="J103" s="93">
        <v>8605</v>
      </c>
      <c r="K103" s="93">
        <v>8986</v>
      </c>
      <c r="L103" s="93">
        <v>8801</v>
      </c>
      <c r="M103" s="95">
        <v>8801</v>
      </c>
      <c r="N103" s="149">
        <v>8190</v>
      </c>
      <c r="O103" s="94">
        <v>8737</v>
      </c>
    </row>
    <row r="104" spans="2:33" s="45" customFormat="1" outlineLevel="1" x14ac:dyDescent="0.3">
      <c r="B104" s="334" t="s">
        <v>84</v>
      </c>
      <c r="C104" s="335"/>
      <c r="D104" s="129">
        <v>976</v>
      </c>
      <c r="E104" s="129">
        <v>468</v>
      </c>
      <c r="F104" s="129">
        <v>474</v>
      </c>
      <c r="G104" s="129">
        <v>750</v>
      </c>
      <c r="H104" s="95">
        <v>750</v>
      </c>
      <c r="I104" s="149">
        <v>466</v>
      </c>
      <c r="J104" s="93">
        <v>660</v>
      </c>
      <c r="K104" s="93">
        <v>682</v>
      </c>
      <c r="L104" s="93">
        <v>1228</v>
      </c>
      <c r="M104" s="95">
        <v>1228</v>
      </c>
      <c r="N104" s="149">
        <v>1015</v>
      </c>
      <c r="O104" s="94">
        <v>1589</v>
      </c>
    </row>
    <row r="105" spans="2:33" s="45" customFormat="1" outlineLevel="1" x14ac:dyDescent="0.3">
      <c r="B105" s="334" t="s">
        <v>58</v>
      </c>
      <c r="C105" s="335"/>
      <c r="D105" s="129">
        <v>8087</v>
      </c>
      <c r="E105" s="129">
        <v>7927</v>
      </c>
      <c r="F105" s="129">
        <v>8854</v>
      </c>
      <c r="G105" s="129">
        <v>8713</v>
      </c>
      <c r="H105" s="95">
        <v>8713</v>
      </c>
      <c r="I105" s="149">
        <v>9711</v>
      </c>
      <c r="J105" s="93">
        <v>9809</v>
      </c>
      <c r="K105" s="93">
        <v>9524</v>
      </c>
      <c r="L105" s="93">
        <v>8832</v>
      </c>
      <c r="M105" s="95">
        <v>8832</v>
      </c>
      <c r="N105" s="149">
        <v>9335</v>
      </c>
      <c r="O105" s="94">
        <v>9503</v>
      </c>
    </row>
    <row r="106" spans="2:33" s="45" customFormat="1" outlineLevel="1" x14ac:dyDescent="0.3">
      <c r="B106" s="334" t="s">
        <v>101</v>
      </c>
      <c r="C106" s="335"/>
      <c r="D106" s="129">
        <v>184</v>
      </c>
      <c r="E106" s="129">
        <v>209</v>
      </c>
      <c r="F106" s="129">
        <v>227</v>
      </c>
      <c r="G106" s="129">
        <v>212</v>
      </c>
      <c r="H106" s="95">
        <v>212</v>
      </c>
      <c r="I106" s="149">
        <v>258</v>
      </c>
      <c r="J106" s="93">
        <v>251</v>
      </c>
      <c r="K106" s="93">
        <v>365</v>
      </c>
      <c r="L106" s="93">
        <v>428</v>
      </c>
      <c r="M106" s="95">
        <v>428</v>
      </c>
      <c r="N106" s="149">
        <v>580</v>
      </c>
      <c r="O106" s="94">
        <v>549</v>
      </c>
    </row>
    <row r="107" spans="2:33" s="45" customFormat="1" outlineLevel="1" x14ac:dyDescent="0.3">
      <c r="B107" s="109" t="s">
        <v>91</v>
      </c>
      <c r="C107" s="110"/>
      <c r="D107" s="129">
        <v>17</v>
      </c>
      <c r="E107" s="129">
        <v>17</v>
      </c>
      <c r="F107" s="129">
        <v>14</v>
      </c>
      <c r="G107" s="129">
        <v>-48</v>
      </c>
      <c r="H107" s="95">
        <v>0</v>
      </c>
      <c r="I107" s="149">
        <v>0</v>
      </c>
      <c r="J107" s="93">
        <v>0</v>
      </c>
      <c r="K107" s="93">
        <v>0</v>
      </c>
      <c r="L107" s="93">
        <v>0</v>
      </c>
      <c r="M107" s="95">
        <v>0</v>
      </c>
      <c r="N107" s="149">
        <v>0</v>
      </c>
      <c r="O107" s="94">
        <v>0</v>
      </c>
    </row>
    <row r="108" spans="2:33" s="45" customFormat="1" ht="16.2" outlineLevel="1" x14ac:dyDescent="0.45">
      <c r="B108" s="334" t="s">
        <v>102</v>
      </c>
      <c r="C108" s="335"/>
      <c r="D108" s="184">
        <v>48502</v>
      </c>
      <c r="E108" s="184">
        <v>49028</v>
      </c>
      <c r="F108" s="184">
        <v>48624</v>
      </c>
      <c r="G108" s="184">
        <v>47257</v>
      </c>
      <c r="H108" s="252">
        <v>47257</v>
      </c>
      <c r="I108" s="254">
        <v>47266</v>
      </c>
      <c r="J108" s="259">
        <v>44182</v>
      </c>
      <c r="K108" s="259">
        <v>42680</v>
      </c>
      <c r="L108" s="259">
        <v>43199</v>
      </c>
      <c r="M108" s="252">
        <v>43199</v>
      </c>
      <c r="N108" s="254">
        <v>43247</v>
      </c>
      <c r="O108" s="257">
        <v>42453</v>
      </c>
    </row>
    <row r="109" spans="2:33" s="45" customFormat="1" outlineLevel="1" x14ac:dyDescent="0.3">
      <c r="B109" s="328" t="s">
        <v>59</v>
      </c>
      <c r="C109" s="329"/>
      <c r="D109" s="133">
        <f t="shared" ref="D109:J109" si="163">SUM(D103:D108)</f>
        <v>66421</v>
      </c>
      <c r="E109" s="133">
        <f t="shared" si="163"/>
        <v>66806</v>
      </c>
      <c r="F109" s="133">
        <f>SUM(F103:F108)</f>
        <v>67576</v>
      </c>
      <c r="G109" s="133">
        <v>68234</v>
      </c>
      <c r="H109" s="137">
        <v>68234</v>
      </c>
      <c r="I109" s="133">
        <f>SUM(I103:I108)</f>
        <v>65587</v>
      </c>
      <c r="J109" s="141">
        <f t="shared" si="163"/>
        <v>63507</v>
      </c>
      <c r="K109" s="141">
        <f t="shared" ref="K109:L109" si="164">SUM(K103:K108)</f>
        <v>62237</v>
      </c>
      <c r="L109" s="141">
        <f t="shared" si="164"/>
        <v>62488</v>
      </c>
      <c r="M109" s="137">
        <f t="shared" ref="M109:N109" si="165">SUM(M103:M108)</f>
        <v>62488</v>
      </c>
      <c r="N109" s="155">
        <f t="shared" si="165"/>
        <v>62367</v>
      </c>
      <c r="O109" s="153">
        <f t="shared" ref="O109" si="166">SUM(O103:O108)</f>
        <v>62831</v>
      </c>
    </row>
    <row r="110" spans="2:33" s="45" customFormat="1" outlineLevel="1" x14ac:dyDescent="0.3">
      <c r="B110" s="104" t="s">
        <v>103</v>
      </c>
      <c r="C110" s="107"/>
      <c r="D110" s="129">
        <v>3301</v>
      </c>
      <c r="E110" s="129">
        <v>3175</v>
      </c>
      <c r="F110" s="129">
        <v>3231</v>
      </c>
      <c r="G110" s="129">
        <v>3358</v>
      </c>
      <c r="H110" s="138">
        <v>3358</v>
      </c>
      <c r="I110" s="154">
        <v>2980</v>
      </c>
      <c r="J110" s="143">
        <v>2909</v>
      </c>
      <c r="K110" s="143">
        <v>3401</v>
      </c>
      <c r="L110" s="143">
        <v>3773</v>
      </c>
      <c r="M110" s="138">
        <v>3773</v>
      </c>
      <c r="N110" s="154">
        <v>3527</v>
      </c>
      <c r="O110" s="158">
        <v>3398</v>
      </c>
    </row>
    <row r="111" spans="2:33" s="45" customFormat="1" outlineLevel="1" x14ac:dyDescent="0.3">
      <c r="B111" s="334" t="s">
        <v>60</v>
      </c>
      <c r="C111" s="335"/>
      <c r="D111" s="129">
        <v>11172</v>
      </c>
      <c r="E111" s="129">
        <v>11338</v>
      </c>
      <c r="F111" s="129">
        <v>11614</v>
      </c>
      <c r="G111" s="129">
        <v>12076</v>
      </c>
      <c r="H111" s="138">
        <v>12076</v>
      </c>
      <c r="I111" s="149">
        <v>12269</v>
      </c>
      <c r="J111" s="93">
        <v>12533</v>
      </c>
      <c r="K111" s="93">
        <v>12713</v>
      </c>
      <c r="L111" s="93">
        <v>12807</v>
      </c>
      <c r="M111" s="95">
        <v>12807</v>
      </c>
      <c r="N111" s="149">
        <v>12842</v>
      </c>
      <c r="O111" s="94">
        <v>12820</v>
      </c>
    </row>
    <row r="112" spans="2:33" s="45" customFormat="1" outlineLevel="1" x14ac:dyDescent="0.3">
      <c r="B112" s="77" t="s">
        <v>86</v>
      </c>
      <c r="C112" s="78"/>
      <c r="D112" s="129">
        <v>5105</v>
      </c>
      <c r="E112" s="129">
        <v>5126</v>
      </c>
      <c r="F112" s="129">
        <v>5122</v>
      </c>
      <c r="G112" s="129">
        <v>5126</v>
      </c>
      <c r="H112" s="138">
        <v>5126</v>
      </c>
      <c r="I112" s="149">
        <v>5132</v>
      </c>
      <c r="J112" s="93">
        <v>5128</v>
      </c>
      <c r="K112" s="93">
        <v>5128</v>
      </c>
      <c r="L112" s="93">
        <v>5324</v>
      </c>
      <c r="M112" s="95">
        <v>5324</v>
      </c>
      <c r="N112" s="149">
        <v>5342</v>
      </c>
      <c r="O112" s="94">
        <v>5347</v>
      </c>
    </row>
    <row r="113" spans="2:18" s="45" customFormat="1" outlineLevel="1" x14ac:dyDescent="0.3">
      <c r="B113" s="100" t="s">
        <v>85</v>
      </c>
      <c r="C113" s="101"/>
      <c r="D113" s="129">
        <v>2809</v>
      </c>
      <c r="E113" s="129">
        <v>2763</v>
      </c>
      <c r="F113" s="129">
        <v>2706</v>
      </c>
      <c r="G113" s="129">
        <v>2657</v>
      </c>
      <c r="H113" s="138">
        <v>2657</v>
      </c>
      <c r="I113" s="149">
        <v>2594</v>
      </c>
      <c r="J113" s="93">
        <v>2544</v>
      </c>
      <c r="K113" s="93">
        <v>2488</v>
      </c>
      <c r="L113" s="93">
        <v>2540</v>
      </c>
      <c r="M113" s="95">
        <v>2540</v>
      </c>
      <c r="N113" s="149">
        <v>2496</v>
      </c>
      <c r="O113" s="94">
        <v>2567</v>
      </c>
    </row>
    <row r="114" spans="2:18" s="45" customFormat="1" outlineLevel="1" x14ac:dyDescent="0.3">
      <c r="B114" s="109" t="s">
        <v>91</v>
      </c>
      <c r="C114" s="110"/>
      <c r="D114" s="129">
        <v>6485</v>
      </c>
      <c r="E114" s="129">
        <v>6264</v>
      </c>
      <c r="F114" s="129">
        <v>6146</v>
      </c>
      <c r="G114" s="129">
        <v>265</v>
      </c>
      <c r="H114" s="138">
        <v>265</v>
      </c>
      <c r="I114" s="149">
        <v>267</v>
      </c>
      <c r="J114" s="93">
        <v>267</v>
      </c>
      <c r="K114" s="93">
        <v>265</v>
      </c>
      <c r="L114" s="93">
        <v>332</v>
      </c>
      <c r="M114" s="95">
        <v>332</v>
      </c>
      <c r="N114" s="149">
        <v>336</v>
      </c>
      <c r="O114" s="94">
        <v>325</v>
      </c>
    </row>
    <row r="115" spans="2:18" s="45" customFormat="1" outlineLevel="1" x14ac:dyDescent="0.3">
      <c r="B115" s="109" t="s">
        <v>141</v>
      </c>
      <c r="C115" s="110"/>
      <c r="D115" s="129">
        <v>1154</v>
      </c>
      <c r="E115" s="129">
        <v>1256</v>
      </c>
      <c r="F115" s="129">
        <v>1277</v>
      </c>
      <c r="G115" s="129">
        <v>1284</v>
      </c>
      <c r="H115" s="138">
        <v>1284</v>
      </c>
      <c r="I115" s="149">
        <v>1297</v>
      </c>
      <c r="J115" s="93">
        <v>1312</v>
      </c>
      <c r="K115" s="93">
        <v>1303</v>
      </c>
      <c r="L115" s="93">
        <v>1317</v>
      </c>
      <c r="M115" s="95">
        <v>1317</v>
      </c>
      <c r="N115" s="149">
        <v>1319</v>
      </c>
      <c r="O115" s="94">
        <v>1278</v>
      </c>
    </row>
    <row r="116" spans="2:18" s="45" customFormat="1" ht="16.2" outlineLevel="1" x14ac:dyDescent="0.45">
      <c r="B116" s="334" t="s">
        <v>87</v>
      </c>
      <c r="C116" s="335"/>
      <c r="D116" s="184">
        <v>1328</v>
      </c>
      <c r="E116" s="184">
        <v>1374</v>
      </c>
      <c r="F116" s="184">
        <v>1326</v>
      </c>
      <c r="G116" s="184">
        <v>1408</v>
      </c>
      <c r="H116" s="252">
        <v>1408</v>
      </c>
      <c r="I116" s="254">
        <v>1421</v>
      </c>
      <c r="J116" s="259">
        <v>1409</v>
      </c>
      <c r="K116" s="259">
        <v>1415</v>
      </c>
      <c r="L116" s="259">
        <v>1416</v>
      </c>
      <c r="M116" s="252">
        <v>1416</v>
      </c>
      <c r="N116" s="254">
        <v>1444</v>
      </c>
      <c r="O116" s="257">
        <v>1470</v>
      </c>
    </row>
    <row r="117" spans="2:18" s="45" customFormat="1" outlineLevel="1" x14ac:dyDescent="0.3">
      <c r="B117" s="328" t="s">
        <v>61</v>
      </c>
      <c r="C117" s="329"/>
      <c r="D117" s="133">
        <f t="shared" ref="D117" si="167">SUM(D109:D116)</f>
        <v>97775</v>
      </c>
      <c r="E117" s="133">
        <f t="shared" ref="E117:F117" si="168">SUM(E109:E116)</f>
        <v>98102</v>
      </c>
      <c r="F117" s="133">
        <f t="shared" si="168"/>
        <v>98998</v>
      </c>
      <c r="G117" s="133">
        <v>94408</v>
      </c>
      <c r="H117" s="137">
        <v>94408</v>
      </c>
      <c r="I117" s="155">
        <f t="shared" ref="I117:J117" si="169">SUM(I109:I116)</f>
        <v>91547</v>
      </c>
      <c r="J117" s="141">
        <f t="shared" si="169"/>
        <v>89609</v>
      </c>
      <c r="K117" s="141">
        <f t="shared" ref="K117:L117" si="170">SUM(K109:K116)</f>
        <v>88950</v>
      </c>
      <c r="L117" s="141">
        <f t="shared" si="170"/>
        <v>89997</v>
      </c>
      <c r="M117" s="137">
        <f t="shared" ref="M117:N117" si="171">SUM(M109:M116)</f>
        <v>89997</v>
      </c>
      <c r="N117" s="155">
        <f t="shared" si="171"/>
        <v>89673</v>
      </c>
      <c r="O117" s="153">
        <f t="shared" ref="O117" si="172">SUM(O109:O116)</f>
        <v>90036</v>
      </c>
    </row>
    <row r="118" spans="2:18" s="45" customFormat="1" outlineLevel="1" x14ac:dyDescent="0.3">
      <c r="B118" s="332" t="s">
        <v>62</v>
      </c>
      <c r="C118" s="333"/>
      <c r="D118" s="129"/>
      <c r="E118" s="129"/>
      <c r="F118" s="129"/>
      <c r="G118" s="129"/>
      <c r="H118" s="95"/>
      <c r="I118" s="149"/>
      <c r="J118" s="93"/>
      <c r="K118" s="93"/>
      <c r="L118" s="93"/>
      <c r="M118" s="95"/>
      <c r="N118" s="149"/>
      <c r="O118" s="94"/>
    </row>
    <row r="119" spans="2:18" s="45" customFormat="1" outlineLevel="1" x14ac:dyDescent="0.3">
      <c r="B119" s="334" t="s">
        <v>63</v>
      </c>
      <c r="C119" s="335"/>
      <c r="D119" s="129">
        <v>11497</v>
      </c>
      <c r="E119" s="129">
        <v>11531</v>
      </c>
      <c r="F119" s="129">
        <v>11777</v>
      </c>
      <c r="G119" s="94">
        <v>10800</v>
      </c>
      <c r="H119" s="95">
        <v>10800</v>
      </c>
      <c r="I119" s="149">
        <v>11558</v>
      </c>
      <c r="J119" s="93">
        <v>11748</v>
      </c>
      <c r="K119" s="93">
        <v>11968</v>
      </c>
      <c r="L119" s="93">
        <v>11190</v>
      </c>
      <c r="M119" s="95">
        <v>11190</v>
      </c>
      <c r="N119" s="149">
        <v>11964</v>
      </c>
      <c r="O119" s="94">
        <v>12093</v>
      </c>
    </row>
    <row r="120" spans="2:18" s="45" customFormat="1" outlineLevel="1" x14ac:dyDescent="0.3">
      <c r="B120" s="326" t="s">
        <v>122</v>
      </c>
      <c r="C120" s="327"/>
      <c r="D120" s="129">
        <v>11958</v>
      </c>
      <c r="E120" s="129">
        <v>13226</v>
      </c>
      <c r="F120" s="129">
        <v>12770</v>
      </c>
      <c r="G120" s="94">
        <v>14014</v>
      </c>
      <c r="H120" s="95">
        <v>14014</v>
      </c>
      <c r="I120" s="149">
        <v>12790</v>
      </c>
      <c r="J120" s="93">
        <v>13534</v>
      </c>
      <c r="K120" s="93">
        <v>13243</v>
      </c>
      <c r="L120" s="93">
        <v>14691</v>
      </c>
      <c r="M120" s="95">
        <v>14691</v>
      </c>
      <c r="N120" s="149">
        <v>13332</v>
      </c>
      <c r="O120" s="94">
        <v>14294</v>
      </c>
    </row>
    <row r="121" spans="2:18" s="45" customFormat="1" outlineLevel="1" x14ac:dyDescent="0.3">
      <c r="B121" s="326" t="s">
        <v>104</v>
      </c>
      <c r="C121" s="327"/>
      <c r="D121" s="129">
        <v>22752</v>
      </c>
      <c r="E121" s="129">
        <v>23373</v>
      </c>
      <c r="F121" s="129">
        <v>23442</v>
      </c>
      <c r="G121" s="94">
        <v>24364</v>
      </c>
      <c r="H121" s="95">
        <v>24364</v>
      </c>
      <c r="I121" s="149">
        <v>23926</v>
      </c>
      <c r="J121" s="93">
        <v>23409</v>
      </c>
      <c r="K121" s="93">
        <v>22646</v>
      </c>
      <c r="L121" s="93">
        <v>23869</v>
      </c>
      <c r="M121" s="95">
        <v>23869</v>
      </c>
      <c r="N121" s="149">
        <v>24118</v>
      </c>
      <c r="O121" s="94">
        <v>25802</v>
      </c>
    </row>
    <row r="122" spans="2:18" s="45" customFormat="1" outlineLevel="1" x14ac:dyDescent="0.3">
      <c r="B122" s="104" t="s">
        <v>114</v>
      </c>
      <c r="C122" s="105"/>
      <c r="D122" s="129">
        <v>8916</v>
      </c>
      <c r="E122" s="129">
        <v>8894</v>
      </c>
      <c r="F122" s="129">
        <v>9205</v>
      </c>
      <c r="G122" s="94">
        <v>0</v>
      </c>
      <c r="H122" s="95">
        <v>0</v>
      </c>
      <c r="I122" s="149">
        <v>0</v>
      </c>
      <c r="J122" s="93">
        <v>0</v>
      </c>
      <c r="K122" s="93">
        <v>0</v>
      </c>
      <c r="L122" s="93">
        <v>0</v>
      </c>
      <c r="M122" s="95">
        <v>0</v>
      </c>
      <c r="N122" s="149">
        <v>0</v>
      </c>
      <c r="O122" s="94">
        <v>0</v>
      </c>
    </row>
    <row r="123" spans="2:18" s="45" customFormat="1" ht="16.2" outlineLevel="1" x14ac:dyDescent="0.45">
      <c r="B123" s="326" t="s">
        <v>105</v>
      </c>
      <c r="C123" s="327"/>
      <c r="D123" s="184">
        <v>133</v>
      </c>
      <c r="E123" s="184">
        <v>112</v>
      </c>
      <c r="F123" s="184">
        <v>614</v>
      </c>
      <c r="G123" s="257">
        <v>1234</v>
      </c>
      <c r="H123" s="252">
        <v>1234</v>
      </c>
      <c r="I123" s="254">
        <v>1243</v>
      </c>
      <c r="J123" s="259">
        <v>1168</v>
      </c>
      <c r="K123" s="259">
        <v>632</v>
      </c>
      <c r="L123" s="259">
        <v>384</v>
      </c>
      <c r="M123" s="252">
        <v>384</v>
      </c>
      <c r="N123" s="254">
        <v>367</v>
      </c>
      <c r="O123" s="257">
        <v>720</v>
      </c>
    </row>
    <row r="124" spans="2:18" s="45" customFormat="1" outlineLevel="1" x14ac:dyDescent="0.3">
      <c r="B124" s="328" t="s">
        <v>64</v>
      </c>
      <c r="C124" s="329"/>
      <c r="D124" s="133">
        <f t="shared" ref="D124:F124" si="173">SUM(D119:D123)</f>
        <v>55256</v>
      </c>
      <c r="E124" s="133">
        <f t="shared" si="173"/>
        <v>57136</v>
      </c>
      <c r="F124" s="133">
        <f t="shared" si="173"/>
        <v>57808</v>
      </c>
      <c r="G124" s="153">
        <v>50412</v>
      </c>
      <c r="H124" s="137">
        <v>50412</v>
      </c>
      <c r="I124" s="155">
        <f>SUM(I119:I123)</f>
        <v>49517</v>
      </c>
      <c r="J124" s="141">
        <f>SUM(J119:J123)</f>
        <v>49859</v>
      </c>
      <c r="K124" s="141">
        <f t="shared" ref="K124:M124" si="174">SUM(K119:K123)</f>
        <v>48489</v>
      </c>
      <c r="L124" s="141">
        <f t="shared" si="174"/>
        <v>50134</v>
      </c>
      <c r="M124" s="137">
        <f t="shared" si="174"/>
        <v>50134</v>
      </c>
      <c r="N124" s="155">
        <f t="shared" ref="N124" si="175">SUM(N119:N123)</f>
        <v>49781</v>
      </c>
      <c r="O124" s="153">
        <f t="shared" ref="O124" si="176">SUM(O119:O123)</f>
        <v>52909</v>
      </c>
    </row>
    <row r="125" spans="2:18" s="45" customFormat="1" outlineLevel="1" x14ac:dyDescent="0.3">
      <c r="B125" s="104" t="s">
        <v>91</v>
      </c>
      <c r="C125" s="107"/>
      <c r="D125" s="133"/>
      <c r="E125" s="133"/>
      <c r="F125" s="133"/>
      <c r="G125" s="158">
        <v>2392</v>
      </c>
      <c r="H125" s="138">
        <v>2392</v>
      </c>
      <c r="I125" s="154">
        <v>2297</v>
      </c>
      <c r="J125" s="143">
        <v>2422</v>
      </c>
      <c r="K125" s="143">
        <v>2211</v>
      </c>
      <c r="L125" s="143">
        <v>1338</v>
      </c>
      <c r="M125" s="138">
        <v>1338</v>
      </c>
      <c r="N125" s="154">
        <v>1338</v>
      </c>
      <c r="O125" s="158">
        <v>1415</v>
      </c>
    </row>
    <row r="126" spans="2:18" s="45" customFormat="1" outlineLevel="1" x14ac:dyDescent="0.3">
      <c r="B126" s="104" t="s">
        <v>106</v>
      </c>
      <c r="C126" s="105"/>
      <c r="D126" s="129">
        <v>6789</v>
      </c>
      <c r="E126" s="129">
        <v>6777</v>
      </c>
      <c r="F126" s="129">
        <v>6746</v>
      </c>
      <c r="G126" s="158">
        <v>6616</v>
      </c>
      <c r="H126" s="138">
        <v>6616</v>
      </c>
      <c r="I126" s="154">
        <v>6614</v>
      </c>
      <c r="J126" s="143">
        <v>6586</v>
      </c>
      <c r="K126" s="143">
        <v>6544</v>
      </c>
      <c r="L126" s="143">
        <v>5916</v>
      </c>
      <c r="M126" s="138">
        <v>5916</v>
      </c>
      <c r="N126" s="154">
        <v>5916</v>
      </c>
      <c r="O126" s="158">
        <v>5856</v>
      </c>
      <c r="P126" s="46"/>
      <c r="Q126" s="46"/>
      <c r="R126" s="46"/>
    </row>
    <row r="127" spans="2:18" s="45" customFormat="1" outlineLevel="1" x14ac:dyDescent="0.3">
      <c r="B127" s="104" t="s">
        <v>107</v>
      </c>
      <c r="C127" s="105"/>
      <c r="D127" s="129">
        <v>17362</v>
      </c>
      <c r="E127" s="129">
        <v>17537</v>
      </c>
      <c r="F127" s="129">
        <v>17795</v>
      </c>
      <c r="G127" s="158">
        <v>17783</v>
      </c>
      <c r="H127" s="138">
        <v>17783</v>
      </c>
      <c r="I127" s="154">
        <v>18196</v>
      </c>
      <c r="J127" s="143">
        <v>18200</v>
      </c>
      <c r="K127" s="143">
        <v>18003</v>
      </c>
      <c r="L127" s="143">
        <v>19943</v>
      </c>
      <c r="M127" s="138">
        <v>19943</v>
      </c>
      <c r="N127" s="154">
        <v>19943</v>
      </c>
      <c r="O127" s="158">
        <v>19651</v>
      </c>
      <c r="P127" s="46"/>
      <c r="Q127" s="46"/>
      <c r="R127" s="46"/>
    </row>
    <row r="128" spans="2:18" s="45" customFormat="1" outlineLevel="1" x14ac:dyDescent="0.3">
      <c r="B128" s="104" t="s">
        <v>115</v>
      </c>
      <c r="C128" s="105"/>
      <c r="D128" s="129">
        <v>352</v>
      </c>
      <c r="E128" s="129">
        <v>389</v>
      </c>
      <c r="F128" s="129">
        <v>378</v>
      </c>
      <c r="G128" s="130">
        <v>0</v>
      </c>
      <c r="H128" s="138">
        <v>0</v>
      </c>
      <c r="I128" s="149">
        <v>0</v>
      </c>
      <c r="J128" s="93">
        <v>0</v>
      </c>
      <c r="K128" s="93">
        <v>0</v>
      </c>
      <c r="L128" s="93">
        <v>0</v>
      </c>
      <c r="M128" s="95">
        <v>0</v>
      </c>
      <c r="N128" s="149">
        <v>0</v>
      </c>
      <c r="O128" s="94">
        <v>0</v>
      </c>
      <c r="P128" s="46"/>
      <c r="Q128" s="46"/>
      <c r="R128" s="46"/>
    </row>
    <row r="129" spans="2:18" s="46" customFormat="1" outlineLevel="1" x14ac:dyDescent="0.3">
      <c r="B129" s="104" t="s">
        <v>65</v>
      </c>
      <c r="C129" s="105"/>
      <c r="D129" s="129">
        <v>1081</v>
      </c>
      <c r="E129" s="129">
        <v>1052</v>
      </c>
      <c r="F129" s="129">
        <v>1083</v>
      </c>
      <c r="G129" s="129">
        <v>2078</v>
      </c>
      <c r="H129" s="138">
        <v>2078</v>
      </c>
      <c r="I129" s="154">
        <v>2096</v>
      </c>
      <c r="J129" s="143">
        <v>2048</v>
      </c>
      <c r="K129" s="143">
        <v>1729</v>
      </c>
      <c r="L129" s="143">
        <v>2221</v>
      </c>
      <c r="M129" s="138">
        <v>2221</v>
      </c>
      <c r="N129" s="154">
        <v>2221</v>
      </c>
      <c r="O129" s="158">
        <v>2128</v>
      </c>
    </row>
    <row r="130" spans="2:18" s="46" customFormat="1" ht="16.2" outlineLevel="1" x14ac:dyDescent="0.45">
      <c r="B130" s="104" t="s">
        <v>108</v>
      </c>
      <c r="C130" s="105"/>
      <c r="D130" s="184">
        <v>8905</v>
      </c>
      <c r="E130" s="184">
        <v>8904</v>
      </c>
      <c r="F130" s="184">
        <v>8402</v>
      </c>
      <c r="G130" s="184">
        <v>8730</v>
      </c>
      <c r="H130" s="252">
        <v>8730</v>
      </c>
      <c r="I130" s="254">
        <v>8721</v>
      </c>
      <c r="J130" s="259">
        <v>9847</v>
      </c>
      <c r="K130" s="259">
        <v>9824</v>
      </c>
      <c r="L130" s="259">
        <v>9568</v>
      </c>
      <c r="M130" s="252">
        <v>9568</v>
      </c>
      <c r="N130" s="254">
        <v>9568</v>
      </c>
      <c r="O130" s="257">
        <v>10055</v>
      </c>
    </row>
    <row r="131" spans="2:18" s="46" customFormat="1" outlineLevel="1" x14ac:dyDescent="0.3">
      <c r="B131" s="328" t="s">
        <v>66</v>
      </c>
      <c r="C131" s="329"/>
      <c r="D131" s="133">
        <f>SUM(D124:D130)</f>
        <v>89745</v>
      </c>
      <c r="E131" s="133">
        <f>SUM(E124:E130)</f>
        <v>91795</v>
      </c>
      <c r="F131" s="133">
        <f>SUM(F124:F130)</f>
        <v>92212</v>
      </c>
      <c r="G131" s="133">
        <v>88011</v>
      </c>
      <c r="H131" s="139">
        <v>88011</v>
      </c>
      <c r="I131" s="155">
        <f>SUM(I124:I130)</f>
        <v>87441</v>
      </c>
      <c r="J131" s="141">
        <f>SUM(J124:J130)</f>
        <v>88962</v>
      </c>
      <c r="K131" s="141">
        <f t="shared" ref="K131:M131" si="177">SUM(K124:K130)</f>
        <v>86800</v>
      </c>
      <c r="L131" s="141">
        <f t="shared" si="177"/>
        <v>89120</v>
      </c>
      <c r="M131" s="137">
        <f t="shared" si="177"/>
        <v>89120</v>
      </c>
      <c r="N131" s="155">
        <f t="shared" ref="N131" si="178">SUM(N124:N130)</f>
        <v>88767</v>
      </c>
      <c r="O131" s="153">
        <f t="shared" ref="O131" si="179">SUM(O124:O130)</f>
        <v>92014</v>
      </c>
    </row>
    <row r="132" spans="2:18" s="46" customFormat="1" outlineLevel="1" x14ac:dyDescent="0.3">
      <c r="B132" s="332" t="s">
        <v>67</v>
      </c>
      <c r="C132" s="333"/>
      <c r="D132" s="129"/>
      <c r="E132" s="129"/>
      <c r="F132" s="136"/>
      <c r="G132" s="129"/>
      <c r="H132" s="95"/>
      <c r="I132" s="255"/>
      <c r="J132" s="267"/>
      <c r="K132" s="267"/>
      <c r="L132" s="267"/>
      <c r="M132" s="273"/>
      <c r="N132" s="255"/>
      <c r="O132" s="318"/>
    </row>
    <row r="133" spans="2:18" s="46" customFormat="1" outlineLevel="1" x14ac:dyDescent="0.3">
      <c r="B133" s="326" t="s">
        <v>89</v>
      </c>
      <c r="C133" s="327"/>
      <c r="D133" s="129">
        <v>5061</v>
      </c>
      <c r="E133" s="129">
        <v>5061</v>
      </c>
      <c r="F133" s="136">
        <v>5061</v>
      </c>
      <c r="G133" s="94">
        <v>5061</v>
      </c>
      <c r="H133" s="95">
        <v>5061</v>
      </c>
      <c r="I133" s="149">
        <f t="shared" ref="I133" si="180">H133</f>
        <v>5061</v>
      </c>
      <c r="J133" s="93">
        <v>5061</v>
      </c>
      <c r="K133" s="93">
        <v>5061</v>
      </c>
      <c r="L133" s="93">
        <v>5061</v>
      </c>
      <c r="M133" s="95">
        <v>5061</v>
      </c>
      <c r="N133" s="149">
        <v>5061</v>
      </c>
      <c r="O133" s="94">
        <v>5061</v>
      </c>
      <c r="P133" s="45"/>
      <c r="Q133" s="45"/>
      <c r="R133" s="45"/>
    </row>
    <row r="134" spans="2:18" s="45" customFormat="1" ht="15.75" customHeight="1" outlineLevel="1" x14ac:dyDescent="0.3">
      <c r="B134" s="102" t="s">
        <v>88</v>
      </c>
      <c r="C134" s="103"/>
      <c r="D134" s="129">
        <v>4657</v>
      </c>
      <c r="E134" s="129">
        <v>4721</v>
      </c>
      <c r="F134" s="136">
        <v>4771</v>
      </c>
      <c r="G134" s="94">
        <v>4834</v>
      </c>
      <c r="H134" s="95">
        <v>4834</v>
      </c>
      <c r="I134" s="149">
        <v>4784</v>
      </c>
      <c r="J134" s="93">
        <v>4778</v>
      </c>
      <c r="K134" s="93">
        <v>4808</v>
      </c>
      <c r="L134" s="93">
        <v>4762</v>
      </c>
      <c r="M134" s="95">
        <v>4762</v>
      </c>
      <c r="N134" s="149">
        <v>4762</v>
      </c>
      <c r="O134" s="94">
        <v>4644</v>
      </c>
    </row>
    <row r="135" spans="2:18" s="45" customFormat="1" outlineLevel="1" x14ac:dyDescent="0.3">
      <c r="B135" s="104" t="s">
        <v>109</v>
      </c>
      <c r="C135" s="105"/>
      <c r="D135" s="129">
        <v>-25513</v>
      </c>
      <c r="E135" s="129">
        <v>-27463</v>
      </c>
      <c r="F135" s="136">
        <v>-28898</v>
      </c>
      <c r="G135" s="94">
        <v>-29568</v>
      </c>
      <c r="H135" s="95">
        <v>-29568</v>
      </c>
      <c r="I135" s="149">
        <v>-32939</v>
      </c>
      <c r="J135" s="93">
        <v>-34821</v>
      </c>
      <c r="K135" s="93">
        <v>-35763</v>
      </c>
      <c r="L135" s="93">
        <v>-36097</v>
      </c>
      <c r="M135" s="95">
        <v>-36097</v>
      </c>
      <c r="N135" s="149">
        <v>-36097</v>
      </c>
      <c r="O135" s="94">
        <v>-40730</v>
      </c>
    </row>
    <row r="136" spans="2:18" s="45" customFormat="1" outlineLevel="1" x14ac:dyDescent="0.3">
      <c r="B136" s="104" t="s">
        <v>110</v>
      </c>
      <c r="C136" s="105"/>
      <c r="D136" s="129">
        <v>37516</v>
      </c>
      <c r="E136" s="129">
        <v>37365</v>
      </c>
      <c r="F136" s="136">
        <v>39069</v>
      </c>
      <c r="G136" s="94">
        <v>38756</v>
      </c>
      <c r="H136" s="95">
        <v>38756</v>
      </c>
      <c r="I136" s="149">
        <v>39975</v>
      </c>
      <c r="J136" s="93">
        <v>38362</v>
      </c>
      <c r="K136" s="93">
        <v>40641</v>
      </c>
      <c r="L136" s="93">
        <v>40714</v>
      </c>
      <c r="M136" s="95">
        <v>40714</v>
      </c>
      <c r="N136" s="149">
        <v>40714</v>
      </c>
      <c r="O136" s="94">
        <v>42222</v>
      </c>
    </row>
    <row r="137" spans="2:18" s="45" customFormat="1" ht="15.45" customHeight="1" outlineLevel="1" x14ac:dyDescent="0.45">
      <c r="B137" s="102" t="s">
        <v>90</v>
      </c>
      <c r="C137" s="103"/>
      <c r="D137" s="184">
        <v>-13815</v>
      </c>
      <c r="E137" s="184">
        <v>-13420</v>
      </c>
      <c r="F137" s="258">
        <v>-13263</v>
      </c>
      <c r="G137" s="257">
        <v>-12748</v>
      </c>
      <c r="H137" s="252">
        <v>-12748</v>
      </c>
      <c r="I137" s="254">
        <v>-12838</v>
      </c>
      <c r="J137" s="259">
        <v>-12795</v>
      </c>
      <c r="K137" s="259">
        <v>-12658</v>
      </c>
      <c r="L137" s="259">
        <v>-13623</v>
      </c>
      <c r="M137" s="252">
        <v>-13623</v>
      </c>
      <c r="N137" s="254">
        <v>-13623</v>
      </c>
      <c r="O137" s="257">
        <v>-13234</v>
      </c>
      <c r="P137" s="46"/>
      <c r="Q137" s="46"/>
      <c r="R137" s="46"/>
    </row>
    <row r="138" spans="2:18" s="45" customFormat="1" outlineLevel="1" x14ac:dyDescent="0.3">
      <c r="B138" s="328" t="s">
        <v>68</v>
      </c>
      <c r="C138" s="329"/>
      <c r="D138" s="140">
        <f t="shared" ref="D138:F138" si="181">SUM(D133:D137)</f>
        <v>7906</v>
      </c>
      <c r="E138" s="140">
        <f t="shared" si="181"/>
        <v>6264</v>
      </c>
      <c r="F138" s="141">
        <f t="shared" si="181"/>
        <v>6740</v>
      </c>
      <c r="G138" s="153">
        <v>6335</v>
      </c>
      <c r="H138" s="137">
        <v>6335</v>
      </c>
      <c r="I138" s="155">
        <f>SUM(I133:I137)</f>
        <v>4043</v>
      </c>
      <c r="J138" s="141">
        <f>SUM(J133:J137)</f>
        <v>585</v>
      </c>
      <c r="K138" s="141">
        <f t="shared" ref="K138:M138" si="182">SUM(K133:K137)</f>
        <v>2089</v>
      </c>
      <c r="L138" s="141">
        <f t="shared" si="182"/>
        <v>817</v>
      </c>
      <c r="M138" s="137">
        <f t="shared" si="182"/>
        <v>817</v>
      </c>
      <c r="N138" s="155">
        <f t="shared" ref="N138" si="183">SUM(N133:N137)</f>
        <v>817</v>
      </c>
      <c r="O138" s="153">
        <f t="shared" ref="O138" si="184">SUM(O133:O137)</f>
        <v>-2037</v>
      </c>
    </row>
    <row r="139" spans="2:18" s="46" customFormat="1" ht="16.2" outlineLevel="1" x14ac:dyDescent="0.45">
      <c r="B139" s="104" t="s">
        <v>111</v>
      </c>
      <c r="C139" s="107"/>
      <c r="D139" s="134">
        <v>124</v>
      </c>
      <c r="E139" s="134">
        <v>43</v>
      </c>
      <c r="F139" s="259">
        <v>46</v>
      </c>
      <c r="G139" s="257">
        <v>62</v>
      </c>
      <c r="H139" s="252">
        <v>62</v>
      </c>
      <c r="I139" s="254">
        <v>63</v>
      </c>
      <c r="J139" s="259">
        <v>62</v>
      </c>
      <c r="K139" s="259">
        <v>61</v>
      </c>
      <c r="L139" s="259">
        <v>60</v>
      </c>
      <c r="M139" s="252">
        <v>61</v>
      </c>
      <c r="N139" s="254">
        <v>62</v>
      </c>
      <c r="O139" s="257">
        <v>59</v>
      </c>
      <c r="P139" s="45"/>
      <c r="Q139" s="45"/>
      <c r="R139" s="45"/>
    </row>
    <row r="140" spans="2:18" s="45" customFormat="1" outlineLevel="1" x14ac:dyDescent="0.3">
      <c r="B140" s="104" t="s">
        <v>112</v>
      </c>
      <c r="C140" s="107"/>
      <c r="D140" s="140">
        <f>SUM(D138:D139)</f>
        <v>8030</v>
      </c>
      <c r="E140" s="140">
        <f>SUM(E138:E139)</f>
        <v>6307</v>
      </c>
      <c r="F140" s="140">
        <f>SUM(F138:F139)</f>
        <v>6786</v>
      </c>
      <c r="G140" s="153">
        <v>6397</v>
      </c>
      <c r="H140" s="137">
        <v>6397</v>
      </c>
      <c r="I140" s="140">
        <f>SUM(I138:I139)</f>
        <v>4106</v>
      </c>
      <c r="J140" s="141">
        <f>SUM(J138:J139)</f>
        <v>647</v>
      </c>
      <c r="K140" s="141">
        <f t="shared" ref="K140:M140" si="185">SUM(K138:K139)</f>
        <v>2150</v>
      </c>
      <c r="L140" s="141">
        <f t="shared" si="185"/>
        <v>877</v>
      </c>
      <c r="M140" s="137">
        <f t="shared" si="185"/>
        <v>878</v>
      </c>
      <c r="N140" s="155">
        <f t="shared" ref="N140" si="186">SUM(N138:N139)</f>
        <v>879</v>
      </c>
      <c r="O140" s="153">
        <f t="shared" ref="O140" si="187">SUM(O138:O139)</f>
        <v>-1978</v>
      </c>
    </row>
    <row r="141" spans="2:18" s="45" customFormat="1" outlineLevel="1" x14ac:dyDescent="0.3">
      <c r="B141" s="340" t="s">
        <v>69</v>
      </c>
      <c r="C141" s="341"/>
      <c r="D141" s="144">
        <f>D140+D131</f>
        <v>97775</v>
      </c>
      <c r="E141" s="144">
        <f>E140+E131</f>
        <v>98102</v>
      </c>
      <c r="F141" s="144">
        <f>F140+F131</f>
        <v>98998</v>
      </c>
      <c r="G141" s="159">
        <v>94408</v>
      </c>
      <c r="H141" s="145">
        <v>94408</v>
      </c>
      <c r="I141" s="256">
        <f>I140+I131</f>
        <v>91547</v>
      </c>
      <c r="J141" s="144">
        <f>J140+J131</f>
        <v>89609</v>
      </c>
      <c r="K141" s="144">
        <f>K140+K131</f>
        <v>88950</v>
      </c>
      <c r="L141" s="144">
        <f t="shared" ref="L141:M141" si="188">L140+L131</f>
        <v>89997</v>
      </c>
      <c r="M141" s="145">
        <f t="shared" si="188"/>
        <v>89998</v>
      </c>
      <c r="N141" s="256">
        <f t="shared" ref="N141:O141" si="189">N140+N131</f>
        <v>89646</v>
      </c>
      <c r="O141" s="159">
        <f t="shared" si="189"/>
        <v>90036</v>
      </c>
    </row>
    <row r="142" spans="2:18" s="45" customFormat="1" x14ac:dyDescent="0.3">
      <c r="B142" s="18"/>
      <c r="C142" s="90"/>
      <c r="D142" s="1">
        <f t="shared" ref="D142:G142" si="190">D141-D117</f>
        <v>0</v>
      </c>
      <c r="E142" s="1">
        <f t="shared" si="190"/>
        <v>0</v>
      </c>
      <c r="F142" s="1">
        <f t="shared" si="190"/>
        <v>0</v>
      </c>
      <c r="G142" s="1">
        <f t="shared" si="190"/>
        <v>0</v>
      </c>
      <c r="H142" s="1"/>
      <c r="I142" s="1">
        <f>I141-I117</f>
        <v>0</v>
      </c>
      <c r="J142" s="1">
        <f>J141-J117</f>
        <v>0</v>
      </c>
      <c r="M142" s="120"/>
      <c r="N142" s="120"/>
    </row>
    <row r="143" spans="2:18" s="45" customFormat="1" ht="15.6" x14ac:dyDescent="0.3">
      <c r="B143" s="336" t="s">
        <v>70</v>
      </c>
      <c r="C143" s="337"/>
      <c r="D143" s="7"/>
      <c r="E143" s="1"/>
      <c r="F143" s="2"/>
      <c r="G143" s="2"/>
      <c r="H143" s="91"/>
    </row>
    <row r="144" spans="2:18" s="45" customFormat="1" outlineLevel="1" x14ac:dyDescent="0.3">
      <c r="B144" s="338" t="s">
        <v>0</v>
      </c>
      <c r="C144" s="339"/>
      <c r="D144" s="47" t="s">
        <v>132</v>
      </c>
      <c r="E144" s="47" t="s">
        <v>133</v>
      </c>
      <c r="F144" s="47" t="s">
        <v>131</v>
      </c>
      <c r="G144" s="47" t="s">
        <v>134</v>
      </c>
      <c r="H144" s="47" t="s">
        <v>134</v>
      </c>
      <c r="I144" s="47" t="s">
        <v>132</v>
      </c>
      <c r="J144" s="47" t="s">
        <v>133</v>
      </c>
      <c r="K144" s="47" t="s">
        <v>131</v>
      </c>
      <c r="L144" s="47" t="s">
        <v>134</v>
      </c>
      <c r="M144" s="47" t="s">
        <v>134</v>
      </c>
      <c r="N144" s="47" t="s">
        <v>132</v>
      </c>
      <c r="O144" s="47" t="s">
        <v>133</v>
      </c>
    </row>
    <row r="145" spans="2:15" s="45" customFormat="1" ht="16.2" outlineLevel="1" x14ac:dyDescent="0.45">
      <c r="B145" s="338"/>
      <c r="C145" s="339"/>
      <c r="D145" s="48" t="s">
        <v>22</v>
      </c>
      <c r="E145" s="48" t="s">
        <v>23</v>
      </c>
      <c r="F145" s="48" t="s">
        <v>26</v>
      </c>
      <c r="G145" s="48" t="s">
        <v>44</v>
      </c>
      <c r="H145" s="48" t="s">
        <v>45</v>
      </c>
      <c r="I145" s="48" t="s">
        <v>135</v>
      </c>
      <c r="J145" s="48" t="s">
        <v>136</v>
      </c>
      <c r="K145" s="48" t="s">
        <v>193</v>
      </c>
      <c r="L145" s="48" t="s">
        <v>194</v>
      </c>
      <c r="M145" s="48" t="s">
        <v>195</v>
      </c>
      <c r="N145" s="48" t="s">
        <v>202</v>
      </c>
      <c r="O145" s="48" t="s">
        <v>203</v>
      </c>
    </row>
    <row r="146" spans="2:15" s="45" customFormat="1" outlineLevel="1" x14ac:dyDescent="0.3">
      <c r="B146" s="332" t="s">
        <v>71</v>
      </c>
      <c r="C146" s="333"/>
      <c r="D146" s="96"/>
      <c r="E146" s="89"/>
      <c r="F146" s="87"/>
      <c r="G146" s="87"/>
      <c r="H146" s="88"/>
      <c r="I146" s="123"/>
      <c r="J146" s="268"/>
      <c r="K146" s="87"/>
      <c r="L146" s="87"/>
      <c r="M146" s="272"/>
      <c r="N146" s="123"/>
      <c r="O146" s="317"/>
    </row>
    <row r="147" spans="2:15" s="45" customFormat="1" outlineLevel="1" x14ac:dyDescent="0.3">
      <c r="B147" s="334" t="s">
        <v>72</v>
      </c>
      <c r="C147" s="335"/>
      <c r="D147" s="92">
        <f>D31</f>
        <v>1336</v>
      </c>
      <c r="E147" s="98">
        <f>E31</f>
        <v>1110</v>
      </c>
      <c r="F147" s="98">
        <v>1704</v>
      </c>
      <c r="G147" s="147">
        <v>1026</v>
      </c>
      <c r="H147" s="148">
        <f>SUM(D147:G147)</f>
        <v>5176</v>
      </c>
      <c r="I147" s="92">
        <v>1219</v>
      </c>
      <c r="J147" s="98">
        <v>-234</v>
      </c>
      <c r="K147" s="98">
        <f>3264-SUM(I147:J147)</f>
        <v>2279</v>
      </c>
      <c r="L147" s="98">
        <f>4895-SUM(I147:K147)</f>
        <v>1631</v>
      </c>
      <c r="M147" s="152">
        <f>SUM(I147:L147)</f>
        <v>4895</v>
      </c>
      <c r="N147" s="92">
        <v>1451</v>
      </c>
      <c r="O147" s="147">
        <f>3212-N147</f>
        <v>1761</v>
      </c>
    </row>
    <row r="148" spans="2:15" s="45" customFormat="1" outlineLevel="1" x14ac:dyDescent="0.3">
      <c r="B148" s="334" t="s">
        <v>116</v>
      </c>
      <c r="C148" s="335"/>
      <c r="D148" s="92">
        <v>50</v>
      </c>
      <c r="E148" s="98">
        <f>94-D148</f>
        <v>44</v>
      </c>
      <c r="F148" s="98">
        <v>47</v>
      </c>
      <c r="G148" s="147">
        <v>48</v>
      </c>
      <c r="H148" s="148">
        <f t="shared" ref="H148:H154" si="191">SUM(D148:G148)</f>
        <v>189</v>
      </c>
      <c r="I148" s="92">
        <v>51</v>
      </c>
      <c r="J148" s="98">
        <v>46</v>
      </c>
      <c r="K148" s="98">
        <f>144-SUM(I148:J148)</f>
        <v>47</v>
      </c>
      <c r="L148" s="98">
        <f>190-SUM(I148:K148)</f>
        <v>46</v>
      </c>
      <c r="M148" s="152">
        <f t="shared" ref="M148:M191" si="192">SUM(I148:L148)</f>
        <v>190</v>
      </c>
      <c r="N148" s="92">
        <v>50</v>
      </c>
      <c r="O148" s="147">
        <f>98-N148</f>
        <v>48</v>
      </c>
    </row>
    <row r="149" spans="2:15" s="45" customFormat="1" outlineLevel="1" x14ac:dyDescent="0.3">
      <c r="B149" s="77" t="s">
        <v>117</v>
      </c>
      <c r="C149" s="78"/>
      <c r="D149" s="149">
        <v>459</v>
      </c>
      <c r="E149" s="93">
        <f>912-D149</f>
        <v>453</v>
      </c>
      <c r="F149" s="98">
        <v>437</v>
      </c>
      <c r="G149" s="147">
        <v>484</v>
      </c>
      <c r="H149" s="148">
        <f t="shared" si="191"/>
        <v>1833</v>
      </c>
      <c r="I149" s="92">
        <v>443</v>
      </c>
      <c r="J149" s="98">
        <v>447</v>
      </c>
      <c r="K149" s="98">
        <f>1364-SUM(I149:J149)</f>
        <v>474</v>
      </c>
      <c r="L149" s="98">
        <f>1910-SUM(I149:K149)</f>
        <v>546</v>
      </c>
      <c r="M149" s="152">
        <f t="shared" si="192"/>
        <v>1910</v>
      </c>
      <c r="N149" s="92">
        <v>471</v>
      </c>
      <c r="O149" s="147">
        <f>965-N149</f>
        <v>494</v>
      </c>
    </row>
    <row r="150" spans="2:15" s="45" customFormat="1" outlineLevel="1" x14ac:dyDescent="0.3">
      <c r="B150" s="109" t="s">
        <v>118</v>
      </c>
      <c r="C150" s="110"/>
      <c r="D150" s="149">
        <v>17</v>
      </c>
      <c r="E150" s="93">
        <f>74-D150</f>
        <v>57</v>
      </c>
      <c r="F150" s="98">
        <v>50</v>
      </c>
      <c r="G150" s="147">
        <v>43</v>
      </c>
      <c r="H150" s="148">
        <f t="shared" si="191"/>
        <v>167</v>
      </c>
      <c r="I150" s="92">
        <v>33</v>
      </c>
      <c r="J150" s="98">
        <v>17</v>
      </c>
      <c r="K150" s="98">
        <f>61-SUM(I150:J150)</f>
        <v>11</v>
      </c>
      <c r="L150" s="98">
        <f>90-SUM(I150:K150)</f>
        <v>29</v>
      </c>
      <c r="M150" s="152">
        <f t="shared" si="192"/>
        <v>90</v>
      </c>
      <c r="N150" s="92">
        <v>23</v>
      </c>
      <c r="O150" s="147">
        <f>46-N150</f>
        <v>23</v>
      </c>
    </row>
    <row r="151" spans="2:15" s="45" customFormat="1" outlineLevel="1" x14ac:dyDescent="0.3">
      <c r="B151" s="109" t="s">
        <v>119</v>
      </c>
      <c r="C151" s="110"/>
      <c r="D151" s="149">
        <v>-2</v>
      </c>
      <c r="E151" s="93">
        <v>-3</v>
      </c>
      <c r="F151" s="98">
        <v>2</v>
      </c>
      <c r="G151" s="147">
        <v>-2</v>
      </c>
      <c r="H151" s="148">
        <f t="shared" si="191"/>
        <v>-5</v>
      </c>
      <c r="I151" s="270">
        <v>-2</v>
      </c>
      <c r="J151" s="98">
        <v>-2</v>
      </c>
      <c r="K151" s="98">
        <f>-5-SUM(I151:J151)</f>
        <v>-1</v>
      </c>
      <c r="L151" s="98">
        <f>-7-SUM(I151:K151)</f>
        <v>-2</v>
      </c>
      <c r="M151" s="152">
        <f t="shared" si="192"/>
        <v>-7</v>
      </c>
      <c r="N151" s="270">
        <v>7</v>
      </c>
      <c r="O151" s="319">
        <f>5-N151</f>
        <v>-2</v>
      </c>
    </row>
    <row r="152" spans="2:15" s="45" customFormat="1" outlineLevel="1" x14ac:dyDescent="0.3">
      <c r="B152" s="109" t="s">
        <v>139</v>
      </c>
      <c r="C152" s="110"/>
      <c r="D152" s="149">
        <v>-1</v>
      </c>
      <c r="E152" s="93"/>
      <c r="F152" s="98">
        <v>1</v>
      </c>
      <c r="G152" s="147">
        <v>1</v>
      </c>
      <c r="H152" s="148">
        <f t="shared" si="191"/>
        <v>1</v>
      </c>
      <c r="I152" s="270">
        <v>-4</v>
      </c>
      <c r="J152" s="98">
        <v>13</v>
      </c>
      <c r="K152" s="98">
        <f>10-SUM(I152:J152)</f>
        <v>1</v>
      </c>
      <c r="L152" s="98">
        <f>7-SUM(I152:K152)</f>
        <v>-3</v>
      </c>
      <c r="M152" s="152">
        <f t="shared" si="192"/>
        <v>7</v>
      </c>
      <c r="N152" s="270">
        <v>-2</v>
      </c>
      <c r="O152" s="319">
        <f>0-N152</f>
        <v>2</v>
      </c>
    </row>
    <row r="153" spans="2:15" s="45" customFormat="1" outlineLevel="1" x14ac:dyDescent="0.3">
      <c r="B153" s="109" t="s">
        <v>120</v>
      </c>
      <c r="C153" s="110"/>
      <c r="D153" s="149">
        <v>76</v>
      </c>
      <c r="E153" s="93">
        <v>64</v>
      </c>
      <c r="F153" s="98">
        <v>90</v>
      </c>
      <c r="G153" s="147">
        <v>134</v>
      </c>
      <c r="H153" s="148">
        <f t="shared" si="191"/>
        <v>364</v>
      </c>
      <c r="I153" s="92">
        <v>84</v>
      </c>
      <c r="J153" s="98">
        <v>57</v>
      </c>
      <c r="K153" s="98">
        <f>219-SUM(I153:J153)</f>
        <v>78</v>
      </c>
      <c r="L153" s="98">
        <f>369-SUM(I153:K153)</f>
        <v>150</v>
      </c>
      <c r="M153" s="152">
        <f t="shared" si="192"/>
        <v>369</v>
      </c>
      <c r="N153" s="92">
        <v>52</v>
      </c>
      <c r="O153" s="147">
        <f>129-N153</f>
        <v>77</v>
      </c>
    </row>
    <row r="154" spans="2:15" s="45" customFormat="1" outlineLevel="1" x14ac:dyDescent="0.3">
      <c r="B154" s="109" t="s">
        <v>121</v>
      </c>
      <c r="C154" s="110"/>
      <c r="D154" s="149">
        <v>-112</v>
      </c>
      <c r="E154" s="93">
        <v>-12</v>
      </c>
      <c r="F154" s="93">
        <v>-15</v>
      </c>
      <c r="G154" s="147">
        <v>-18</v>
      </c>
      <c r="H154" s="148">
        <f t="shared" si="191"/>
        <v>-157</v>
      </c>
      <c r="I154" s="149">
        <v>-44</v>
      </c>
      <c r="J154" s="98">
        <v>44</v>
      </c>
      <c r="K154" s="98">
        <f>0-SUM(I154:J154)</f>
        <v>0</v>
      </c>
      <c r="L154" s="98">
        <f>0-SUM(I154:K154)</f>
        <v>0</v>
      </c>
      <c r="M154" s="152">
        <f t="shared" si="192"/>
        <v>0</v>
      </c>
      <c r="N154" s="149">
        <v>0</v>
      </c>
      <c r="O154" s="94">
        <v>0</v>
      </c>
    </row>
    <row r="155" spans="2:15" s="45" customFormat="1" ht="4.5" customHeight="1" outlineLevel="1" x14ac:dyDescent="0.3">
      <c r="B155" s="330"/>
      <c r="C155" s="331"/>
      <c r="D155" s="92"/>
      <c r="E155" s="98"/>
      <c r="F155" s="98"/>
      <c r="G155" s="98"/>
      <c r="H155" s="148"/>
      <c r="I155" s="271"/>
      <c r="J155" s="269"/>
      <c r="K155" s="269"/>
      <c r="L155" s="269"/>
      <c r="M155" s="152">
        <f t="shared" si="192"/>
        <v>0</v>
      </c>
      <c r="N155" s="271"/>
      <c r="O155" s="320"/>
    </row>
    <row r="156" spans="2:15" s="45" customFormat="1" outlineLevel="1" x14ac:dyDescent="0.3">
      <c r="B156" s="332" t="s">
        <v>73</v>
      </c>
      <c r="C156" s="333"/>
      <c r="D156" s="149"/>
      <c r="E156" s="93"/>
      <c r="F156" s="98"/>
      <c r="G156" s="93"/>
      <c r="H156" s="148"/>
      <c r="I156" s="92"/>
      <c r="J156" s="98"/>
      <c r="K156" s="98"/>
      <c r="L156" s="98"/>
      <c r="M156" s="152">
        <f t="shared" si="192"/>
        <v>0</v>
      </c>
      <c r="N156" s="92"/>
      <c r="O156" s="147"/>
    </row>
    <row r="157" spans="2:15" s="45" customFormat="1" outlineLevel="1" x14ac:dyDescent="0.3">
      <c r="B157" s="326" t="s">
        <v>74</v>
      </c>
      <c r="C157" s="327"/>
      <c r="D157" s="92">
        <v>-389</v>
      </c>
      <c r="E157" s="98">
        <v>76</v>
      </c>
      <c r="F157" s="98">
        <v>-889</v>
      </c>
      <c r="G157" s="98">
        <v>133</v>
      </c>
      <c r="H157" s="95">
        <f>SUM(D157:G157)</f>
        <v>-1069</v>
      </c>
      <c r="I157" s="92">
        <v>-1002</v>
      </c>
      <c r="J157" s="98">
        <v>499</v>
      </c>
      <c r="K157" s="98">
        <f>-517-SUM(I157:J157)</f>
        <v>-14</v>
      </c>
      <c r="L157" s="98">
        <f>112-SUM(I157:K157)</f>
        <v>629</v>
      </c>
      <c r="M157" s="152">
        <f t="shared" si="192"/>
        <v>112</v>
      </c>
      <c r="N157" s="92">
        <v>-769</v>
      </c>
      <c r="O157" s="147">
        <f>-912-N157</f>
        <v>-143</v>
      </c>
    </row>
    <row r="158" spans="2:15" s="45" customFormat="1" outlineLevel="1" x14ac:dyDescent="0.3">
      <c r="B158" s="104" t="s">
        <v>102</v>
      </c>
      <c r="C158" s="105"/>
      <c r="D158" s="92">
        <v>-1822</v>
      </c>
      <c r="E158" s="98">
        <v>-573</v>
      </c>
      <c r="F158" s="98">
        <v>209</v>
      </c>
      <c r="G158" s="98">
        <v>1076</v>
      </c>
      <c r="H158" s="95">
        <f t="shared" ref="H158:H166" si="193">SUM(D158:G158)</f>
        <v>-1110</v>
      </c>
      <c r="I158" s="270">
        <v>-56</v>
      </c>
      <c r="J158" s="98">
        <v>3060</v>
      </c>
      <c r="K158" s="98">
        <f>4334-SUM(I158:J158)</f>
        <v>1330</v>
      </c>
      <c r="L158" s="98">
        <f>3755-SUM(I158:K158)</f>
        <v>-579</v>
      </c>
      <c r="M158" s="152">
        <f t="shared" si="192"/>
        <v>3755</v>
      </c>
      <c r="N158" s="270">
        <v>-31</v>
      </c>
      <c r="O158" s="319">
        <f>877-N158</f>
        <v>908</v>
      </c>
    </row>
    <row r="159" spans="2:15" s="45" customFormat="1" outlineLevel="1" x14ac:dyDescent="0.3">
      <c r="B159" s="326" t="s">
        <v>63</v>
      </c>
      <c r="C159" s="327"/>
      <c r="D159" s="92">
        <v>848</v>
      </c>
      <c r="E159" s="98">
        <f>888-D159</f>
        <v>40</v>
      </c>
      <c r="F159" s="98">
        <v>170</v>
      </c>
      <c r="G159" s="98">
        <v>-1296</v>
      </c>
      <c r="H159" s="95">
        <f t="shared" si="193"/>
        <v>-238</v>
      </c>
      <c r="I159" s="92">
        <v>960</v>
      </c>
      <c r="J159" s="98">
        <v>261</v>
      </c>
      <c r="K159" s="98">
        <f>1366-SUM(I159:J159)</f>
        <v>145</v>
      </c>
      <c r="L159" s="98">
        <f>622-SUM(I159:K159)</f>
        <v>-744</v>
      </c>
      <c r="M159" s="152">
        <f t="shared" si="192"/>
        <v>622</v>
      </c>
      <c r="N159" s="92">
        <v>616</v>
      </c>
      <c r="O159" s="147">
        <f>419-N159</f>
        <v>-197</v>
      </c>
    </row>
    <row r="160" spans="2:15" s="45" customFormat="1" outlineLevel="1" x14ac:dyDescent="0.3">
      <c r="B160" s="79" t="s">
        <v>122</v>
      </c>
      <c r="C160" s="80"/>
      <c r="D160" s="92">
        <v>-900</v>
      </c>
      <c r="E160" s="98">
        <v>723</v>
      </c>
      <c r="F160" s="98">
        <v>-19</v>
      </c>
      <c r="G160" s="98">
        <v>198</v>
      </c>
      <c r="H160" s="95">
        <f t="shared" si="193"/>
        <v>2</v>
      </c>
      <c r="I160" s="92">
        <v>-467</v>
      </c>
      <c r="J160" s="98">
        <v>198</v>
      </c>
      <c r="K160" s="98">
        <f>82-SUM(I160:J160)</f>
        <v>351</v>
      </c>
      <c r="L160" s="98">
        <f>726-SUM(I160:K160)</f>
        <v>644</v>
      </c>
      <c r="M160" s="152">
        <f t="shared" si="192"/>
        <v>726</v>
      </c>
      <c r="N160" s="92">
        <v>-613</v>
      </c>
      <c r="O160" s="147">
        <f>-680-N160</f>
        <v>-67</v>
      </c>
    </row>
    <row r="161" spans="2:16" s="45" customFormat="1" outlineLevel="1" x14ac:dyDescent="0.3">
      <c r="B161" s="104" t="s">
        <v>104</v>
      </c>
      <c r="C161" s="105"/>
      <c r="D161" s="92">
        <v>-422</v>
      </c>
      <c r="E161" s="98">
        <f>195-D161</f>
        <v>617</v>
      </c>
      <c r="F161" s="98">
        <v>75</v>
      </c>
      <c r="G161" s="98">
        <v>922</v>
      </c>
      <c r="H161" s="95">
        <f t="shared" si="193"/>
        <v>1192</v>
      </c>
      <c r="I161" s="92">
        <v>-435</v>
      </c>
      <c r="J161" s="98">
        <v>-519</v>
      </c>
      <c r="K161" s="98">
        <f>-1717-SUM(I161:J161)</f>
        <v>-763</v>
      </c>
      <c r="L161" s="98">
        <f>-493-SUM(I161:K161)</f>
        <v>1224</v>
      </c>
      <c r="M161" s="152">
        <f t="shared" si="192"/>
        <v>-493</v>
      </c>
      <c r="N161" s="92">
        <v>249</v>
      </c>
      <c r="O161" s="147">
        <f>1934-N161</f>
        <v>1685</v>
      </c>
    </row>
    <row r="162" spans="2:16" s="45" customFormat="1" outlineLevel="1" x14ac:dyDescent="0.3">
      <c r="B162" s="104" t="s">
        <v>137</v>
      </c>
      <c r="C162" s="105"/>
      <c r="D162" s="92">
        <v>443</v>
      </c>
      <c r="E162" s="98">
        <f>482-D162</f>
        <v>39</v>
      </c>
      <c r="F162" s="98">
        <v>342</v>
      </c>
      <c r="G162" s="98">
        <v>-347</v>
      </c>
      <c r="H162" s="95">
        <f t="shared" si="193"/>
        <v>477</v>
      </c>
      <c r="I162" s="92">
        <v>273</v>
      </c>
      <c r="J162" s="98">
        <v>-767</v>
      </c>
      <c r="K162" s="98">
        <f>-725-SUM(I162:J162)</f>
        <v>-231</v>
      </c>
      <c r="L162" s="98">
        <f>-810-SUM(I162:K162)</f>
        <v>-85</v>
      </c>
      <c r="M162" s="152">
        <f t="shared" si="192"/>
        <v>-810</v>
      </c>
      <c r="N162" s="92">
        <v>495</v>
      </c>
      <c r="O162" s="147">
        <f>712-N162</f>
        <v>217</v>
      </c>
    </row>
    <row r="163" spans="2:16" s="45" customFormat="1" outlineLevel="1" x14ac:dyDescent="0.3">
      <c r="B163" s="104" t="s">
        <v>65</v>
      </c>
      <c r="C163" s="105"/>
      <c r="D163" s="92">
        <v>-82</v>
      </c>
      <c r="E163" s="98">
        <f>65</f>
        <v>65</v>
      </c>
      <c r="F163" s="98">
        <v>57</v>
      </c>
      <c r="G163" s="98">
        <v>6</v>
      </c>
      <c r="H163" s="95">
        <f t="shared" si="193"/>
        <v>46</v>
      </c>
      <c r="I163" s="270">
        <v>-116</v>
      </c>
      <c r="J163" s="98">
        <v>13</v>
      </c>
      <c r="K163" s="98">
        <f>-67-SUM(I163:J163)</f>
        <v>36</v>
      </c>
      <c r="L163" s="98">
        <f>-68-SUM(I163:K163)</f>
        <v>-1</v>
      </c>
      <c r="M163" s="152">
        <f t="shared" si="192"/>
        <v>-68</v>
      </c>
      <c r="N163" s="270">
        <v>-72</v>
      </c>
      <c r="O163" s="319">
        <f>-18-N163</f>
        <v>54</v>
      </c>
    </row>
    <row r="164" spans="2:16" s="45" customFormat="1" outlineLevel="1" x14ac:dyDescent="0.3">
      <c r="B164" s="104" t="s">
        <v>123</v>
      </c>
      <c r="C164" s="105"/>
      <c r="D164" s="92">
        <v>608</v>
      </c>
      <c r="E164" s="98">
        <f>1244-D164</f>
        <v>636</v>
      </c>
      <c r="F164" s="98">
        <v>593</v>
      </c>
      <c r="G164" s="98">
        <v>633</v>
      </c>
      <c r="H164" s="95">
        <f t="shared" si="193"/>
        <v>2470</v>
      </c>
      <c r="I164" s="92">
        <v>79</v>
      </c>
      <c r="J164" s="98">
        <v>102</v>
      </c>
      <c r="K164" s="98">
        <f>144-SUM(I164:J164)</f>
        <v>-37</v>
      </c>
      <c r="L164" s="98">
        <f>153-SUM(I164:K164)</f>
        <v>9</v>
      </c>
      <c r="M164" s="152">
        <f t="shared" si="192"/>
        <v>153</v>
      </c>
      <c r="N164" s="92">
        <v>10</v>
      </c>
      <c r="O164" s="147">
        <f>13-N164</f>
        <v>3</v>
      </c>
    </row>
    <row r="165" spans="2:16" s="45" customFormat="1" outlineLevel="1" x14ac:dyDescent="0.3">
      <c r="B165" s="104" t="s">
        <v>103</v>
      </c>
      <c r="C165" s="105"/>
      <c r="D165" s="92">
        <v>31</v>
      </c>
      <c r="E165" s="98">
        <f>19-D165</f>
        <v>-12</v>
      </c>
      <c r="F165" s="98">
        <v>26</v>
      </c>
      <c r="G165" s="98">
        <v>122</v>
      </c>
      <c r="H165" s="95">
        <f t="shared" si="193"/>
        <v>167</v>
      </c>
      <c r="I165" s="92">
        <v>276</v>
      </c>
      <c r="J165" s="98">
        <v>-1</v>
      </c>
      <c r="K165" s="98">
        <f>-195-SUM(I165:J165)</f>
        <v>-470</v>
      </c>
      <c r="L165" s="98">
        <f>-696-SUM(I165:K165)</f>
        <v>-501</v>
      </c>
      <c r="M165" s="152">
        <f t="shared" si="192"/>
        <v>-696</v>
      </c>
      <c r="N165" s="92">
        <v>232</v>
      </c>
      <c r="O165" s="147">
        <f>343-N165</f>
        <v>111</v>
      </c>
    </row>
    <row r="166" spans="2:16" s="45" customFormat="1" ht="16.2" outlineLevel="1" x14ac:dyDescent="0.45">
      <c r="B166" s="104" t="s">
        <v>124</v>
      </c>
      <c r="C166" s="105"/>
      <c r="D166" s="131">
        <v>-50</v>
      </c>
      <c r="E166" s="134">
        <v>-27</v>
      </c>
      <c r="F166" s="134">
        <v>-21</v>
      </c>
      <c r="G166" s="134">
        <v>-44</v>
      </c>
      <c r="H166" s="252">
        <f t="shared" si="193"/>
        <v>-142</v>
      </c>
      <c r="I166" s="131">
        <v>-61</v>
      </c>
      <c r="J166" s="134">
        <v>0</v>
      </c>
      <c r="K166" s="134">
        <f>-95-SUM(I166:J166)</f>
        <v>-34</v>
      </c>
      <c r="L166" s="135">
        <f>-256-SUM(I166:K166)</f>
        <v>-161</v>
      </c>
      <c r="M166" s="135">
        <f>-256</f>
        <v>-256</v>
      </c>
      <c r="N166" s="131">
        <v>-75</v>
      </c>
      <c r="O166" s="135">
        <f>-99-N166</f>
        <v>-24</v>
      </c>
    </row>
    <row r="167" spans="2:16" s="45" customFormat="1" outlineLevel="1" x14ac:dyDescent="0.3">
      <c r="B167" s="328" t="s">
        <v>75</v>
      </c>
      <c r="C167" s="329"/>
      <c r="D167" s="132">
        <f t="shared" ref="D167:I167" si="194">SUM(D147:D166)</f>
        <v>88</v>
      </c>
      <c r="E167" s="140">
        <f t="shared" si="194"/>
        <v>3297</v>
      </c>
      <c r="F167" s="140">
        <f t="shared" si="194"/>
        <v>2859</v>
      </c>
      <c r="G167" s="140">
        <f t="shared" si="194"/>
        <v>3119</v>
      </c>
      <c r="H167" s="150">
        <f>SUM(H147:H166)</f>
        <v>9363</v>
      </c>
      <c r="I167" s="132">
        <f t="shared" si="194"/>
        <v>1231</v>
      </c>
      <c r="J167" s="140">
        <v>3234</v>
      </c>
      <c r="K167" s="140">
        <f>7667-SUM(I167:J167)</f>
        <v>3202</v>
      </c>
      <c r="L167" s="140">
        <f>10499-SUM(I167:K167)</f>
        <v>2832</v>
      </c>
      <c r="M167" s="150">
        <f>SUM(M147:M166)</f>
        <v>10499</v>
      </c>
      <c r="N167" s="132">
        <f t="shared" ref="N167" si="195">SUM(N147:N166)</f>
        <v>2094</v>
      </c>
      <c r="O167" s="321">
        <f t="shared" ref="O167" si="196">SUM(O147:O166)</f>
        <v>4950</v>
      </c>
      <c r="P167" s="307"/>
    </row>
    <row r="168" spans="2:16" s="45" customFormat="1" ht="4.5" customHeight="1" outlineLevel="1" x14ac:dyDescent="0.3">
      <c r="B168" s="330"/>
      <c r="C168" s="331"/>
      <c r="D168" s="92"/>
      <c r="E168" s="98"/>
      <c r="F168" s="98"/>
      <c r="G168" s="98"/>
      <c r="H168" s="148"/>
      <c r="I168" s="271"/>
      <c r="J168" s="269"/>
      <c r="K168" s="269"/>
      <c r="L168" s="269"/>
      <c r="M168" s="152">
        <f t="shared" si="192"/>
        <v>0</v>
      </c>
      <c r="N168" s="271"/>
      <c r="O168" s="320"/>
    </row>
    <row r="169" spans="2:16" s="45" customFormat="1" outlineLevel="1" x14ac:dyDescent="0.3">
      <c r="B169" s="332" t="s">
        <v>76</v>
      </c>
      <c r="C169" s="333"/>
      <c r="D169" s="92"/>
      <c r="E169" s="98"/>
      <c r="F169" s="98"/>
      <c r="G169" s="98"/>
      <c r="H169" s="148"/>
      <c r="I169" s="92"/>
      <c r="J169" s="98"/>
      <c r="K169" s="98"/>
      <c r="L169" s="98"/>
      <c r="M169" s="152">
        <f t="shared" si="192"/>
        <v>0</v>
      </c>
      <c r="N169" s="92"/>
      <c r="O169" s="147"/>
    </row>
    <row r="170" spans="2:16" s="45" customFormat="1" outlineLevel="1" x14ac:dyDescent="0.3">
      <c r="B170" s="326" t="s">
        <v>138</v>
      </c>
      <c r="C170" s="327"/>
      <c r="D170" s="92">
        <v>-574</v>
      </c>
      <c r="E170" s="98">
        <f>-1266-D170</f>
        <v>-692</v>
      </c>
      <c r="F170" s="98">
        <v>-561</v>
      </c>
      <c r="G170" s="98">
        <v>-623</v>
      </c>
      <c r="H170" s="148">
        <f>SUM(D170:G170)</f>
        <v>-2450</v>
      </c>
      <c r="I170" s="92">
        <v>-748</v>
      </c>
      <c r="J170" s="98">
        <v>-671</v>
      </c>
      <c r="K170" s="98">
        <f>-2014-SUM(I170:J170)</f>
        <v>-595</v>
      </c>
      <c r="L170" s="98">
        <f>-2613-SUM(I170:K170)</f>
        <v>-599</v>
      </c>
      <c r="M170" s="152">
        <f t="shared" si="192"/>
        <v>-2613</v>
      </c>
      <c r="N170" s="92">
        <v>-466</v>
      </c>
      <c r="O170" s="147">
        <f>-905-N170</f>
        <v>-439</v>
      </c>
    </row>
    <row r="171" spans="2:16" s="45" customFormat="1" outlineLevel="1" x14ac:dyDescent="0.3">
      <c r="B171" s="104" t="s">
        <v>125</v>
      </c>
      <c r="C171" s="105"/>
      <c r="D171" s="92"/>
      <c r="E171" s="98">
        <f>20+D171</f>
        <v>20</v>
      </c>
      <c r="F171" s="98">
        <v>4</v>
      </c>
      <c r="G171" s="98">
        <v>18</v>
      </c>
      <c r="H171" s="148">
        <f t="shared" ref="H171:H173" si="197">SUM(D171:G171)</f>
        <v>42</v>
      </c>
      <c r="I171" s="92">
        <v>11</v>
      </c>
      <c r="J171" s="98">
        <v>2</v>
      </c>
      <c r="K171" s="98">
        <f>14-SUM(I171:J171)</f>
        <v>1</v>
      </c>
      <c r="L171" s="98">
        <f>38-SUM(I171:K171)</f>
        <v>24</v>
      </c>
      <c r="M171" s="152">
        <f t="shared" si="192"/>
        <v>38</v>
      </c>
      <c r="N171" s="92">
        <v>9</v>
      </c>
      <c r="O171" s="147">
        <f>25-N171</f>
        <v>16</v>
      </c>
      <c r="P171" s="307"/>
    </row>
    <row r="172" spans="2:16" s="45" customFormat="1" outlineLevel="1" x14ac:dyDescent="0.3">
      <c r="B172" s="104" t="s">
        <v>92</v>
      </c>
      <c r="C172" s="105"/>
      <c r="D172" s="92"/>
      <c r="E172" s="98">
        <f>-23-D172</f>
        <v>-23</v>
      </c>
      <c r="F172" s="98"/>
      <c r="G172" s="98">
        <v>-8</v>
      </c>
      <c r="H172" s="148">
        <f>SUM(D172:G172)</f>
        <v>-31</v>
      </c>
      <c r="I172" s="92"/>
      <c r="J172" s="98"/>
      <c r="K172" s="98">
        <v>0</v>
      </c>
      <c r="L172" s="98">
        <f>-297-SUM(I172:K172)</f>
        <v>-297</v>
      </c>
      <c r="M172" s="152">
        <f t="shared" si="192"/>
        <v>-297</v>
      </c>
      <c r="N172" s="92">
        <v>0</v>
      </c>
      <c r="O172" s="147">
        <v>0</v>
      </c>
    </row>
    <row r="173" spans="2:16" s="45" customFormat="1" outlineLevel="1" x14ac:dyDescent="0.3">
      <c r="B173" s="326" t="s">
        <v>205</v>
      </c>
      <c r="C173" s="327"/>
      <c r="D173" s="92">
        <v>-807</v>
      </c>
      <c r="E173" s="98">
        <f>-1205-D173</f>
        <v>-398</v>
      </c>
      <c r="F173" s="98">
        <v>-136</v>
      </c>
      <c r="G173" s="98">
        <v>-695</v>
      </c>
      <c r="H173" s="148">
        <f t="shared" si="197"/>
        <v>-2036</v>
      </c>
      <c r="I173" s="92">
        <v>-204</v>
      </c>
      <c r="J173" s="98">
        <v>-453</v>
      </c>
      <c r="K173" s="98">
        <f>-928-SUM(I173:J173)</f>
        <v>-271</v>
      </c>
      <c r="L173" s="98">
        <f>-1719-SUM(I173:K173)</f>
        <v>-791</v>
      </c>
      <c r="M173" s="152">
        <f t="shared" si="192"/>
        <v>-1719</v>
      </c>
      <c r="N173" s="92">
        <v>-605</v>
      </c>
      <c r="O173" s="147">
        <f>-1820-N173</f>
        <v>-1215</v>
      </c>
    </row>
    <row r="174" spans="2:16" s="45" customFormat="1" outlineLevel="1" x14ac:dyDescent="0.3">
      <c r="B174" s="102" t="s">
        <v>204</v>
      </c>
      <c r="C174" s="103"/>
      <c r="D174" s="92">
        <v>1159</v>
      </c>
      <c r="E174" s="98">
        <f>2040-D174</f>
        <v>881</v>
      </c>
      <c r="F174" s="98">
        <v>129</v>
      </c>
      <c r="G174" s="98">
        <v>421</v>
      </c>
      <c r="H174" s="148">
        <f>SUM(D174:G174)</f>
        <v>2590</v>
      </c>
      <c r="I174" s="92">
        <v>493</v>
      </c>
      <c r="J174" s="98">
        <v>212</v>
      </c>
      <c r="K174" s="98">
        <f>956-SUM(I174:J174)</f>
        <v>251</v>
      </c>
      <c r="L174" s="98">
        <f>1209-SUM(I174:K174)</f>
        <v>253</v>
      </c>
      <c r="M174" s="152">
        <f t="shared" si="192"/>
        <v>1209</v>
      </c>
      <c r="N174" s="92">
        <v>803</v>
      </c>
      <c r="O174" s="147">
        <f>1441-N174</f>
        <v>638</v>
      </c>
    </row>
    <row r="175" spans="2:16" s="45" customFormat="1" outlineLevel="1" x14ac:dyDescent="0.3">
      <c r="B175" s="314" t="s">
        <v>206</v>
      </c>
      <c r="C175" s="315"/>
      <c r="D175" s="92"/>
      <c r="E175" s="98"/>
      <c r="F175" s="98"/>
      <c r="G175" s="98"/>
      <c r="H175" s="148"/>
      <c r="I175" s="92"/>
      <c r="J175" s="98"/>
      <c r="K175" s="98"/>
      <c r="L175" s="98"/>
      <c r="M175" s="152"/>
      <c r="N175" s="92"/>
      <c r="O175" s="147">
        <f>-131-N175</f>
        <v>-131</v>
      </c>
    </row>
    <row r="176" spans="2:16" s="45" customFormat="1" ht="16.2" outlineLevel="1" x14ac:dyDescent="0.45">
      <c r="B176" s="79" t="s">
        <v>93</v>
      </c>
      <c r="C176" s="97"/>
      <c r="D176" s="131">
        <v>8</v>
      </c>
      <c r="E176" s="134">
        <f>22-D176</f>
        <v>14</v>
      </c>
      <c r="F176" s="134">
        <v>11</v>
      </c>
      <c r="G176" s="134">
        <v>6</v>
      </c>
      <c r="H176" s="151">
        <f>SUM(D176:G176)</f>
        <v>39</v>
      </c>
      <c r="I176" s="131">
        <v>10</v>
      </c>
      <c r="J176" s="134">
        <v>-2</v>
      </c>
      <c r="K176" s="134">
        <f>8-SUM(I176:J176)</f>
        <v>0</v>
      </c>
      <c r="L176" s="135">
        <f>2-SUM(I176:K176)</f>
        <v>-6</v>
      </c>
      <c r="M176" s="135">
        <f>SUM(I176:L176)</f>
        <v>2</v>
      </c>
      <c r="N176" s="131">
        <v>-3</v>
      </c>
      <c r="O176" s="135">
        <f>4-N176</f>
        <v>7</v>
      </c>
    </row>
    <row r="177" spans="2:16" s="45" customFormat="1" outlineLevel="1" x14ac:dyDescent="0.3">
      <c r="B177" s="328" t="s">
        <v>77</v>
      </c>
      <c r="C177" s="329"/>
      <c r="D177" s="132">
        <f t="shared" ref="D177:I177" si="198">SUM(D170:D176)</f>
        <v>-214</v>
      </c>
      <c r="E177" s="140">
        <f t="shared" si="198"/>
        <v>-198</v>
      </c>
      <c r="F177" s="140">
        <f t="shared" si="198"/>
        <v>-553</v>
      </c>
      <c r="G177" s="140">
        <f t="shared" si="198"/>
        <v>-881</v>
      </c>
      <c r="H177" s="150">
        <f>SUM(H170:H176)</f>
        <v>-1846</v>
      </c>
      <c r="I177" s="132">
        <f t="shared" si="198"/>
        <v>-438</v>
      </c>
      <c r="J177" s="140">
        <v>-912</v>
      </c>
      <c r="K177" s="140">
        <f>-1964-SUM(I177:J177)</f>
        <v>-614</v>
      </c>
      <c r="L177" s="140">
        <f>SUM(L170:L176)</f>
        <v>-1416</v>
      </c>
      <c r="M177" s="150">
        <f>SUM(M170:M176)</f>
        <v>-3380</v>
      </c>
      <c r="N177" s="132">
        <f>SUM(N170:N176)</f>
        <v>-262</v>
      </c>
      <c r="O177" s="321">
        <f t="shared" ref="O177" si="199">SUM(O170:O176)</f>
        <v>-1124</v>
      </c>
    </row>
    <row r="178" spans="2:16" s="45" customFormat="1" ht="4.5" customHeight="1" outlineLevel="1" x14ac:dyDescent="0.3">
      <c r="B178" s="330"/>
      <c r="C178" s="331"/>
      <c r="D178" s="92"/>
      <c r="E178" s="98"/>
      <c r="F178" s="98"/>
      <c r="G178" s="98"/>
      <c r="H178" s="148"/>
      <c r="I178" s="271"/>
      <c r="J178" s="269"/>
      <c r="K178" s="269"/>
      <c r="L178" s="269"/>
      <c r="M178" s="152">
        <f t="shared" si="192"/>
        <v>0</v>
      </c>
      <c r="N178" s="271"/>
      <c r="O178" s="320"/>
    </row>
    <row r="179" spans="2:16" s="45" customFormat="1" outlineLevel="1" x14ac:dyDescent="0.3">
      <c r="B179" s="332" t="s">
        <v>78</v>
      </c>
      <c r="C179" s="333"/>
      <c r="D179" s="92"/>
      <c r="E179" s="98"/>
      <c r="F179" s="98"/>
      <c r="G179" s="98"/>
      <c r="H179" s="148"/>
      <c r="I179" s="92"/>
      <c r="J179" s="98"/>
      <c r="K179" s="98"/>
      <c r="L179" s="98"/>
      <c r="M179" s="152">
        <f t="shared" si="192"/>
        <v>0</v>
      </c>
      <c r="N179" s="92"/>
      <c r="O179" s="147"/>
    </row>
    <row r="180" spans="2:16" s="45" customFormat="1" outlineLevel="1" x14ac:dyDescent="0.3">
      <c r="B180" s="104" t="s">
        <v>126</v>
      </c>
      <c r="C180" s="108"/>
      <c r="D180" s="92">
        <v>761</v>
      </c>
      <c r="E180" s="98"/>
      <c r="F180" s="98"/>
      <c r="G180" s="98">
        <v>985</v>
      </c>
      <c r="H180" s="148">
        <f>SUM(D180:G180)</f>
        <v>1746</v>
      </c>
      <c r="I180" s="92">
        <v>115</v>
      </c>
      <c r="J180" s="98">
        <v>1208</v>
      </c>
      <c r="K180" s="98">
        <f>1323-SUM(I180:J180)</f>
        <v>0</v>
      </c>
      <c r="L180" s="98">
        <f>1325-SUM(I180:K180)</f>
        <v>2</v>
      </c>
      <c r="M180" s="152">
        <f t="shared" si="192"/>
        <v>1325</v>
      </c>
      <c r="N180" s="92">
        <v>872</v>
      </c>
      <c r="O180" s="147">
        <f>874-N180</f>
        <v>2</v>
      </c>
    </row>
    <row r="181" spans="2:16" s="45" customFormat="1" outlineLevel="1" x14ac:dyDescent="0.3">
      <c r="B181" s="104" t="s">
        <v>127</v>
      </c>
      <c r="C181" s="108"/>
      <c r="D181" s="92">
        <v>-813</v>
      </c>
      <c r="E181" s="98">
        <v>-33</v>
      </c>
      <c r="F181" s="98">
        <v>-18</v>
      </c>
      <c r="G181" s="98">
        <v>-21</v>
      </c>
      <c r="H181" s="148">
        <f t="shared" ref="H181:H188" si="200">SUM(D181:G181)</f>
        <v>-885</v>
      </c>
      <c r="I181" s="92">
        <v>-128</v>
      </c>
      <c r="J181" s="98">
        <v>-139</v>
      </c>
      <c r="K181" s="98">
        <f>-836-SUM(I181:J181)</f>
        <v>-569</v>
      </c>
      <c r="L181" s="98">
        <f>-1359-SUM(I181:K181)</f>
        <v>-523</v>
      </c>
      <c r="M181" s="152">
        <f t="shared" si="192"/>
        <v>-1359</v>
      </c>
      <c r="N181" s="92">
        <v>-34</v>
      </c>
      <c r="O181" s="147">
        <f>-56-N181</f>
        <v>-22</v>
      </c>
    </row>
    <row r="182" spans="2:16" s="45" customFormat="1" outlineLevel="1" x14ac:dyDescent="0.3">
      <c r="B182" s="264" t="s">
        <v>196</v>
      </c>
      <c r="C182" s="263"/>
      <c r="D182" s="92"/>
      <c r="E182" s="98"/>
      <c r="F182" s="98"/>
      <c r="G182" s="98"/>
      <c r="H182" s="148">
        <v>0</v>
      </c>
      <c r="I182" s="92">
        <v>0</v>
      </c>
      <c r="J182" s="98">
        <v>0</v>
      </c>
      <c r="K182" s="98">
        <v>0</v>
      </c>
      <c r="L182" s="98">
        <v>-24</v>
      </c>
      <c r="M182" s="152">
        <f t="shared" si="192"/>
        <v>-24</v>
      </c>
      <c r="N182" s="92">
        <v>0</v>
      </c>
      <c r="O182" s="147">
        <v>0</v>
      </c>
    </row>
    <row r="183" spans="2:16" s="45" customFormat="1" outlineLevel="1" x14ac:dyDescent="0.3">
      <c r="B183" s="104" t="s">
        <v>207</v>
      </c>
      <c r="C183" s="105"/>
      <c r="D183" s="92">
        <v>231</v>
      </c>
      <c r="E183" s="98">
        <v>45</v>
      </c>
      <c r="F183" s="98">
        <v>55</v>
      </c>
      <c r="G183" s="98">
        <v>68</v>
      </c>
      <c r="H183" s="148">
        <f t="shared" ref="H183" si="201">SUM(D183:G183)</f>
        <v>399</v>
      </c>
      <c r="I183" s="92">
        <v>42</v>
      </c>
      <c r="J183" s="98">
        <v>105</v>
      </c>
      <c r="K183" s="98">
        <f>192-SUM(I183:J183)</f>
        <v>45</v>
      </c>
      <c r="L183" s="98">
        <f>321-SUM(I183:K183)</f>
        <v>129</v>
      </c>
      <c r="M183" s="152">
        <f t="shared" si="192"/>
        <v>321</v>
      </c>
      <c r="N183" s="92">
        <v>174</v>
      </c>
      <c r="O183" s="147">
        <f>240-N183</f>
        <v>66</v>
      </c>
    </row>
    <row r="184" spans="2:16" s="45" customFormat="1" outlineLevel="1" x14ac:dyDescent="0.3">
      <c r="B184" s="104" t="s">
        <v>121</v>
      </c>
      <c r="C184" s="108"/>
      <c r="D184" s="92">
        <v>112</v>
      </c>
      <c r="E184" s="98">
        <v>12</v>
      </c>
      <c r="F184" s="98">
        <v>15</v>
      </c>
      <c r="G184" s="98">
        <v>18</v>
      </c>
      <c r="H184" s="148">
        <f t="shared" si="200"/>
        <v>157</v>
      </c>
      <c r="I184" s="92">
        <v>44</v>
      </c>
      <c r="J184" s="98">
        <v>-44</v>
      </c>
      <c r="K184" s="98">
        <f>0-SUM(I184:J184)</f>
        <v>0</v>
      </c>
      <c r="L184" s="98">
        <f>0-SUM(I184:K184)</f>
        <v>0</v>
      </c>
      <c r="M184" s="152">
        <f t="shared" si="192"/>
        <v>0</v>
      </c>
      <c r="N184" s="92">
        <v>0</v>
      </c>
      <c r="O184" s="147">
        <v>0</v>
      </c>
    </row>
    <row r="185" spans="2:16" s="45" customFormat="1" outlineLevel="1" x14ac:dyDescent="0.3">
      <c r="B185" s="104" t="s">
        <v>128</v>
      </c>
      <c r="C185" s="108"/>
      <c r="D185" s="92">
        <v>-87</v>
      </c>
      <c r="E185" s="98">
        <v>-3</v>
      </c>
      <c r="F185" s="98">
        <v>-3</v>
      </c>
      <c r="G185" s="98">
        <v>-3</v>
      </c>
      <c r="H185" s="148">
        <f t="shared" si="200"/>
        <v>-96</v>
      </c>
      <c r="I185" s="92">
        <v>-76</v>
      </c>
      <c r="J185" s="98">
        <v>-3</v>
      </c>
      <c r="K185" s="98">
        <f>-83-SUM(I185:J185)</f>
        <v>-4</v>
      </c>
      <c r="L185" s="98">
        <f>-93-SUM(I185:K185)</f>
        <v>-10</v>
      </c>
      <c r="M185" s="152">
        <f t="shared" si="192"/>
        <v>-93</v>
      </c>
      <c r="N185" s="92">
        <v>-107</v>
      </c>
      <c r="O185" s="147">
        <f>-112-N185</f>
        <v>-5</v>
      </c>
    </row>
    <row r="186" spans="2:16" s="45" customFormat="1" outlineLevel="1" x14ac:dyDescent="0.3">
      <c r="B186" s="104" t="s">
        <v>129</v>
      </c>
      <c r="C186" s="108"/>
      <c r="D186" s="92">
        <v>-2500</v>
      </c>
      <c r="E186" s="98">
        <v>-2001</v>
      </c>
      <c r="F186" s="98">
        <v>-1500</v>
      </c>
      <c r="G186" s="98">
        <v>-750</v>
      </c>
      <c r="H186" s="148">
        <f t="shared" si="200"/>
        <v>-6751</v>
      </c>
      <c r="I186" s="92">
        <v>-3501</v>
      </c>
      <c r="J186" s="98">
        <v>-2000</v>
      </c>
      <c r="K186" s="98">
        <f>-6501-SUM(J186,I186)</f>
        <v>-1000</v>
      </c>
      <c r="L186" s="98">
        <f>-7001-SUM(I186:K186)</f>
        <v>-500</v>
      </c>
      <c r="M186" s="152">
        <f t="shared" si="192"/>
        <v>-7001</v>
      </c>
      <c r="N186" s="92">
        <v>-2500</v>
      </c>
      <c r="O186" s="147">
        <f>-5000-N186</f>
        <v>-2500</v>
      </c>
    </row>
    <row r="187" spans="2:16" s="45" customFormat="1" outlineLevel="1" x14ac:dyDescent="0.3">
      <c r="B187" s="104" t="s">
        <v>130</v>
      </c>
      <c r="C187" s="108"/>
      <c r="D187" s="92">
        <v>-639</v>
      </c>
      <c r="E187" s="98">
        <v>-625</v>
      </c>
      <c r="F187" s="98">
        <v>-618</v>
      </c>
      <c r="G187" s="98">
        <v>-608</v>
      </c>
      <c r="H187" s="148">
        <f t="shared" si="200"/>
        <v>-2490</v>
      </c>
      <c r="I187" s="92">
        <v>-717</v>
      </c>
      <c r="J187" s="98">
        <v>-691</v>
      </c>
      <c r="K187" s="98">
        <f>-2084-SUM(I187:J187)</f>
        <v>-676</v>
      </c>
      <c r="L187" s="98">
        <f>-2756-SUM(I187:K187)</f>
        <v>-672</v>
      </c>
      <c r="M187" s="152">
        <f t="shared" si="192"/>
        <v>-2756</v>
      </c>
      <c r="N187" s="92">
        <v>-868</v>
      </c>
      <c r="O187" s="147">
        <f>-1720-N187</f>
        <v>-852</v>
      </c>
    </row>
    <row r="188" spans="2:16" s="45" customFormat="1" ht="16.2" outlineLevel="1" x14ac:dyDescent="0.45">
      <c r="B188" s="326" t="s">
        <v>94</v>
      </c>
      <c r="C188" s="327"/>
      <c r="D188" s="131">
        <v>0</v>
      </c>
      <c r="E188" s="134">
        <v>0</v>
      </c>
      <c r="F188" s="134">
        <v>0</v>
      </c>
      <c r="G188" s="134">
        <v>0</v>
      </c>
      <c r="H188" s="151">
        <f t="shared" si="200"/>
        <v>0</v>
      </c>
      <c r="I188" s="131">
        <v>0</v>
      </c>
      <c r="J188" s="134">
        <v>-24</v>
      </c>
      <c r="K188" s="134">
        <f>-24-SUM(I188:J188)</f>
        <v>0</v>
      </c>
      <c r="L188" s="134">
        <f>0-SUM(I188:K188)</f>
        <v>24</v>
      </c>
      <c r="M188" s="151">
        <f>SUM(I188:L188)</f>
        <v>0</v>
      </c>
      <c r="N188" s="131">
        <v>0</v>
      </c>
      <c r="O188" s="135">
        <v>0</v>
      </c>
    </row>
    <row r="189" spans="2:16" s="45" customFormat="1" outlineLevel="1" x14ac:dyDescent="0.3">
      <c r="B189" s="328" t="s">
        <v>79</v>
      </c>
      <c r="C189" s="329"/>
      <c r="D189" s="132">
        <f t="shared" ref="D189:M189" si="202">SUM(D180:D188)</f>
        <v>-2935</v>
      </c>
      <c r="E189" s="140">
        <f t="shared" si="202"/>
        <v>-2605</v>
      </c>
      <c r="F189" s="140">
        <f t="shared" si="202"/>
        <v>-2069</v>
      </c>
      <c r="G189" s="140">
        <f t="shared" si="202"/>
        <v>-311</v>
      </c>
      <c r="H189" s="150">
        <f t="shared" si="202"/>
        <v>-7920</v>
      </c>
      <c r="I189" s="132">
        <f t="shared" si="202"/>
        <v>-4221</v>
      </c>
      <c r="J189" s="140">
        <f t="shared" si="202"/>
        <v>-1588</v>
      </c>
      <c r="K189" s="140">
        <f t="shared" si="202"/>
        <v>-2204</v>
      </c>
      <c r="L189" s="140">
        <f t="shared" si="202"/>
        <v>-1574</v>
      </c>
      <c r="M189" s="150">
        <f t="shared" si="202"/>
        <v>-9587</v>
      </c>
      <c r="N189" s="132">
        <f t="shared" ref="N189" si="203">SUM(N180:N188)</f>
        <v>-2463</v>
      </c>
      <c r="O189" s="321">
        <f t="shared" ref="O189" si="204">SUM(O180:O188)</f>
        <v>-3311</v>
      </c>
      <c r="P189" s="307"/>
    </row>
    <row r="190" spans="2:16" s="45" customFormat="1" outlineLevel="1" x14ac:dyDescent="0.3">
      <c r="B190" s="328" t="s">
        <v>80</v>
      </c>
      <c r="C190" s="329"/>
      <c r="D190" s="141">
        <f t="shared" ref="D190:L190" si="205">D189+D177+D167+D191</f>
        <v>-3078</v>
      </c>
      <c r="E190" s="141">
        <f t="shared" si="205"/>
        <v>502</v>
      </c>
      <c r="F190" s="141">
        <f t="shared" si="205"/>
        <v>226</v>
      </c>
      <c r="G190" s="141">
        <f t="shared" si="205"/>
        <v>1919</v>
      </c>
      <c r="H190" s="137">
        <f t="shared" si="205"/>
        <v>-431</v>
      </c>
      <c r="I190" s="155">
        <f t="shared" si="205"/>
        <v>-3416</v>
      </c>
      <c r="J190" s="141">
        <f t="shared" si="205"/>
        <v>719</v>
      </c>
      <c r="K190" s="141">
        <f t="shared" si="205"/>
        <v>381</v>
      </c>
      <c r="L190" s="141">
        <f t="shared" si="205"/>
        <v>-185</v>
      </c>
      <c r="M190" s="150">
        <f>SUM(M191,M189,M177,M167)</f>
        <v>-2501</v>
      </c>
      <c r="N190" s="155">
        <f>N189+N177+N167+N191</f>
        <v>-611</v>
      </c>
      <c r="O190" s="153">
        <f>O189+O177+O167+O191</f>
        <v>547</v>
      </c>
      <c r="P190" s="307"/>
    </row>
    <row r="191" spans="2:16" s="45" customFormat="1" outlineLevel="1" x14ac:dyDescent="0.3">
      <c r="B191" s="79" t="s">
        <v>81</v>
      </c>
      <c r="C191" s="80"/>
      <c r="D191" s="154">
        <v>-17</v>
      </c>
      <c r="E191" s="143">
        <f>8</f>
        <v>8</v>
      </c>
      <c r="F191" s="142">
        <v>-11</v>
      </c>
      <c r="G191" s="143">
        <f>H191-D191-E191-F191</f>
        <v>-8</v>
      </c>
      <c r="H191" s="138">
        <v>-28</v>
      </c>
      <c r="I191" s="128">
        <v>12</v>
      </c>
      <c r="J191" s="142">
        <f>-3-I191</f>
        <v>-15</v>
      </c>
      <c r="K191" s="142">
        <f>-6-SUM(I191:J191)</f>
        <v>-3</v>
      </c>
      <c r="L191" s="142">
        <f>-33-SUM(I191:K191)</f>
        <v>-27</v>
      </c>
      <c r="M191" s="152">
        <f t="shared" si="192"/>
        <v>-33</v>
      </c>
      <c r="N191" s="128">
        <v>20</v>
      </c>
      <c r="O191" s="310">
        <f>52-N191</f>
        <v>32</v>
      </c>
    </row>
    <row r="192" spans="2:16" s="45" customFormat="1" outlineLevel="1" x14ac:dyDescent="0.3">
      <c r="B192" s="328" t="s">
        <v>82</v>
      </c>
      <c r="C192" s="329"/>
      <c r="D192" s="155">
        <v>11733</v>
      </c>
      <c r="E192" s="141">
        <f>D193</f>
        <v>8655</v>
      </c>
      <c r="F192" s="140">
        <f>E193</f>
        <v>9157</v>
      </c>
      <c r="G192" s="140">
        <f>F193</f>
        <v>9383</v>
      </c>
      <c r="H192" s="137">
        <f>D192</f>
        <v>11733</v>
      </c>
      <c r="I192" s="132">
        <f>H193</f>
        <v>11302</v>
      </c>
      <c r="J192" s="140">
        <f>I193</f>
        <v>7886</v>
      </c>
      <c r="K192" s="140">
        <f t="shared" ref="K192:L192" si="206">J193</f>
        <v>8605</v>
      </c>
      <c r="L192" s="140">
        <f t="shared" si="206"/>
        <v>8986</v>
      </c>
      <c r="M192" s="150">
        <f>I192</f>
        <v>11302</v>
      </c>
      <c r="N192" s="132">
        <f>M193</f>
        <v>8801</v>
      </c>
      <c r="O192" s="321">
        <f>N193</f>
        <v>8190</v>
      </c>
    </row>
    <row r="193" spans="2:18" s="45" customFormat="1" outlineLevel="1" x14ac:dyDescent="0.3">
      <c r="B193" s="328" t="s">
        <v>83</v>
      </c>
      <c r="C193" s="329"/>
      <c r="D193" s="132">
        <f>D192+D190</f>
        <v>8655</v>
      </c>
      <c r="E193" s="140">
        <f>E192+E190</f>
        <v>9157</v>
      </c>
      <c r="F193" s="140">
        <f>F192+F190</f>
        <v>9383</v>
      </c>
      <c r="G193" s="140">
        <v>11302</v>
      </c>
      <c r="H193" s="150">
        <f>H192+H190</f>
        <v>11302</v>
      </c>
      <c r="I193" s="132">
        <f>I192+I190</f>
        <v>7886</v>
      </c>
      <c r="J193" s="140">
        <f>SUM(J192,J190)</f>
        <v>8605</v>
      </c>
      <c r="K193" s="140">
        <f>SUM(K192,K190)</f>
        <v>8986</v>
      </c>
      <c r="L193" s="140">
        <f>SUM(L192,L190)</f>
        <v>8801</v>
      </c>
      <c r="M193" s="150">
        <f>M192+M190</f>
        <v>8801</v>
      </c>
      <c r="N193" s="132">
        <f>N192+N190</f>
        <v>8190</v>
      </c>
      <c r="O193" s="321">
        <f>O192+O190</f>
        <v>8737</v>
      </c>
    </row>
    <row r="194" spans="2:18" s="45" customFormat="1" outlineLevel="1" x14ac:dyDescent="0.3">
      <c r="B194" s="324" t="s">
        <v>146</v>
      </c>
      <c r="C194" s="325"/>
      <c r="D194" s="114">
        <f t="shared" ref="D194:L194" si="207">(D103+D104-D123-D130)/D35</f>
        <v>0.83029963595631473</v>
      </c>
      <c r="E194" s="251">
        <f t="shared" si="207"/>
        <v>0.87136929460580914</v>
      </c>
      <c r="F194" s="251">
        <f t="shared" si="207"/>
        <v>1.2206095791001452</v>
      </c>
      <c r="G194" s="260">
        <f t="shared" si="207"/>
        <v>3.0651790957134466</v>
      </c>
      <c r="H194" s="116">
        <f>(H103+H104-H123-H130)/H35</f>
        <v>2.9995690274385862</v>
      </c>
      <c r="I194" s="114">
        <f t="shared" si="207"/>
        <v>-2.4211474917392612</v>
      </c>
      <c r="J194" s="251">
        <f t="shared" si="207"/>
        <v>-2.7502750275027505</v>
      </c>
      <c r="K194" s="251">
        <f t="shared" si="207"/>
        <v>-1.2454559822980875</v>
      </c>
      <c r="L194" s="251">
        <f t="shared" si="207"/>
        <v>0.12216404886561956</v>
      </c>
      <c r="M194" s="116">
        <f>(M103+M104-M123-M130)/M35</f>
        <v>0.11960236098167133</v>
      </c>
      <c r="N194" s="114">
        <f>(N103+N104-N123-N130)/N35</f>
        <v>-1.1751448808757243</v>
      </c>
      <c r="O194" s="260">
        <f t="shared" ref="O194" si="208">(O103+O104-O123-O130)/O35</f>
        <v>-0.73654855643044614</v>
      </c>
    </row>
    <row r="195" spans="2:18" s="45" customFormat="1" x14ac:dyDescent="0.3">
      <c r="B195" s="21"/>
      <c r="C195" s="83"/>
      <c r="D195" s="112">
        <f t="shared" ref="D195:L195" si="209">D193-D103</f>
        <v>0</v>
      </c>
      <c r="E195" s="112">
        <f t="shared" si="209"/>
        <v>0</v>
      </c>
      <c r="F195" s="112">
        <f t="shared" si="209"/>
        <v>0</v>
      </c>
      <c r="G195" s="112">
        <f t="shared" si="209"/>
        <v>0</v>
      </c>
      <c r="H195" s="112">
        <f t="shared" si="209"/>
        <v>0</v>
      </c>
      <c r="I195" s="112">
        <f t="shared" si="209"/>
        <v>0</v>
      </c>
      <c r="J195" s="112">
        <f t="shared" si="209"/>
        <v>0</v>
      </c>
      <c r="K195" s="112">
        <f t="shared" si="209"/>
        <v>0</v>
      </c>
      <c r="L195" s="112">
        <f t="shared" si="209"/>
        <v>0</v>
      </c>
      <c r="M195" s="112"/>
    </row>
    <row r="196" spans="2:18" s="45" customFormat="1" ht="15.6" x14ac:dyDescent="0.3">
      <c r="B196" s="336" t="s">
        <v>1</v>
      </c>
      <c r="C196" s="337"/>
      <c r="D196" s="11"/>
      <c r="E196" s="11"/>
      <c r="F196" s="44"/>
      <c r="G196" s="11"/>
      <c r="H196" s="11"/>
      <c r="N196" s="323"/>
    </row>
    <row r="197" spans="2:18" s="45" customFormat="1" outlineLevel="1" x14ac:dyDescent="0.3">
      <c r="B197" s="22" t="s">
        <v>9</v>
      </c>
      <c r="C197" s="172">
        <v>21.4</v>
      </c>
      <c r="D197" s="5"/>
      <c r="E197" s="6"/>
      <c r="F197" s="4"/>
      <c r="G197" s="4"/>
      <c r="H197" s="6"/>
    </row>
    <row r="198" spans="2:18" s="45" customFormat="1" outlineLevel="1" x14ac:dyDescent="0.3">
      <c r="B198" s="22" t="s">
        <v>10</v>
      </c>
      <c r="C198" s="173">
        <v>24.6</v>
      </c>
      <c r="D198" s="19"/>
      <c r="E198" s="19"/>
      <c r="F198" s="20"/>
      <c r="G198" s="20"/>
      <c r="H198" s="20"/>
    </row>
    <row r="199" spans="2:18" s="45" customFormat="1" outlineLevel="1" x14ac:dyDescent="0.3">
      <c r="B199" s="22" t="s">
        <v>11</v>
      </c>
      <c r="C199" s="173">
        <v>17.3</v>
      </c>
      <c r="D199" s="19"/>
      <c r="E199" s="19"/>
      <c r="F199" s="20"/>
      <c r="G199" s="20"/>
      <c r="H199" s="20"/>
    </row>
    <row r="200" spans="2:18" s="45" customFormat="1" outlineLevel="1" x14ac:dyDescent="0.3">
      <c r="B200" s="22" t="s">
        <v>2</v>
      </c>
      <c r="C200" s="176">
        <f>C197</f>
        <v>21.4</v>
      </c>
      <c r="D200" s="19"/>
      <c r="E200" s="19"/>
      <c r="F200" s="20"/>
      <c r="G200" s="20"/>
      <c r="H200" s="20"/>
    </row>
    <row r="201" spans="2:18" s="45" customFormat="1" outlineLevel="1" x14ac:dyDescent="0.3">
      <c r="B201" s="3" t="s">
        <v>13</v>
      </c>
      <c r="C201" s="28">
        <v>-0.74</v>
      </c>
      <c r="D201" s="19"/>
      <c r="E201" s="19"/>
      <c r="F201" s="20"/>
      <c r="G201" s="20"/>
      <c r="H201" s="20"/>
    </row>
    <row r="202" spans="2:18" s="45" customFormat="1" outlineLevel="1" x14ac:dyDescent="0.3">
      <c r="B202" s="12" t="s">
        <v>14</v>
      </c>
      <c r="C202" s="174">
        <f>(N36+O36+P36+Q36)*C200+C201</f>
        <v>242.82178886435383</v>
      </c>
      <c r="D202" s="19"/>
      <c r="E202" s="19"/>
      <c r="F202" s="20"/>
      <c r="G202" s="20"/>
      <c r="H202" s="20"/>
    </row>
    <row r="203" spans="2:18" s="45" customFormat="1" ht="121.2" customHeight="1" outlineLevel="1" x14ac:dyDescent="0.3">
      <c r="B203" s="366" t="s">
        <v>208</v>
      </c>
      <c r="C203" s="367"/>
      <c r="D203" s="19"/>
      <c r="E203" s="19"/>
      <c r="F203" s="20"/>
      <c r="G203" s="20"/>
      <c r="H203" s="20"/>
    </row>
    <row r="204" spans="2:18" s="45" customFormat="1" ht="59.55" customHeight="1" outlineLevel="1" x14ac:dyDescent="0.3">
      <c r="B204" s="364" t="s">
        <v>43</v>
      </c>
      <c r="C204" s="365"/>
      <c r="D204" s="19"/>
      <c r="E204" s="19"/>
      <c r="F204" s="20"/>
      <c r="G204" s="20"/>
      <c r="H204" s="20"/>
    </row>
    <row r="205" spans="2:18" s="45" customFormat="1" x14ac:dyDescent="0.3">
      <c r="B205" s="9"/>
      <c r="C205" s="1"/>
      <c r="D205" s="1"/>
      <c r="E205" s="1"/>
      <c r="F205" s="2"/>
      <c r="G205" s="2"/>
      <c r="H205" s="2"/>
    </row>
    <row r="206" spans="2:18" s="45" customFormat="1" ht="15.6" x14ac:dyDescent="0.3">
      <c r="B206" s="336" t="s">
        <v>51</v>
      </c>
      <c r="C206" s="337"/>
      <c r="D206" s="1"/>
      <c r="E206" s="1"/>
      <c r="F206" s="2"/>
      <c r="G206" s="2"/>
      <c r="H206" s="2"/>
      <c r="I206" s="46"/>
      <c r="J206" s="46"/>
    </row>
    <row r="207" spans="2:18" s="45" customFormat="1" outlineLevel="1" x14ac:dyDescent="0.3">
      <c r="B207" s="70" t="s">
        <v>47</v>
      </c>
      <c r="C207" s="175">
        <v>5.57E-2</v>
      </c>
      <c r="D207" s="1"/>
      <c r="E207" s="1"/>
      <c r="F207" s="2"/>
      <c r="G207" s="2"/>
      <c r="H207" s="2"/>
    </row>
    <row r="208" spans="2:18" s="45" customFormat="1" outlineLevel="1" x14ac:dyDescent="0.3">
      <c r="B208" s="3" t="s">
        <v>48</v>
      </c>
      <c r="C208" s="177">
        <v>6.2E-2</v>
      </c>
      <c r="D208" s="1"/>
      <c r="E208" s="1"/>
      <c r="F208" s="2"/>
      <c r="G208" s="2"/>
      <c r="H208" s="178"/>
      <c r="I208" s="179"/>
      <c r="J208" s="179"/>
      <c r="K208" s="179"/>
      <c r="L208" s="179"/>
      <c r="M208" s="179"/>
      <c r="N208" s="179"/>
      <c r="O208" s="179"/>
      <c r="P208" s="179"/>
      <c r="Q208" s="179"/>
      <c r="R208" s="179"/>
    </row>
    <row r="209" spans="2:19" s="45" customFormat="1" outlineLevel="1" x14ac:dyDescent="0.3">
      <c r="B209" s="3" t="s">
        <v>52</v>
      </c>
      <c r="C209" s="274">
        <f>C202</f>
        <v>242.82178886435383</v>
      </c>
      <c r="D209" s="1"/>
      <c r="E209" s="1"/>
      <c r="F209" s="2"/>
      <c r="G209" s="2"/>
      <c r="H209" s="178"/>
      <c r="I209" s="179"/>
      <c r="J209" s="179"/>
      <c r="K209" s="179"/>
      <c r="L209" s="179"/>
      <c r="M209" s="179"/>
      <c r="N209" s="179"/>
      <c r="O209" s="179"/>
      <c r="P209" s="179"/>
      <c r="Q209" s="179"/>
      <c r="R209" s="179"/>
    </row>
    <row r="210" spans="2:19" s="45" customFormat="1" outlineLevel="1" x14ac:dyDescent="0.3">
      <c r="B210" s="22" t="s">
        <v>49</v>
      </c>
      <c r="C210" s="71">
        <f>C209*(1+(C208+2*C207))</f>
        <v>284.92708705343279</v>
      </c>
      <c r="D210" s="1"/>
      <c r="E210" s="1"/>
      <c r="F210" s="2"/>
      <c r="G210" s="2"/>
      <c r="H210" s="2"/>
      <c r="I210" s="36"/>
      <c r="J210" s="36"/>
    </row>
    <row r="211" spans="2:19" s="45" customFormat="1" outlineLevel="1" x14ac:dyDescent="0.3">
      <c r="B211" s="72" t="s">
        <v>50</v>
      </c>
      <c r="C211" s="73">
        <f>C209*(1-(C208+2*C207))</f>
        <v>200.71649067527488</v>
      </c>
      <c r="D211" s="1"/>
      <c r="E211" s="1"/>
      <c r="F211" s="2"/>
      <c r="G211" s="2"/>
      <c r="H211" s="2"/>
      <c r="I211" s="11"/>
      <c r="J211" s="11"/>
    </row>
    <row r="212" spans="2:19" s="45" customFormat="1" outlineLevel="1" x14ac:dyDescent="0.3">
      <c r="B212" s="360" t="s">
        <v>209</v>
      </c>
      <c r="C212" s="361"/>
      <c r="D212" s="1"/>
      <c r="E212" s="1"/>
      <c r="F212" s="2"/>
      <c r="G212" s="2"/>
      <c r="H212" s="2"/>
      <c r="I212" s="5"/>
      <c r="J212" s="6"/>
      <c r="K212" s="46"/>
      <c r="L212" s="46"/>
      <c r="M212" s="46"/>
      <c r="N212" s="46"/>
      <c r="O212" s="46"/>
      <c r="P212" s="46"/>
      <c r="Q212" s="46"/>
      <c r="R212" s="46"/>
    </row>
    <row r="213" spans="2:19" s="45" customFormat="1" outlineLevel="1" x14ac:dyDescent="0.3">
      <c r="B213" s="360"/>
      <c r="C213" s="361"/>
      <c r="D213" s="1"/>
      <c r="E213" s="1"/>
      <c r="F213" s="2"/>
      <c r="G213" s="2"/>
      <c r="H213" s="2"/>
      <c r="I213" s="19"/>
      <c r="J213" s="19"/>
    </row>
    <row r="214" spans="2:19" s="46" customFormat="1" outlineLevel="1" x14ac:dyDescent="0.3">
      <c r="B214" s="360"/>
      <c r="C214" s="361"/>
      <c r="D214" s="1"/>
      <c r="E214" s="1"/>
      <c r="F214" s="2"/>
      <c r="G214" s="2"/>
      <c r="H214" s="2"/>
      <c r="I214" s="19"/>
      <c r="J214" s="19"/>
      <c r="K214" s="45"/>
      <c r="L214" s="45"/>
      <c r="M214" s="45"/>
      <c r="N214" s="45"/>
      <c r="O214" s="45"/>
      <c r="P214" s="45"/>
      <c r="Q214" s="45"/>
      <c r="R214" s="45"/>
    </row>
    <row r="215" spans="2:19" s="45" customFormat="1" outlineLevel="1" x14ac:dyDescent="0.3">
      <c r="B215" s="360"/>
      <c r="C215" s="361"/>
      <c r="D215" s="1"/>
      <c r="E215" s="1"/>
      <c r="F215" s="2"/>
      <c r="G215" s="2"/>
      <c r="H215" s="2"/>
      <c r="I215" s="19"/>
      <c r="J215" s="19"/>
    </row>
    <row r="216" spans="2:19" s="45" customFormat="1" outlineLevel="1" x14ac:dyDescent="0.3">
      <c r="B216" s="360"/>
      <c r="C216" s="361"/>
      <c r="D216" s="1"/>
      <c r="E216" s="1"/>
      <c r="F216" s="2"/>
      <c r="G216" s="2"/>
      <c r="H216" s="2"/>
      <c r="I216" s="19"/>
      <c r="J216" s="19"/>
      <c r="K216" s="36"/>
      <c r="L216" s="36"/>
      <c r="M216" s="36"/>
      <c r="N216" s="36"/>
      <c r="O216" s="36"/>
      <c r="P216" s="36"/>
      <c r="Q216" s="36"/>
      <c r="R216" s="36"/>
    </row>
    <row r="217" spans="2:19" s="45" customFormat="1" outlineLevel="1" x14ac:dyDescent="0.3">
      <c r="B217" s="360"/>
      <c r="C217" s="361"/>
      <c r="D217" s="1"/>
      <c r="E217" s="1"/>
      <c r="F217" s="2"/>
      <c r="G217" s="2"/>
      <c r="H217" s="2"/>
      <c r="I217" s="19"/>
      <c r="J217" s="19"/>
      <c r="K217" s="11"/>
      <c r="L217" s="11"/>
      <c r="M217" s="11"/>
      <c r="N217" s="11"/>
      <c r="O217" s="11"/>
      <c r="P217" s="11"/>
      <c r="Q217" s="11"/>
      <c r="R217" s="11"/>
    </row>
    <row r="218" spans="2:19" s="45" customFormat="1" ht="15" customHeight="1" outlineLevel="1" x14ac:dyDescent="0.3">
      <c r="B218" s="360"/>
      <c r="C218" s="361"/>
      <c r="D218" s="1"/>
      <c r="E218" s="1"/>
      <c r="F218" s="2"/>
      <c r="G218" s="2"/>
      <c r="H218" s="2"/>
      <c r="I218" s="19"/>
      <c r="J218" s="19"/>
      <c r="K218" s="4"/>
      <c r="L218" s="4"/>
      <c r="M218" s="6"/>
      <c r="N218" s="5"/>
      <c r="O218" s="6"/>
      <c r="P218" s="4"/>
      <c r="Q218" s="4"/>
      <c r="R218" s="6"/>
      <c r="S218" s="66"/>
    </row>
    <row r="219" spans="2:19" outlineLevel="1" x14ac:dyDescent="0.3">
      <c r="B219" s="360"/>
      <c r="C219" s="361"/>
      <c r="I219" s="19"/>
      <c r="J219" s="19"/>
      <c r="K219" s="20"/>
      <c r="L219" s="20"/>
      <c r="M219" s="20"/>
      <c r="N219" s="19"/>
      <c r="O219" s="19"/>
      <c r="P219" s="20"/>
      <c r="Q219" s="20"/>
      <c r="R219" s="20"/>
    </row>
    <row r="220" spans="2:19" outlineLevel="1" x14ac:dyDescent="0.3">
      <c r="B220" s="360"/>
      <c r="C220" s="361"/>
      <c r="K220" s="20"/>
      <c r="L220" s="20"/>
      <c r="M220" s="20"/>
      <c r="N220" s="19"/>
      <c r="O220" s="19"/>
      <c r="P220" s="20"/>
      <c r="Q220" s="20"/>
      <c r="R220" s="20"/>
    </row>
    <row r="221" spans="2:19" outlineLevel="1" x14ac:dyDescent="0.3">
      <c r="B221" s="360"/>
      <c r="C221" s="361"/>
      <c r="K221" s="20"/>
      <c r="L221" s="20"/>
      <c r="M221" s="20"/>
      <c r="N221" s="19"/>
      <c r="O221" s="19"/>
      <c r="P221" s="20"/>
      <c r="Q221" s="20"/>
      <c r="R221" s="20"/>
    </row>
    <row r="222" spans="2:19" outlineLevel="1" x14ac:dyDescent="0.3">
      <c r="B222" s="360"/>
      <c r="C222" s="361"/>
      <c r="K222" s="20"/>
      <c r="L222" s="20"/>
      <c r="M222" s="20"/>
      <c r="N222" s="19"/>
      <c r="O222" s="19"/>
      <c r="P222" s="20"/>
      <c r="Q222" s="20"/>
      <c r="R222" s="20"/>
    </row>
    <row r="223" spans="2:19" outlineLevel="1" x14ac:dyDescent="0.3">
      <c r="B223" s="360"/>
      <c r="C223" s="361"/>
      <c r="K223" s="20"/>
      <c r="L223" s="20"/>
      <c r="M223" s="20"/>
      <c r="N223" s="19"/>
      <c r="O223" s="19"/>
      <c r="P223" s="20"/>
      <c r="Q223" s="20"/>
      <c r="R223" s="20"/>
    </row>
    <row r="224" spans="2:19" s="25" customFormat="1" outlineLevel="1" x14ac:dyDescent="0.3">
      <c r="B224" s="360"/>
      <c r="C224" s="361"/>
      <c r="D224" s="1"/>
      <c r="E224" s="1"/>
      <c r="F224" s="2"/>
      <c r="G224" s="2"/>
      <c r="H224" s="2"/>
      <c r="I224" s="1"/>
      <c r="J224" s="1"/>
      <c r="K224" s="20"/>
      <c r="L224" s="20"/>
      <c r="M224" s="20"/>
      <c r="N224" s="19"/>
      <c r="O224" s="19"/>
      <c r="P224" s="20"/>
      <c r="Q224" s="20"/>
      <c r="R224" s="20"/>
    </row>
    <row r="225" spans="2:18" outlineLevel="1" x14ac:dyDescent="0.3">
      <c r="B225" s="360"/>
      <c r="C225" s="361"/>
      <c r="K225" s="20"/>
      <c r="L225" s="20"/>
      <c r="M225" s="20"/>
      <c r="N225" s="19"/>
      <c r="O225" s="19"/>
      <c r="P225" s="20"/>
      <c r="Q225" s="20"/>
      <c r="R225" s="20"/>
    </row>
    <row r="226" spans="2:18" s="25" customFormat="1" ht="14.55" customHeight="1" outlineLevel="1" x14ac:dyDescent="0.3">
      <c r="B226" s="362"/>
      <c r="C226" s="363"/>
      <c r="D226" s="1"/>
      <c r="E226" s="1"/>
      <c r="F226" s="2"/>
      <c r="G226" s="2"/>
      <c r="H226" s="2"/>
      <c r="I226" s="1"/>
      <c r="J226" s="1"/>
      <c r="K226" s="2"/>
      <c r="L226" s="2"/>
      <c r="M226" s="2"/>
      <c r="N226" s="1"/>
      <c r="O226" s="1"/>
      <c r="P226" s="2"/>
      <c r="Q226" s="2"/>
      <c r="R226" s="2"/>
    </row>
    <row r="228" spans="2:18" x14ac:dyDescent="0.3">
      <c r="B228" s="76" t="s">
        <v>54</v>
      </c>
    </row>
    <row r="230" spans="2:18" s="45" customFormat="1" x14ac:dyDescent="0.3">
      <c r="B230"/>
      <c r="C230" s="9"/>
      <c r="D230" s="1"/>
      <c r="E230" s="1"/>
      <c r="F230" s="2"/>
      <c r="G230" s="2"/>
      <c r="H230" s="2"/>
      <c r="I230" s="1"/>
      <c r="J230" s="1"/>
      <c r="K230" s="2"/>
      <c r="L230" s="2"/>
      <c r="M230" s="2"/>
      <c r="N230" s="1"/>
      <c r="O230" s="1"/>
      <c r="P230" s="2"/>
      <c r="Q230" s="2"/>
      <c r="R230" s="2"/>
    </row>
    <row r="231" spans="2:18" s="45" customFormat="1" x14ac:dyDescent="0.3">
      <c r="B231"/>
      <c r="C231" s="9"/>
      <c r="D231" s="1"/>
      <c r="E231" s="1"/>
      <c r="F231" s="2"/>
      <c r="G231" s="2"/>
      <c r="H231" s="2"/>
      <c r="I231" s="1"/>
      <c r="J231" s="1"/>
      <c r="K231" s="2"/>
      <c r="L231" s="2"/>
      <c r="M231" s="2"/>
      <c r="N231" s="1"/>
      <c r="O231" s="1"/>
      <c r="P231" s="2"/>
      <c r="Q231" s="2"/>
      <c r="R231" s="2"/>
    </row>
    <row r="234" spans="2:18" s="45" customFormat="1" ht="15" customHeight="1" x14ac:dyDescent="0.3">
      <c r="B234"/>
      <c r="C234" s="9"/>
      <c r="D234" s="1"/>
      <c r="E234" s="1"/>
      <c r="F234" s="2"/>
      <c r="G234" s="2"/>
      <c r="H234" s="2"/>
      <c r="I234" s="1"/>
      <c r="J234" s="1"/>
      <c r="K234" s="2"/>
      <c r="L234" s="2"/>
      <c r="M234" s="2"/>
      <c r="N234" s="1"/>
      <c r="O234" s="1"/>
      <c r="P234" s="2"/>
      <c r="Q234" s="2"/>
      <c r="R234" s="2"/>
    </row>
  </sheetData>
  <dataConsolidate/>
  <mergeCells count="93">
    <mergeCell ref="B117:C117"/>
    <mergeCell ref="B100:C100"/>
    <mergeCell ref="B101:C101"/>
    <mergeCell ref="B102:C102"/>
    <mergeCell ref="B103:C103"/>
    <mergeCell ref="B116:C116"/>
    <mergeCell ref="B104:C104"/>
    <mergeCell ref="B105:C105"/>
    <mergeCell ref="B108:C108"/>
    <mergeCell ref="B109:C109"/>
    <mergeCell ref="B111:C111"/>
    <mergeCell ref="B106:C106"/>
    <mergeCell ref="B206:C206"/>
    <mergeCell ref="B212:C226"/>
    <mergeCell ref="B204:C204"/>
    <mergeCell ref="B196:C196"/>
    <mergeCell ref="B203:C203"/>
    <mergeCell ref="B65:C65"/>
    <mergeCell ref="B41:C41"/>
    <mergeCell ref="B38:C38"/>
    <mergeCell ref="B92:C92"/>
    <mergeCell ref="B87:C87"/>
    <mergeCell ref="B42:C42"/>
    <mergeCell ref="B84:C84"/>
    <mergeCell ref="B46:C46"/>
    <mergeCell ref="B49:C49"/>
    <mergeCell ref="B70:C70"/>
    <mergeCell ref="B74:C74"/>
    <mergeCell ref="B97:C97"/>
    <mergeCell ref="B96:C96"/>
    <mergeCell ref="B95:C95"/>
    <mergeCell ref="B99:C99"/>
    <mergeCell ref="B88:C88"/>
    <mergeCell ref="B26:C26"/>
    <mergeCell ref="B43:C43"/>
    <mergeCell ref="B30:C30"/>
    <mergeCell ref="B35:C35"/>
    <mergeCell ref="B34:C34"/>
    <mergeCell ref="B37:C37"/>
    <mergeCell ref="B33:C33"/>
    <mergeCell ref="B36:C36"/>
    <mergeCell ref="B2:C2"/>
    <mergeCell ref="B94:C94"/>
    <mergeCell ref="B93:C93"/>
    <mergeCell ref="B3:C3"/>
    <mergeCell ref="B4:C4"/>
    <mergeCell ref="B5:C5"/>
    <mergeCell ref="B9:C9"/>
    <mergeCell ref="B10:C10"/>
    <mergeCell ref="B31:C31"/>
    <mergeCell ref="B13:C13"/>
    <mergeCell ref="B16:C16"/>
    <mergeCell ref="B18:C18"/>
    <mergeCell ref="B24:C24"/>
    <mergeCell ref="B29:C29"/>
    <mergeCell ref="B28:C28"/>
    <mergeCell ref="B20:C20"/>
    <mergeCell ref="B145:C145"/>
    <mergeCell ref="B146:C146"/>
    <mergeCell ref="B168:C168"/>
    <mergeCell ref="B118:C118"/>
    <mergeCell ref="B119:C119"/>
    <mergeCell ref="B141:C141"/>
    <mergeCell ref="B132:C132"/>
    <mergeCell ref="B133:C133"/>
    <mergeCell ref="B138:C138"/>
    <mergeCell ref="B120:C120"/>
    <mergeCell ref="B124:C124"/>
    <mergeCell ref="B121:C121"/>
    <mergeCell ref="B123:C123"/>
    <mergeCell ref="B131:C131"/>
    <mergeCell ref="B178:C178"/>
    <mergeCell ref="B179:C179"/>
    <mergeCell ref="B44:C44"/>
    <mergeCell ref="B155:C155"/>
    <mergeCell ref="B169:C169"/>
    <mergeCell ref="B170:C170"/>
    <mergeCell ref="B173:C173"/>
    <mergeCell ref="B177:C177"/>
    <mergeCell ref="B156:C156"/>
    <mergeCell ref="B157:C157"/>
    <mergeCell ref="B159:C159"/>
    <mergeCell ref="B167:C167"/>
    <mergeCell ref="B147:C147"/>
    <mergeCell ref="B148:C148"/>
    <mergeCell ref="B143:C143"/>
    <mergeCell ref="B144:C144"/>
    <mergeCell ref="B194:C194"/>
    <mergeCell ref="B188:C188"/>
    <mergeCell ref="B189:C189"/>
    <mergeCell ref="B190:C190"/>
    <mergeCell ref="B192:C192"/>
    <mergeCell ref="B193:C193"/>
  </mergeCells>
  <phoneticPr fontId="70" type="noConversion"/>
  <pageMargins left="0.7" right="0.7" top="0.75" bottom="0.75" header="0.3" footer="0.3"/>
  <pageSetup orientation="landscape" r:id="rId1"/>
  <headerFooter>
    <oddFooter xml:space="preserve">&amp;CGutenberg Research LLC prohibits the redistribution of this document in whole or part without the written permission. 
© Gutenberg Research LLC 2016.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Earnings Model</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2016-03-31T01:20:23Z</cp:lastPrinted>
  <dcterms:created xsi:type="dcterms:W3CDTF">2014-10-18T18:34:10Z</dcterms:created>
  <dcterms:modified xsi:type="dcterms:W3CDTF">2017-09-06T00:49:16Z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