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autoCompressPictures="0" defaultThemeVersion="124226"/>
  <mc:AlternateContent xmlns:mc="http://schemas.openxmlformats.org/markup-compatibility/2006">
    <mc:Choice Requires="x15">
      <x15ac:absPath xmlns:x15ac="http://schemas.microsoft.com/office/spreadsheetml/2010/11/ac" url="C:\Users\Admin\Documents\Articles (2-15-2016)\Boeing\"/>
    </mc:Choice>
  </mc:AlternateContent>
  <bookViews>
    <workbookView xWindow="0" yWindow="0" windowWidth="23040" windowHeight="10932"/>
  </bookViews>
  <sheets>
    <sheet name="Earnings Model" sheetId="3" r:id="rId1"/>
  </sheets>
  <externalReferences>
    <externalReference r:id="rId2"/>
  </externalReferences>
  <definedNames>
    <definedName name="DATA">'[1]Estimates by Analyst'!$B$6:$M$50</definedName>
    <definedName name="_xlnm.Print_Area" localSheetId="0">'Earnings Model'!$A$1:$R$248</definedName>
    <definedName name="solver_eng" localSheetId="0" hidden="1">1</definedName>
    <definedName name="solver_lin" localSheetId="0" hidden="1">2</definedName>
    <definedName name="solver_neg" localSheetId="0" hidden="1">1</definedName>
    <definedName name="solver_num" localSheetId="0" hidden="1">0</definedName>
    <definedName name="solver_opt" localSheetId="0" hidden="1">'Earnings Model'!$G$35</definedName>
    <definedName name="solver_typ" localSheetId="0" hidden="1">1</definedName>
    <definedName name="solver_val" localSheetId="0" hidden="1">0</definedName>
    <definedName name="solver_ver" localSheetId="0" hidden="1">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44" i="3" l="1"/>
  <c r="K47" i="3"/>
  <c r="J50" i="3"/>
  <c r="K50" i="3"/>
  <c r="K52" i="3"/>
  <c r="K54" i="3"/>
  <c r="K56" i="3"/>
  <c r="K58" i="3"/>
  <c r="K60" i="3"/>
  <c r="K63" i="3"/>
  <c r="K66" i="3"/>
  <c r="K68" i="3"/>
  <c r="J72" i="3"/>
  <c r="I72" i="3"/>
  <c r="K72" i="3"/>
  <c r="K24" i="3"/>
  <c r="K25" i="3"/>
  <c r="K26" i="3"/>
  <c r="K27" i="3"/>
  <c r="J86" i="3"/>
  <c r="K86" i="3"/>
  <c r="K28" i="3"/>
  <c r="K29" i="3"/>
  <c r="K30" i="3"/>
  <c r="K90" i="3"/>
  <c r="K32" i="3"/>
  <c r="K33" i="3"/>
  <c r="K97" i="3"/>
  <c r="K35" i="3"/>
  <c r="K38" i="3"/>
  <c r="L44" i="3"/>
  <c r="L47" i="3"/>
  <c r="L50" i="3"/>
  <c r="L52" i="3"/>
  <c r="L54" i="3"/>
  <c r="L56" i="3"/>
  <c r="L58" i="3"/>
  <c r="L60" i="3"/>
  <c r="L63" i="3"/>
  <c r="L66" i="3"/>
  <c r="L68" i="3"/>
  <c r="L72" i="3"/>
  <c r="L24" i="3"/>
  <c r="L25" i="3"/>
  <c r="L26" i="3"/>
  <c r="L27" i="3"/>
  <c r="L86" i="3"/>
  <c r="L28" i="3"/>
  <c r="L29" i="3"/>
  <c r="L30" i="3"/>
  <c r="L90" i="3"/>
  <c r="L32" i="3"/>
  <c r="L33" i="3"/>
  <c r="L97" i="3"/>
  <c r="L35" i="3"/>
  <c r="L38" i="3"/>
  <c r="N44" i="3"/>
  <c r="N47" i="3"/>
  <c r="N50" i="3"/>
  <c r="N52" i="3"/>
  <c r="N54" i="3"/>
  <c r="N56" i="3"/>
  <c r="N58" i="3"/>
  <c r="N60" i="3"/>
  <c r="N63" i="3"/>
  <c r="N66" i="3"/>
  <c r="N68" i="3"/>
  <c r="N72" i="3"/>
  <c r="N24" i="3"/>
  <c r="N89" i="3"/>
  <c r="N25" i="3"/>
  <c r="N26" i="3"/>
  <c r="N73" i="3"/>
  <c r="N27" i="3"/>
  <c r="N86" i="3"/>
  <c r="N28" i="3"/>
  <c r="N29" i="3"/>
  <c r="N30" i="3"/>
  <c r="N90" i="3"/>
  <c r="N32" i="3"/>
  <c r="N33" i="3"/>
  <c r="N97" i="3"/>
  <c r="N35" i="3"/>
  <c r="N38" i="3"/>
  <c r="O44" i="3"/>
  <c r="O47" i="3"/>
  <c r="O50" i="3"/>
  <c r="O52" i="3"/>
  <c r="O54" i="3"/>
  <c r="O56" i="3"/>
  <c r="O58" i="3"/>
  <c r="O60" i="3"/>
  <c r="O63" i="3"/>
  <c r="O66" i="3"/>
  <c r="O68" i="3"/>
  <c r="O72" i="3"/>
  <c r="O24" i="3"/>
  <c r="O89" i="3"/>
  <c r="O25" i="3"/>
  <c r="O26" i="3"/>
  <c r="O73" i="3"/>
  <c r="O27" i="3"/>
  <c r="O86" i="3"/>
  <c r="O28" i="3"/>
  <c r="O29" i="3"/>
  <c r="O30" i="3"/>
  <c r="O90" i="3"/>
  <c r="O32" i="3"/>
  <c r="O33" i="3"/>
  <c r="O94" i="3"/>
  <c r="O97" i="3"/>
  <c r="O35" i="3"/>
  <c r="O38" i="3"/>
  <c r="J192" i="3"/>
  <c r="C199" i="3"/>
  <c r="C200" i="3"/>
  <c r="P44" i="3"/>
  <c r="P47" i="3"/>
  <c r="P50" i="3"/>
  <c r="P52" i="3"/>
  <c r="P54" i="3"/>
  <c r="P56" i="3"/>
  <c r="P58" i="3"/>
  <c r="P60" i="3"/>
  <c r="P63" i="3"/>
  <c r="P66" i="3"/>
  <c r="P68" i="3"/>
  <c r="P72" i="3"/>
  <c r="P24" i="3"/>
  <c r="P86" i="3"/>
  <c r="P28" i="3"/>
  <c r="P73" i="3"/>
  <c r="P27" i="3"/>
  <c r="P29" i="3"/>
  <c r="P30" i="3"/>
  <c r="Q44" i="3"/>
  <c r="Q47" i="3"/>
  <c r="Q50" i="3"/>
  <c r="Q52" i="3"/>
  <c r="Q54" i="3"/>
  <c r="Q56" i="3"/>
  <c r="Q58" i="3"/>
  <c r="Q60" i="3"/>
  <c r="Q63" i="3"/>
  <c r="Q66" i="3"/>
  <c r="Q68" i="3"/>
  <c r="Q72" i="3"/>
  <c r="Q24" i="3"/>
  <c r="Q86" i="3"/>
  <c r="Q28" i="3"/>
  <c r="Q73" i="3"/>
  <c r="Q27" i="3"/>
  <c r="Q29" i="3"/>
  <c r="Q30" i="3"/>
  <c r="R30" i="3"/>
  <c r="N62" i="3"/>
  <c r="K71" i="3"/>
  <c r="L71" i="3"/>
  <c r="N71" i="3"/>
  <c r="N13" i="3"/>
  <c r="J13" i="3"/>
  <c r="J75" i="3"/>
  <c r="I13" i="3"/>
  <c r="I75" i="3"/>
  <c r="K75" i="3"/>
  <c r="L75" i="3"/>
  <c r="N75" i="3"/>
  <c r="N11" i="3"/>
  <c r="N77" i="3"/>
  <c r="N14" i="3"/>
  <c r="N12" i="3"/>
  <c r="N78" i="3"/>
  <c r="N15" i="3"/>
  <c r="J81" i="3"/>
  <c r="K81" i="3"/>
  <c r="L81" i="3"/>
  <c r="N81" i="3"/>
  <c r="N16" i="3"/>
  <c r="N17" i="3"/>
  <c r="N18" i="3"/>
  <c r="N23" i="3"/>
  <c r="J23" i="3"/>
  <c r="K62" i="3"/>
  <c r="K13" i="3"/>
  <c r="K11" i="3"/>
  <c r="K14" i="3"/>
  <c r="K12" i="3"/>
  <c r="K15" i="3"/>
  <c r="K16" i="3"/>
  <c r="K17" i="3"/>
  <c r="K18" i="3"/>
  <c r="K23" i="3"/>
  <c r="J82" i="3"/>
  <c r="K82" i="3"/>
  <c r="K19" i="3"/>
  <c r="K20" i="3"/>
  <c r="L62" i="3"/>
  <c r="L13" i="3"/>
  <c r="L11" i="3"/>
  <c r="L14" i="3"/>
  <c r="L12" i="3"/>
  <c r="L15" i="3"/>
  <c r="L16" i="3"/>
  <c r="L17" i="3"/>
  <c r="L18" i="3"/>
  <c r="L23" i="3"/>
  <c r="L82" i="3"/>
  <c r="L19" i="3"/>
  <c r="L20" i="3"/>
  <c r="N82" i="3"/>
  <c r="N19" i="3"/>
  <c r="N20" i="3"/>
  <c r="O62" i="3"/>
  <c r="O71" i="3"/>
  <c r="O13" i="3"/>
  <c r="O75" i="3"/>
  <c r="O11" i="3"/>
  <c r="O77" i="3"/>
  <c r="O14" i="3"/>
  <c r="O12" i="3"/>
  <c r="O78" i="3"/>
  <c r="O15" i="3"/>
  <c r="O81" i="3"/>
  <c r="O16" i="3"/>
  <c r="O17" i="3"/>
  <c r="O18" i="3"/>
  <c r="O23" i="3"/>
  <c r="O82" i="3"/>
  <c r="O19" i="3"/>
  <c r="O20" i="3"/>
  <c r="P62" i="3"/>
  <c r="P71" i="3"/>
  <c r="P13" i="3"/>
  <c r="P75" i="3"/>
  <c r="P11" i="3"/>
  <c r="P77" i="3"/>
  <c r="P14" i="3"/>
  <c r="P12" i="3"/>
  <c r="P78" i="3"/>
  <c r="P15" i="3"/>
  <c r="P81" i="3"/>
  <c r="P16" i="3"/>
  <c r="P17" i="3"/>
  <c r="P18" i="3"/>
  <c r="P23" i="3"/>
  <c r="P82" i="3"/>
  <c r="P19" i="3"/>
  <c r="P20" i="3"/>
  <c r="Q62" i="3"/>
  <c r="Q71" i="3"/>
  <c r="Q13" i="3"/>
  <c r="Q75" i="3"/>
  <c r="Q11" i="3"/>
  <c r="Q77" i="3"/>
  <c r="Q14" i="3"/>
  <c r="Q12" i="3"/>
  <c r="Q78" i="3"/>
  <c r="Q15" i="3"/>
  <c r="Q81" i="3"/>
  <c r="Q16" i="3"/>
  <c r="Q17" i="3"/>
  <c r="Q18" i="3"/>
  <c r="Q23" i="3"/>
  <c r="Q82" i="3"/>
  <c r="Q19" i="3"/>
  <c r="Q20" i="3"/>
  <c r="R20" i="3"/>
  <c r="K21" i="3"/>
  <c r="L21" i="3"/>
  <c r="N21" i="3"/>
  <c r="O21" i="3"/>
  <c r="P21" i="3"/>
  <c r="Q21" i="3"/>
  <c r="R21" i="3"/>
  <c r="R19" i="3"/>
  <c r="R22" i="3"/>
  <c r="R23" i="3"/>
  <c r="R11" i="3"/>
  <c r="R12" i="3"/>
  <c r="R13" i="3"/>
  <c r="R14" i="3"/>
  <c r="R15" i="3"/>
  <c r="R16" i="3"/>
  <c r="R17" i="3"/>
  <c r="R18" i="3"/>
  <c r="R24" i="3"/>
  <c r="R28" i="3"/>
  <c r="R27" i="3"/>
  <c r="R29" i="3"/>
  <c r="R87" i="3"/>
  <c r="K83" i="3"/>
  <c r="L83" i="3"/>
  <c r="N83" i="3"/>
  <c r="O83" i="3"/>
  <c r="P83" i="3"/>
  <c r="Q83" i="3"/>
  <c r="K84" i="3"/>
  <c r="L84" i="3"/>
  <c r="N84" i="3"/>
  <c r="O84" i="3"/>
  <c r="P84" i="3"/>
  <c r="Q84" i="3"/>
  <c r="M89" i="3"/>
  <c r="M30" i="3"/>
  <c r="M11" i="3"/>
  <c r="M12" i="3"/>
  <c r="M13" i="3"/>
  <c r="M14" i="3"/>
  <c r="M15" i="3"/>
  <c r="M16" i="3"/>
  <c r="M17" i="3"/>
  <c r="M18" i="3"/>
  <c r="M20" i="3"/>
  <c r="M21" i="3"/>
  <c r="M19" i="3"/>
  <c r="M22" i="3"/>
  <c r="M23" i="3"/>
  <c r="M24" i="3"/>
  <c r="M27" i="3"/>
  <c r="M28" i="3"/>
  <c r="M29" i="3"/>
  <c r="M87" i="3"/>
  <c r="I192" i="3"/>
  <c r="H192" i="3"/>
  <c r="G192" i="3"/>
  <c r="F192" i="3"/>
  <c r="E192" i="3"/>
  <c r="D192" i="3"/>
  <c r="H190" i="3"/>
  <c r="H179" i="3"/>
  <c r="H180" i="3"/>
  <c r="H181" i="3"/>
  <c r="H182" i="3"/>
  <c r="H183" i="3"/>
  <c r="H184" i="3"/>
  <c r="H185" i="3"/>
  <c r="H186" i="3"/>
  <c r="H187" i="3"/>
  <c r="E170" i="3"/>
  <c r="H170" i="3"/>
  <c r="E171" i="3"/>
  <c r="H171" i="3"/>
  <c r="E172" i="3"/>
  <c r="H172" i="3"/>
  <c r="E173" i="3"/>
  <c r="H173" i="3"/>
  <c r="E174" i="3"/>
  <c r="H174" i="3"/>
  <c r="E175" i="3"/>
  <c r="H175" i="3"/>
  <c r="H176" i="3"/>
  <c r="D13" i="3"/>
  <c r="D17" i="3"/>
  <c r="D18" i="3"/>
  <c r="D23" i="3"/>
  <c r="D24" i="3"/>
  <c r="D29" i="3"/>
  <c r="D31" i="3"/>
  <c r="D147" i="3"/>
  <c r="E13" i="3"/>
  <c r="E17" i="3"/>
  <c r="E18" i="3"/>
  <c r="E23" i="3"/>
  <c r="E24" i="3"/>
  <c r="E29" i="3"/>
  <c r="E31" i="3"/>
  <c r="E147" i="3"/>
  <c r="H147" i="3"/>
  <c r="E148" i="3"/>
  <c r="H148" i="3"/>
  <c r="E149" i="3"/>
  <c r="H149" i="3"/>
  <c r="E150" i="3"/>
  <c r="H150" i="3"/>
  <c r="H151" i="3"/>
  <c r="H152" i="3"/>
  <c r="H153" i="3"/>
  <c r="H154" i="3"/>
  <c r="H157" i="3"/>
  <c r="H158" i="3"/>
  <c r="E159" i="3"/>
  <c r="H159" i="3"/>
  <c r="H160" i="3"/>
  <c r="E161" i="3"/>
  <c r="H161" i="3"/>
  <c r="E162" i="3"/>
  <c r="H162" i="3"/>
  <c r="E163" i="3"/>
  <c r="H163" i="3"/>
  <c r="E164" i="3"/>
  <c r="H164" i="3"/>
  <c r="E165" i="3"/>
  <c r="H165" i="3"/>
  <c r="H166" i="3"/>
  <c r="H167" i="3"/>
  <c r="H188" i="3"/>
  <c r="H191" i="3"/>
  <c r="I190" i="3"/>
  <c r="I187" i="3"/>
  <c r="I176" i="3"/>
  <c r="I167" i="3"/>
  <c r="I188" i="3"/>
  <c r="I191" i="3"/>
  <c r="J190" i="3"/>
  <c r="D187" i="3"/>
  <c r="D176" i="3"/>
  <c r="D167" i="3"/>
  <c r="D188" i="3"/>
  <c r="D191" i="3"/>
  <c r="E190" i="3"/>
  <c r="E187" i="3"/>
  <c r="E176" i="3"/>
  <c r="E167" i="3"/>
  <c r="E189" i="3"/>
  <c r="E188" i="3"/>
  <c r="E191" i="3"/>
  <c r="F190" i="3"/>
  <c r="F187" i="3"/>
  <c r="F176" i="3"/>
  <c r="F167" i="3"/>
  <c r="F188" i="3"/>
  <c r="F191" i="3"/>
  <c r="G190" i="3"/>
  <c r="J189" i="3"/>
  <c r="J124" i="3"/>
  <c r="J131" i="3"/>
  <c r="J141" i="3"/>
  <c r="J109" i="3"/>
  <c r="J117" i="3"/>
  <c r="J142" i="3"/>
  <c r="K34" i="3"/>
  <c r="P94" i="3"/>
  <c r="Q94" i="3"/>
  <c r="O93" i="3"/>
  <c r="P93" i="3"/>
  <c r="Q93" i="3"/>
  <c r="J97" i="3"/>
  <c r="J93" i="3"/>
  <c r="I97" i="3"/>
  <c r="I93" i="3"/>
  <c r="G97" i="3"/>
  <c r="G93" i="3"/>
  <c r="P97" i="3"/>
  <c r="Q97" i="3"/>
  <c r="I94" i="3"/>
  <c r="J94" i="3"/>
  <c r="E97" i="3"/>
  <c r="E93" i="3"/>
  <c r="K31" i="3"/>
  <c r="K36" i="3"/>
  <c r="P35" i="3"/>
  <c r="Q35" i="3"/>
  <c r="R35" i="3"/>
  <c r="L34" i="3"/>
  <c r="N34" i="3"/>
  <c r="O34" i="3"/>
  <c r="P34" i="3"/>
  <c r="Q34" i="3"/>
  <c r="R34" i="3"/>
  <c r="M35" i="3"/>
  <c r="M34" i="3"/>
  <c r="P89" i="3"/>
  <c r="P90" i="3"/>
  <c r="P32" i="3"/>
  <c r="Q89" i="3"/>
  <c r="Q90" i="3"/>
  <c r="Q32" i="3"/>
  <c r="R32" i="3"/>
  <c r="I90" i="3"/>
  <c r="I32" i="3"/>
  <c r="J90" i="3"/>
  <c r="J32" i="3"/>
  <c r="M32" i="3"/>
  <c r="K40" i="3"/>
  <c r="J77" i="3"/>
  <c r="I77" i="3"/>
  <c r="J78" i="3"/>
  <c r="I78" i="3"/>
  <c r="J17" i="3"/>
  <c r="J18" i="3"/>
  <c r="J24" i="3"/>
  <c r="J62" i="3"/>
  <c r="J63" i="3"/>
  <c r="J40" i="3"/>
  <c r="E79" i="3"/>
  <c r="F13" i="3"/>
  <c r="F17" i="3"/>
  <c r="F18" i="3"/>
  <c r="F23" i="3"/>
  <c r="F24" i="3"/>
  <c r="F79" i="3"/>
  <c r="G12" i="3"/>
  <c r="G11" i="3"/>
  <c r="G13" i="3"/>
  <c r="G18" i="3"/>
  <c r="G23" i="3"/>
  <c r="G24" i="3"/>
  <c r="G79" i="3"/>
  <c r="H18" i="3"/>
  <c r="H19" i="3"/>
  <c r="H20" i="3"/>
  <c r="H21" i="3"/>
  <c r="H22" i="3"/>
  <c r="H23" i="3"/>
  <c r="H24" i="3"/>
  <c r="H13" i="3"/>
  <c r="H79" i="3"/>
  <c r="I17" i="3"/>
  <c r="I18" i="3"/>
  <c r="I23" i="3"/>
  <c r="I24" i="3"/>
  <c r="I79" i="3"/>
  <c r="J79" i="3"/>
  <c r="J85" i="3"/>
  <c r="K85" i="3"/>
  <c r="K79" i="3"/>
  <c r="L85" i="3"/>
  <c r="L79" i="3"/>
  <c r="M79" i="3"/>
  <c r="N85" i="3"/>
  <c r="N79" i="3"/>
  <c r="O85" i="3"/>
  <c r="O79" i="3"/>
  <c r="P85" i="3"/>
  <c r="P79" i="3"/>
  <c r="Q85" i="3"/>
  <c r="Q79" i="3"/>
  <c r="R79" i="3"/>
  <c r="E25" i="3"/>
  <c r="E26" i="3"/>
  <c r="E80" i="3"/>
  <c r="F25" i="3"/>
  <c r="F26" i="3"/>
  <c r="F80" i="3"/>
  <c r="G25" i="3"/>
  <c r="G26" i="3"/>
  <c r="G80" i="3"/>
  <c r="D25" i="3"/>
  <c r="H25" i="3"/>
  <c r="H26" i="3"/>
  <c r="H80" i="3"/>
  <c r="I25" i="3"/>
  <c r="I26" i="3"/>
  <c r="I80" i="3"/>
  <c r="J25" i="3"/>
  <c r="J26" i="3"/>
  <c r="J80" i="3"/>
  <c r="K80" i="3"/>
  <c r="L80" i="3"/>
  <c r="M25" i="3"/>
  <c r="M26" i="3"/>
  <c r="M80" i="3"/>
  <c r="N80" i="3"/>
  <c r="O80" i="3"/>
  <c r="P25" i="3"/>
  <c r="P26" i="3"/>
  <c r="P80" i="3"/>
  <c r="Q25" i="3"/>
  <c r="Q26" i="3"/>
  <c r="Q80" i="3"/>
  <c r="R25" i="3"/>
  <c r="R26" i="3"/>
  <c r="R80" i="3"/>
  <c r="D26" i="3"/>
  <c r="D80" i="3"/>
  <c r="D79" i="3"/>
  <c r="E87" i="3"/>
  <c r="F29" i="3"/>
  <c r="F87" i="3"/>
  <c r="G29" i="3"/>
  <c r="G87" i="3"/>
  <c r="H30" i="3"/>
  <c r="H28" i="3"/>
  <c r="H27" i="3"/>
  <c r="H29" i="3"/>
  <c r="H87" i="3"/>
  <c r="I29" i="3"/>
  <c r="I87" i="3"/>
  <c r="J29" i="3"/>
  <c r="J87" i="3"/>
  <c r="D87" i="3"/>
  <c r="I86" i="3"/>
  <c r="G86" i="3"/>
  <c r="F86" i="3"/>
  <c r="E86" i="3"/>
  <c r="I85" i="3"/>
  <c r="G85" i="3"/>
  <c r="F85" i="3"/>
  <c r="E85" i="3"/>
  <c r="E83" i="3"/>
  <c r="F83" i="3"/>
  <c r="G83" i="3"/>
  <c r="H83" i="3"/>
  <c r="I83" i="3"/>
  <c r="J83" i="3"/>
  <c r="E84" i="3"/>
  <c r="F84" i="3"/>
  <c r="G84" i="3"/>
  <c r="H84" i="3"/>
  <c r="I84" i="3"/>
  <c r="J84" i="3"/>
  <c r="D84" i="3"/>
  <c r="D83" i="3"/>
  <c r="I82" i="3"/>
  <c r="G82" i="3"/>
  <c r="E82" i="3"/>
  <c r="F82" i="3"/>
  <c r="R78" i="3"/>
  <c r="R77" i="3"/>
  <c r="R76" i="3"/>
  <c r="R75" i="3"/>
  <c r="M78" i="3"/>
  <c r="M77" i="3"/>
  <c r="M76" i="3"/>
  <c r="M75" i="3"/>
  <c r="I81" i="3"/>
  <c r="F81" i="3"/>
  <c r="G81" i="3"/>
  <c r="E81" i="3"/>
  <c r="E77" i="3"/>
  <c r="F77" i="3"/>
  <c r="G77" i="3"/>
  <c r="H11" i="3"/>
  <c r="H14" i="3"/>
  <c r="H77" i="3"/>
  <c r="E78" i="3"/>
  <c r="F78" i="3"/>
  <c r="G15" i="3"/>
  <c r="G78" i="3"/>
  <c r="H12" i="3"/>
  <c r="H15" i="3"/>
  <c r="H78" i="3"/>
  <c r="D78" i="3"/>
  <c r="D77" i="3"/>
  <c r="J76" i="3"/>
  <c r="I76" i="3"/>
  <c r="K76" i="3"/>
  <c r="L76" i="3"/>
  <c r="N76" i="3"/>
  <c r="O76" i="3"/>
  <c r="P76" i="3"/>
  <c r="Q76" i="3"/>
  <c r="E75" i="3"/>
  <c r="F75" i="3"/>
  <c r="G75" i="3"/>
  <c r="H75" i="3"/>
  <c r="E76" i="3"/>
  <c r="F76" i="3"/>
  <c r="G76" i="3"/>
  <c r="H76" i="3"/>
  <c r="D76" i="3"/>
  <c r="D75" i="3"/>
  <c r="K39" i="3"/>
  <c r="L39" i="3"/>
  <c r="N39" i="3"/>
  <c r="O39" i="3"/>
  <c r="P39" i="3"/>
  <c r="Q39" i="3"/>
  <c r="R39" i="3"/>
  <c r="M39" i="3"/>
  <c r="L31" i="3"/>
  <c r="L36" i="3"/>
  <c r="M31" i="3"/>
  <c r="M36" i="3"/>
  <c r="N31" i="3"/>
  <c r="N36" i="3"/>
  <c r="O31" i="3"/>
  <c r="O36" i="3"/>
  <c r="P31" i="3"/>
  <c r="P36" i="3"/>
  <c r="Q31" i="3"/>
  <c r="Q36" i="3"/>
  <c r="R31" i="3"/>
  <c r="R36" i="3"/>
  <c r="K37" i="3"/>
  <c r="L37" i="3"/>
  <c r="M37" i="3"/>
  <c r="N37" i="3"/>
  <c r="O37" i="3"/>
  <c r="P37" i="3"/>
  <c r="Q37" i="3"/>
  <c r="R37" i="3"/>
  <c r="M33" i="3"/>
  <c r="M38" i="3"/>
  <c r="P33" i="3"/>
  <c r="P38" i="3"/>
  <c r="Q33" i="3"/>
  <c r="Q38" i="3"/>
  <c r="R33" i="3"/>
  <c r="R38" i="3"/>
  <c r="G72" i="3"/>
  <c r="F72" i="3"/>
  <c r="D72" i="3"/>
  <c r="E72" i="3"/>
  <c r="G62" i="3"/>
  <c r="G63" i="3"/>
  <c r="G40" i="3"/>
  <c r="F62" i="3"/>
  <c r="F63" i="3"/>
  <c r="F40" i="3"/>
  <c r="E62" i="3"/>
  <c r="E63" i="3"/>
  <c r="E40" i="3"/>
  <c r="D62" i="3"/>
  <c r="D63" i="3"/>
  <c r="D40" i="3"/>
  <c r="Q40" i="3"/>
  <c r="P40" i="3"/>
  <c r="O40" i="3"/>
  <c r="N40" i="3"/>
  <c r="I62" i="3"/>
  <c r="I63" i="3"/>
  <c r="I40" i="3"/>
  <c r="L40" i="3"/>
  <c r="H68" i="3"/>
  <c r="H66" i="3"/>
  <c r="R68" i="3"/>
  <c r="R66" i="3"/>
  <c r="R69" i="3"/>
  <c r="M68" i="3"/>
  <c r="M66" i="3"/>
  <c r="M69" i="3"/>
  <c r="J69" i="3"/>
  <c r="I69" i="3"/>
  <c r="H69" i="3"/>
  <c r="G69" i="3"/>
  <c r="F69" i="3"/>
  <c r="E69" i="3"/>
  <c r="D69" i="3"/>
  <c r="J67" i="3"/>
  <c r="I67" i="3"/>
  <c r="G67" i="3"/>
  <c r="F67" i="3"/>
  <c r="E67" i="3"/>
  <c r="H53" i="3"/>
  <c r="H54" i="3"/>
  <c r="H56" i="3"/>
  <c r="H57" i="3"/>
  <c r="H61" i="3"/>
  <c r="H62" i="3"/>
  <c r="H63" i="3"/>
  <c r="H64" i="3"/>
  <c r="E64" i="3"/>
  <c r="F64" i="3"/>
  <c r="G64" i="3"/>
  <c r="I64" i="3"/>
  <c r="J64" i="3"/>
  <c r="K64" i="3"/>
  <c r="L64" i="3"/>
  <c r="M52" i="3"/>
  <c r="M56" i="3"/>
  <c r="M60" i="3"/>
  <c r="M63" i="3"/>
  <c r="M54" i="3"/>
  <c r="M58" i="3"/>
  <c r="M50" i="3"/>
  <c r="M62" i="3"/>
  <c r="M64" i="3"/>
  <c r="N64" i="3"/>
  <c r="O64" i="3"/>
  <c r="P64" i="3"/>
  <c r="Q64" i="3"/>
  <c r="R52" i="3"/>
  <c r="R56" i="3"/>
  <c r="R60" i="3"/>
  <c r="R63" i="3"/>
  <c r="R50" i="3"/>
  <c r="R54" i="3"/>
  <c r="R58" i="3"/>
  <c r="R62" i="3"/>
  <c r="R64" i="3"/>
  <c r="D64" i="3"/>
  <c r="R61" i="3"/>
  <c r="M61" i="3"/>
  <c r="J61" i="3"/>
  <c r="I61" i="3"/>
  <c r="G61" i="3"/>
  <c r="F61" i="3"/>
  <c r="E61" i="3"/>
  <c r="D61" i="3"/>
  <c r="J59" i="3"/>
  <c r="I59" i="3"/>
  <c r="G59" i="3"/>
  <c r="F59" i="3"/>
  <c r="E59" i="3"/>
  <c r="J57" i="3"/>
  <c r="I57" i="3"/>
  <c r="G57" i="3"/>
  <c r="F57" i="3"/>
  <c r="E57" i="3"/>
  <c r="D57" i="3"/>
  <c r="J53" i="3"/>
  <c r="I53" i="3"/>
  <c r="G53" i="3"/>
  <c r="F53" i="3"/>
  <c r="E53" i="3"/>
  <c r="D53" i="3"/>
  <c r="R57" i="3"/>
  <c r="M57" i="3"/>
  <c r="J55" i="3"/>
  <c r="I55" i="3"/>
  <c r="G55" i="3"/>
  <c r="F55" i="3"/>
  <c r="E55" i="3"/>
  <c r="R53" i="3"/>
  <c r="M53" i="3"/>
  <c r="E51" i="3"/>
  <c r="R47" i="3"/>
  <c r="R44" i="3"/>
  <c r="R48" i="3"/>
  <c r="R45" i="3"/>
  <c r="R46" i="3"/>
  <c r="M47" i="3"/>
  <c r="M44" i="3"/>
  <c r="M48" i="3"/>
  <c r="M45" i="3"/>
  <c r="M46" i="3"/>
  <c r="H47" i="3"/>
  <c r="H45" i="3"/>
  <c r="D46" i="3"/>
  <c r="E46" i="3"/>
  <c r="F46" i="3"/>
  <c r="G46" i="3"/>
  <c r="H44" i="3"/>
  <c r="H46" i="3"/>
  <c r="I46" i="3"/>
  <c r="J46" i="3"/>
  <c r="D48" i="3"/>
  <c r="E48" i="3"/>
  <c r="F48" i="3"/>
  <c r="G48" i="3"/>
  <c r="H48" i="3"/>
  <c r="I48" i="3"/>
  <c r="J48" i="3"/>
  <c r="G90" i="3"/>
  <c r="F90" i="3"/>
  <c r="F32" i="3"/>
  <c r="F33" i="3"/>
  <c r="F31" i="3"/>
  <c r="F38" i="3"/>
  <c r="G32" i="3"/>
  <c r="I33" i="3"/>
  <c r="I38" i="3"/>
  <c r="I31" i="3"/>
  <c r="J33" i="3"/>
  <c r="J31" i="3"/>
  <c r="J38" i="3"/>
  <c r="H39" i="3"/>
  <c r="D97" i="3"/>
  <c r="F51" i="3"/>
  <c r="H17" i="3"/>
  <c r="G193" i="3"/>
  <c r="J187" i="3"/>
  <c r="J188" i="3"/>
  <c r="H16" i="3"/>
  <c r="D138" i="3"/>
  <c r="D140" i="3"/>
  <c r="D124" i="3"/>
  <c r="D131" i="3"/>
  <c r="D141" i="3"/>
  <c r="E138" i="3"/>
  <c r="E140" i="3"/>
  <c r="F138" i="3"/>
  <c r="F140" i="3"/>
  <c r="E124" i="3"/>
  <c r="F124" i="3"/>
  <c r="I133" i="3"/>
  <c r="I138" i="3"/>
  <c r="I140" i="3"/>
  <c r="I124" i="3"/>
  <c r="I131" i="3"/>
  <c r="I109" i="3"/>
  <c r="I117" i="3"/>
  <c r="J193" i="3"/>
  <c r="G187" i="3"/>
  <c r="G176" i="3"/>
  <c r="G167" i="3"/>
  <c r="G189" i="3"/>
  <c r="F97" i="3"/>
  <c r="F131" i="3"/>
  <c r="F109" i="3"/>
  <c r="F117" i="3"/>
  <c r="D109" i="3"/>
  <c r="D117" i="3"/>
  <c r="E131" i="3"/>
  <c r="J138" i="3"/>
  <c r="E109" i="3"/>
  <c r="E117" i="3"/>
  <c r="G142" i="3"/>
  <c r="E94" i="3"/>
  <c r="C6" i="3"/>
  <c r="C207" i="3"/>
  <c r="E141" i="3"/>
  <c r="E142" i="3"/>
  <c r="F141" i="3"/>
  <c r="F142" i="3"/>
  <c r="G94" i="3"/>
  <c r="D142" i="3"/>
  <c r="G188" i="3"/>
  <c r="I141" i="3"/>
  <c r="I142" i="3"/>
  <c r="C208" i="3"/>
  <c r="C209" i="3"/>
  <c r="C7" i="3"/>
  <c r="F93" i="3"/>
  <c r="F94" i="3"/>
  <c r="F193" i="3"/>
  <c r="J51" i="3"/>
  <c r="E36" i="3"/>
  <c r="E37" i="3"/>
  <c r="E193" i="3"/>
  <c r="F36" i="3"/>
  <c r="F37" i="3"/>
  <c r="D37" i="3"/>
  <c r="D36" i="3"/>
  <c r="I37" i="3"/>
  <c r="I36" i="3"/>
  <c r="D193" i="3"/>
  <c r="I193" i="3"/>
  <c r="H193" i="3"/>
  <c r="J37" i="3"/>
  <c r="J36" i="3"/>
  <c r="D90" i="3"/>
  <c r="D32" i="3"/>
  <c r="D33" i="3"/>
  <c r="D38" i="3"/>
  <c r="E90" i="3"/>
  <c r="E32" i="3"/>
  <c r="H32" i="3"/>
  <c r="E33" i="3"/>
  <c r="E38" i="3"/>
  <c r="G33" i="3"/>
  <c r="G38" i="3"/>
  <c r="H31" i="3"/>
  <c r="H37" i="3"/>
  <c r="H36" i="3"/>
  <c r="G31" i="3"/>
  <c r="G37" i="3"/>
  <c r="G36" i="3"/>
  <c r="I51" i="3"/>
  <c r="G51" i="3"/>
  <c r="H33" i="3"/>
</calcChain>
</file>

<file path=xl/comments1.xml><?xml version="1.0" encoding="utf-8"?>
<comments xmlns="http://schemas.openxmlformats.org/spreadsheetml/2006/main">
  <authors>
    <author>Admin</author>
    <author>Jae Lee</author>
  </authors>
  <commentList>
    <comment ref="M13" authorId="0" shapeId="0">
      <text>
        <r>
          <rPr>
            <sz val="9"/>
            <color indexed="81"/>
            <rFont val="Tahoma"/>
            <family val="2"/>
          </rPr>
          <t>Management guided revenue between $93B and $95B on July 27, 2016.</t>
        </r>
      </text>
    </comment>
    <comment ref="M21" authorId="0" shapeId="0">
      <text>
        <r>
          <rPr>
            <sz val="9"/>
            <color indexed="81"/>
            <rFont val="Tahoma"/>
            <family val="2"/>
          </rPr>
          <t>Management guided R&amp;D expense to ~$4.8B on July 27, 2016.</t>
        </r>
      </text>
    </comment>
    <comment ref="M35" authorId="0" shapeId="0">
      <text>
        <r>
          <rPr>
            <sz val="9"/>
            <color indexed="81"/>
            <rFont val="Tahoma"/>
            <family val="2"/>
          </rPr>
          <t>Management guided Diluted shares between 645M and 650M shares on July 27, 2016.</t>
        </r>
      </text>
    </comment>
    <comment ref="M37" authorId="0" shapeId="0">
      <text>
        <r>
          <rPr>
            <sz val="9"/>
            <color indexed="81"/>
            <rFont val="Tahoma"/>
            <family val="2"/>
          </rPr>
          <t>Management guided GAAP diluted EPS between $6.40 and $6.60 on July 27, 2016.</t>
        </r>
      </text>
    </comment>
    <comment ref="M38" authorId="0" shapeId="0">
      <text>
        <r>
          <rPr>
            <sz val="9"/>
            <color indexed="81"/>
            <rFont val="Tahoma"/>
            <family val="2"/>
          </rPr>
          <t>Management guided Non-GAAP diluted EPS between $6.10 and $6.30 on July 27, 2016.</t>
        </r>
      </text>
    </comment>
    <comment ref="M44" authorId="0" shapeId="0">
      <text>
        <r>
          <rPr>
            <sz val="9"/>
            <color indexed="81"/>
            <rFont val="Tahoma"/>
            <family val="2"/>
          </rPr>
          <t>Management guided commercial revenue between 64B and $65B on July 27, 2016.</t>
        </r>
      </text>
    </comment>
    <comment ref="M45" authorId="0" shapeId="0">
      <text>
        <r>
          <rPr>
            <sz val="9"/>
            <color indexed="81"/>
            <rFont val="Tahoma"/>
            <family val="2"/>
          </rPr>
          <t>Management guided Commercial deliveries between 740 and 745 on July 27, 2016.</t>
        </r>
      </text>
    </comment>
    <comment ref="B46" authorId="0" shapeId="0">
      <text>
        <r>
          <rPr>
            <sz val="9"/>
            <color indexed="81"/>
            <rFont val="Tahoma"/>
            <family val="2"/>
          </rPr>
          <t>This metric uses a broad assumption that revenue is recognized upon delivery, which is an over simplication, but can be considered a proxy for revenue.</t>
        </r>
      </text>
    </comment>
    <comment ref="M48" authorId="0" shapeId="0">
      <text>
        <r>
          <rPr>
            <sz val="9"/>
            <color indexed="81"/>
            <rFont val="Tahoma"/>
            <family val="2"/>
          </rPr>
          <t>Management guided Commercial operating margin between 4.5% and 5.0% on July 27, 2016.</t>
        </r>
      </text>
    </comment>
    <comment ref="M50" authorId="0" shapeId="0">
      <text>
        <r>
          <rPr>
            <sz val="9"/>
            <color indexed="81"/>
            <rFont val="Tahoma"/>
            <family val="2"/>
          </rPr>
          <t>Management guided Military revenue to ~$12.3B on July 27, 2016.</t>
        </r>
      </text>
    </comment>
    <comment ref="M53" authorId="0" shapeId="0">
      <text>
        <r>
          <rPr>
            <sz val="9"/>
            <color indexed="81"/>
            <rFont val="Tahoma"/>
            <family val="2"/>
          </rPr>
          <t>Management guided Military operating margin to ~9.5% on July 27, 2016.</t>
        </r>
      </text>
    </comment>
    <comment ref="M54" authorId="0" shapeId="0">
      <text>
        <r>
          <rPr>
            <sz val="9"/>
            <color indexed="81"/>
            <rFont val="Tahoma"/>
            <family val="2"/>
          </rPr>
          <t>Management guided Network &amp; space revenue to ~$7.3B on July 27, 2016.</t>
        </r>
      </text>
    </comment>
    <comment ref="M57" authorId="0" shapeId="0">
      <text>
        <r>
          <rPr>
            <sz val="9"/>
            <color indexed="81"/>
            <rFont val="Tahoma"/>
            <family val="2"/>
          </rPr>
          <t>Management guided Network &amp; Space operating margin to ~9.0% on July 27, 2016.</t>
        </r>
      </text>
    </comment>
    <comment ref="M58" authorId="0" shapeId="0">
      <text>
        <r>
          <rPr>
            <sz val="9"/>
            <color indexed="81"/>
            <rFont val="Tahoma"/>
            <family val="2"/>
          </rPr>
          <t>Management guided Global Services revenue to ~$9.4B on July 27, 2016.</t>
        </r>
      </text>
    </comment>
    <comment ref="M61" authorId="0" shapeId="0">
      <text>
        <r>
          <rPr>
            <sz val="9"/>
            <color indexed="81"/>
            <rFont val="Tahoma"/>
            <family val="2"/>
          </rPr>
          <t>Management guided Global Services operating margin to ~12% on July 27, 2016.</t>
        </r>
      </text>
    </comment>
    <comment ref="M64" authorId="0" shapeId="0">
      <text>
        <r>
          <rPr>
            <sz val="9"/>
            <color indexed="81"/>
            <rFont val="Tahoma"/>
            <family val="2"/>
          </rPr>
          <t>Management guided total BDS operating margin to greater than 10.0% on July 27, 2016.</t>
        </r>
      </text>
    </comment>
    <comment ref="M66" authorId="0" shapeId="0">
      <text>
        <r>
          <rPr>
            <sz val="9"/>
            <color indexed="81"/>
            <rFont val="Tahoma"/>
            <family val="2"/>
          </rPr>
          <t>Management guided Capital revenue to ~$0.3B on July 27, 2016.</t>
        </r>
      </text>
    </comment>
    <comment ref="M68" authorId="0" shapeId="0">
      <text>
        <r>
          <rPr>
            <sz val="9"/>
            <color indexed="81"/>
            <rFont val="Tahoma"/>
            <family val="2"/>
          </rPr>
          <t>Management guided Capital pre-tax earnings to ~$0.05B on July 27, 2016.</t>
        </r>
      </text>
    </comment>
    <comment ref="M87" authorId="0" shapeId="0">
      <text>
        <r>
          <rPr>
            <sz val="9"/>
            <color indexed="81"/>
            <rFont val="Tahoma"/>
            <family val="2"/>
          </rPr>
          <t>Management guided the 2016 effective tax rate to approximately 23% on july 27, 2016.</t>
        </r>
      </text>
    </comment>
    <comment ref="M89" authorId="0" shapeId="0">
      <text>
        <r>
          <rPr>
            <sz val="9"/>
            <color indexed="81"/>
            <rFont val="Tahoma"/>
            <family val="2"/>
          </rPr>
          <t>Management guided unallocated pension and other postretirment expense non-gaap adjustment to ~$0.3B on July 27, 2016.</t>
        </r>
      </text>
    </comment>
    <comment ref="B125" authorId="1" shapeId="0">
      <text>
        <r>
          <rPr>
            <sz val="9"/>
            <color indexed="81"/>
            <rFont val="Calibri"/>
            <family val="2"/>
          </rPr>
          <t>Deferred income taxes moved from current liabilities to under total  liabilities since the Dec 31 FY</t>
        </r>
        <r>
          <rPr>
            <b/>
            <sz val="9"/>
            <color indexed="81"/>
            <rFont val="Calibri"/>
            <family val="2"/>
          </rPr>
          <t xml:space="preserve">
</t>
        </r>
        <r>
          <rPr>
            <sz val="9"/>
            <color indexed="81"/>
            <rFont val="Calibri"/>
            <family val="2"/>
          </rPr>
          <t xml:space="preserve">
</t>
        </r>
      </text>
    </comment>
  </commentList>
</comments>
</file>

<file path=xl/sharedStrings.xml><?xml version="1.0" encoding="utf-8"?>
<sst xmlns="http://schemas.openxmlformats.org/spreadsheetml/2006/main" count="288" uniqueCount="206">
  <si>
    <t>(Dollars in millions, except per share data)</t>
  </si>
  <si>
    <t>Multiple Valuation</t>
  </si>
  <si>
    <t>P/E used for valuation</t>
  </si>
  <si>
    <t xml:space="preserve">Segment Data &amp; Income Statement Ratios </t>
  </si>
  <si>
    <t>Basic EPS (GAAP)</t>
  </si>
  <si>
    <t>Diluted EPS (GAAP)</t>
  </si>
  <si>
    <t>Basic shares outstanding (GAAP)</t>
  </si>
  <si>
    <t>Diluted shares outstanding (GAAP)</t>
  </si>
  <si>
    <t>Diluted EPS (Non-GAAP)</t>
  </si>
  <si>
    <t>NTM P/E 3-month average</t>
  </si>
  <si>
    <t>NTM P/E 3-month high</t>
  </si>
  <si>
    <t>NTM P/E 3-month low</t>
  </si>
  <si>
    <t>FY 2016E</t>
  </si>
  <si>
    <t>FY 2017E</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</si>
  <si>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</si>
  <si>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</si>
  <si>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</si>
  <si>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</si>
  <si>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</si>
  <si>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</si>
  <si>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</si>
  <si>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</si>
  <si>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</si>
  <si>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1Q15</t>
  </si>
  <si>
    <t>2Q15</t>
  </si>
  <si>
    <t>3Q16E</t>
  </si>
  <si>
    <t>4Q16E</t>
  </si>
  <si>
    <t>1Q17E</t>
  </si>
  <si>
    <t>2Q17E</t>
  </si>
  <si>
    <t>3Q17E</t>
  </si>
  <si>
    <t>4Q17E</t>
  </si>
  <si>
    <t>3Q15</t>
  </si>
  <si>
    <t>General and administrative</t>
  </si>
  <si>
    <t>Income before income taxes (GAAP)</t>
  </si>
  <si>
    <t>Effective income tax rate</t>
  </si>
  <si>
    <t>Operating Income (GAAP)</t>
  </si>
  <si>
    <t>Operating Income (Non-GAAP)</t>
  </si>
  <si>
    <t>Operating Income Margin (GAAP)</t>
  </si>
  <si>
    <t>Operating Income Margin (Non-GAAP)</t>
  </si>
  <si>
    <t>Total Operating Expenses (ex cost of revenue)</t>
  </si>
  <si>
    <t>Net income (GAAP)</t>
  </si>
  <si>
    <t>($ in millions  unless otherwise noted)</t>
  </si>
  <si>
    <t>Average interest expense</t>
  </si>
  <si>
    <t>Blue cells = Gutenberg® estimates</t>
  </si>
  <si>
    <t>Research and development</t>
  </si>
  <si>
    <t>Ratio Analysis</t>
  </si>
  <si>
    <t>Gross Profit (GAAP)</t>
  </si>
  <si>
    <t>Opex adjustments (Non-GAAP)</t>
  </si>
  <si>
    <t>Non-GAAP Adjustment Analysis</t>
  </si>
  <si>
    <t xml:space="preserve">(a) Multiples are calculated excluding the value of net cash/(debt) and are based on the 3-month average daily share price compared to the consensus EPS estimates for the next twelve month period. </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</si>
  <si>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</si>
  <si>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</si>
  <si>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</si>
  <si>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</si>
  <si>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</si>
  <si>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</si>
  <si>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</si>
  <si>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</si>
  <si>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</si>
  <si>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</si>
  <si>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</si>
  <si>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</si>
  <si>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</si>
  <si>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</si>
  <si>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</si>
  <si>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</si>
  <si>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</si>
  <si>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</si>
  <si>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</si>
  <si>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</si>
  <si>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</si>
  <si>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</si>
  <si>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</si>
  <si>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</si>
  <si>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</si>
  <si>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</si>
  <si>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</si>
  <si>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</si>
  <si>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</si>
  <si>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Change in operating assets and liabilities</t>
  </si>
  <si>
    <t>Accounts receivable</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</si>
  <si>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</si>
  <si>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</si>
  <si>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</si>
  <si>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</si>
  <si>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</si>
  <si>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</si>
  <si>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</si>
  <si>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</si>
  <si>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</si>
  <si>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Short-term investments</t>
  </si>
  <si>
    <t>Intangible assets</t>
  </si>
  <si>
    <t>Goodwill</t>
  </si>
  <si>
    <t>Other assets</t>
  </si>
  <si>
    <t>Additional paid-in capital</t>
  </si>
  <si>
    <t xml:space="preserve">Common stock </t>
  </si>
  <si>
    <t>Accumulated other comprehensive loss</t>
  </si>
  <si>
    <t>Deferred income taxes</t>
  </si>
  <si>
    <t xml:space="preserve">Purchase of marketable securities </t>
  </si>
  <si>
    <t>Business combinations, net of cash acquired</t>
  </si>
  <si>
    <t>Other investing activities</t>
  </si>
  <si>
    <t>Proceeds from exercise of stock options</t>
  </si>
  <si>
    <t>Other financing activities</t>
  </si>
  <si>
    <t>Proceeds from sale of marketable securities</t>
  </si>
  <si>
    <t>Boeing Income Statement</t>
  </si>
  <si>
    <t>Cost of services</t>
  </si>
  <si>
    <t>Cost of products</t>
  </si>
  <si>
    <t>Income from operating investments, net</t>
  </si>
  <si>
    <t>(Loss)/gain on dispositions, net</t>
  </si>
  <si>
    <t>Interest and debt expense</t>
  </si>
  <si>
    <t>Current portion of customer financing, net</t>
  </si>
  <si>
    <t>Inventories, net of advances and progress billings</t>
  </si>
  <si>
    <t>Customer financing, net</t>
  </si>
  <si>
    <t>Advances and billings in excess of related costs</t>
  </si>
  <si>
    <t>Short-term debt and current portion of long-term debt</t>
  </si>
  <si>
    <t>Accrued retiree health care</t>
  </si>
  <si>
    <t>Accrued pension plan liability, net</t>
  </si>
  <si>
    <t>Long-term debt</t>
  </si>
  <si>
    <t>Treasury stock</t>
  </si>
  <si>
    <t>Retained earnings</t>
  </si>
  <si>
    <t>Noncontrolling interests</t>
  </si>
  <si>
    <t>Total equity</t>
  </si>
  <si>
    <t>Boeing Capital interest expense</t>
  </si>
  <si>
    <t>Deferred income taxes and income taxes payable</t>
  </si>
  <si>
    <t>Non-current income taxes payable</t>
  </si>
  <si>
    <t>Share-based plans expense</t>
  </si>
  <si>
    <t>Depreciation and amortization</t>
  </si>
  <si>
    <t>Investment/asset impairment charges, net</t>
  </si>
  <si>
    <t>Customer financing valuation benefit</t>
  </si>
  <si>
    <t>Other charges and credits, net</t>
  </si>
  <si>
    <t>Excess tax benefits from share-based payment arrangements</t>
  </si>
  <si>
    <t>Accrued liabilities</t>
  </si>
  <si>
    <t>Pension and other postretirement plans</t>
  </si>
  <si>
    <t>Other</t>
  </si>
  <si>
    <t>Property, plant and equipment reductions</t>
  </si>
  <si>
    <t>New borrowings</t>
  </si>
  <si>
    <t>Debt repayments</t>
  </si>
  <si>
    <t>Employee taxes on certain share-based payment arrangements</t>
  </si>
  <si>
    <t>Common shares repurchased</t>
  </si>
  <si>
    <t>Dividends paid</t>
  </si>
  <si>
    <t>Sept-30</t>
  </si>
  <si>
    <t>Mar-31</t>
  </si>
  <si>
    <t>June-30</t>
  </si>
  <si>
    <t>Dec-31</t>
  </si>
  <si>
    <t>1Q16</t>
  </si>
  <si>
    <t>2Q16</t>
  </si>
  <si>
    <t>Income taxes receivable, payable and deferred</t>
  </si>
  <si>
    <t>Property, plant and equipment additions</t>
  </si>
  <si>
    <t>Purple cells = Company guidance (last update 7/27/1016)</t>
  </si>
  <si>
    <t>Gain/(Loss) on dispositions, net</t>
  </si>
  <si>
    <t>Total Costs and expenses (GAAP)</t>
  </si>
  <si>
    <t>Long-term investments</t>
  </si>
  <si>
    <t>Other (loss)/income, net</t>
  </si>
  <si>
    <t>Revenue (GAAP)</t>
  </si>
  <si>
    <t>General and administrative as a % of revenue</t>
  </si>
  <si>
    <t>Research and development as a % of revenue</t>
  </si>
  <si>
    <t>Net cash/(debt) per diluted share (Non-GAAP)</t>
  </si>
  <si>
    <t>Sales of Products</t>
  </si>
  <si>
    <t>Sales of Services</t>
  </si>
  <si>
    <t>Net income (Non-GAAP)</t>
  </si>
  <si>
    <t>Income tax adjustment on Non-GAAP items</t>
  </si>
  <si>
    <t>Income Tax (expense)/Benefit</t>
  </si>
  <si>
    <t>Tax impact of Non-GAAP Adjustments ($M)</t>
  </si>
  <si>
    <t>Tax impact of Non-GAAP Adjustments (%)</t>
  </si>
  <si>
    <t>Commercial Airplanes Revenue ($M)</t>
  </si>
  <si>
    <t xml:space="preserve">Commercial Airplanes Segment </t>
  </si>
  <si>
    <t>Commercial Airplanes Deliveries (in units)</t>
  </si>
  <si>
    <t>Commerical Airplanes Segment Operating Margin ($M)</t>
  </si>
  <si>
    <t>Commerical Airplanes Segment Operating Margin (%)</t>
  </si>
  <si>
    <t xml:space="preserve">   Revenue per Delivery ($M per unit)</t>
  </si>
  <si>
    <t xml:space="preserve">Defense, Space &amp; Security Segment </t>
  </si>
  <si>
    <t xml:space="preserve">   Boeing Military Aircraft (QoQ)</t>
  </si>
  <si>
    <t xml:space="preserve">   Network &amp; Space Systems (QoQ)</t>
  </si>
  <si>
    <t xml:space="preserve">   Global Services &amp; Support (QoQ)</t>
  </si>
  <si>
    <t>Military Aircraft Operating Margin ($M)</t>
  </si>
  <si>
    <t>Boeing Military Aircraft Revenue ($M)</t>
  </si>
  <si>
    <t>Network &amp; Space Systems Operating Margin ($M)</t>
  </si>
  <si>
    <t>Network &amp; Space Systems Operating Margin (%)</t>
  </si>
  <si>
    <t>Military Aircraft  Operating Margin (%)</t>
  </si>
  <si>
    <t>Global Services &amp; Support Revenue ($M)</t>
  </si>
  <si>
    <t>Network &amp; Space Systems Revenue ($M)</t>
  </si>
  <si>
    <t>Global Services &amp; Support Operating Margin ($M)</t>
  </si>
  <si>
    <t>Global Services &amp; Support Operating Margin (%)</t>
  </si>
  <si>
    <t>Total Defense, Space &amp; Security Revenue ($M)</t>
  </si>
  <si>
    <t>Total Defense, Space &amp; Security Operating Margin ($M)</t>
  </si>
  <si>
    <t>Total Defense, Space &amp; Security Operating Margin (%)</t>
  </si>
  <si>
    <t xml:space="preserve">Boeing Capital Segment </t>
  </si>
  <si>
    <t>Boeing Capital Revenue ($M)</t>
  </si>
  <si>
    <t xml:space="preserve">   Boeing Capital (QoQ)</t>
  </si>
  <si>
    <t>Boeing Capital Operating Margin ($M)</t>
  </si>
  <si>
    <t>Boeing Capital Operating Margin (%)</t>
  </si>
  <si>
    <t>Unallocated items, eliminations and other (Revenue, $M)</t>
  </si>
  <si>
    <t>Unallocated items, eliminations and other (Operating Earnings, $M)</t>
  </si>
  <si>
    <t>Other income/(expense), net</t>
  </si>
  <si>
    <t>Other Items</t>
  </si>
  <si>
    <t>Product sales as a % of total revenue</t>
  </si>
  <si>
    <t>Services sales as a % of total revenue</t>
  </si>
  <si>
    <t>Product Gross Margin (exCap Int)</t>
  </si>
  <si>
    <t>Services Gross Margin (exCap Int)</t>
  </si>
  <si>
    <t>Average Boeing Capital interest expense</t>
  </si>
  <si>
    <t>Average Income from operating investments</t>
  </si>
  <si>
    <t xml:space="preserve">Average (Loss)/gain on dispositions, net </t>
  </si>
  <si>
    <t>Unallocated Pension/ Post Retirement Expense (adjustment to opex)</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</si>
  <si>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9/4/2016.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</si>
  <si>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9/4/2016. </t>
    </r>
  </si>
  <si>
    <t>Orange cells = Consensus estimates (updated 9/4/2016)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</si>
</sst>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0_-;\-* #,##0.00_-;_-* &quot;-&quot;??_-;_-@_-"/>
    <numFmt numFmtId="168" formatCode="_(* #,##0.0_);_(* \(#,##0.0\);_(* &quot;-&quot;??_);_(@_)"/>
    <numFmt numFmtId="169" formatCode="_(* #,##0_);_(* \(#,##0\);_(* &quot;-&quot;??_);_(@_)"/>
    <numFmt numFmtId="170" formatCode="0.0%"/>
    <numFmt numFmtId="171" formatCode="0.0\x"/>
    <numFmt numFmtId="172" formatCode="_(* #,##0.000_);_(* \(#,##0.000\);_(* &quot;-&quot;??_);_(@_)"/>
    <numFmt numFmtId="173" formatCode="#,##0.0_);\(#,##0.0\)"/>
    <numFmt numFmtId="174" formatCode="#,##0.0\ ;\(#,##0.0\)"/>
    <numFmt numFmtId="175" formatCode="#,##0\ ;\(#,##0.0\)"/>
    <numFmt numFmtId="176" formatCode="&quot;$&quot;0.00_)"/>
    <numFmt numFmtId="177" formatCode="#,##0&quot;%&quot;"/>
    <numFmt numFmtId="178" formatCode="#,##0___);\(#,##0.00\)"/>
    <numFmt numFmtId="179" formatCode="0%;\(0%\)"/>
    <numFmt numFmtId="180" formatCode="_(* #,##0,,_);_(* \(#,##0,,\);_(* &quot;-&quot;_)"/>
    <numFmt numFmtId="181" formatCode="_(* #,##0_);[Red]_(* \(#,##0\);_(* &quot;&quot;&quot;&quot;&quot;&quot;&quot;&quot;\ \-\ &quot;&quot;&quot;&quot;&quot;&quot;&quot;&quot;_);_(@_)"/>
    <numFmt numFmtId="182" formatCode="_(* #,##0,_);[Red]_(* \(#,##0,\);_(* &quot;&quot;&quot;&quot;&quot;&quot;&quot;&quot;\ \-\ &quot;&quot;&quot;&quot;&quot;&quot;&quot;&quot;_);_(@_)"/>
    <numFmt numFmtId="183" formatCode="0%;\(0%\);;"/>
    <numFmt numFmtId="184" formatCode="0%;\(0%\);&quot;-&quot;"/>
    <numFmt numFmtId="185" formatCode="#,##0_);[Red]\(#,##0\);&quot;-&quot;"/>
    <numFmt numFmtId="186" formatCode="*-"/>
    <numFmt numFmtId="187" formatCode="#,##0;\-#,##0;&quot;-&quot;"/>
    <numFmt numFmtId="188" formatCode="_._.&quot;$&quot;* \(#,##0\)_%;_._.&quot;$&quot;* #,##0_)_%;_._.&quot;$&quot;* 0_)_%;_._.@_)_%"/>
    <numFmt numFmtId="189" formatCode="_._.* \(#,##0\)_%;_._.* #,##0_)_%;_._.* 0_)_%;_._.@_)_%"/>
    <numFmt numFmtId="190" formatCode="#,##0;\(#,##0\)"/>
    <numFmt numFmtId="191" formatCode="&quot;SFr.&quot;\ #,##0.00;&quot;SFr.&quot;\ \-#,##0.00"/>
    <numFmt numFmtId="192" formatCode="#,##0.00;\-#,##0.00;&quot;-&quot;"/>
    <numFmt numFmtId="193" formatCode="* #,##0.00_);\(#,##0.00\)"/>
    <numFmt numFmtId="194" formatCode="_([$€-2]* #,##0.00_);_([$€-2]* \(#,##0.00\);_([$€-2]* &quot;-&quot;??_)"/>
    <numFmt numFmtId="195" formatCode="0.0_)\%;\(0.0\)\%;0.0_)\%;@_)_%"/>
    <numFmt numFmtId="196" formatCode="#,##0.0_)_%;\(#,##0.0\)_%;0.0_)_%;@_)_%"/>
    <numFmt numFmtId="197" formatCode="#,##0.0_);\(#,##0.0\);#,##0.0_);@_)"/>
    <numFmt numFmtId="198" formatCode="&quot;$&quot;_(#,##0.00_);&quot;$&quot;\(#,##0.00\);&quot;$&quot;_(0.00_);@_)"/>
    <numFmt numFmtId="199" formatCode="#,##0.00_);\(#,##0.00\);0.00_);@_)"/>
    <numFmt numFmtId="200" formatCode="\€_(#,##0.00_);\€\(#,##0.00\);\€_(0.00_);@_)"/>
    <numFmt numFmtId="201" formatCode="#,##0_)\x;\(#,##0\)\x;0_)\x;@_)_x"/>
    <numFmt numFmtId="202" formatCode="#,##0_)_x;\(#,##0\)_x;0_)_x;@_)_x"/>
    <numFmt numFmtId="203" formatCode="#,##0.0000;\-#,##0.0000"/>
    <numFmt numFmtId="204" formatCode="#,##0.000000;\-#,##0.000000"/>
    <numFmt numFmtId="205" formatCode="#,##0.0;\-#,##0.0"/>
    <numFmt numFmtId="206" formatCode="#,##0.000;\-#,##0.000"/>
    <numFmt numFmtId="207" formatCode="#,##0.00000;\-#,##0.00000"/>
    <numFmt numFmtId="208" formatCode="#,##0.0000000;\-#,##0.0000000"/>
    <numFmt numFmtId="209" formatCode="#,##0.00000000;\-#,##0.00000000"/>
    <numFmt numFmtId="210" formatCode="#,##0.000000000;\-#,##0.000000000"/>
    <numFmt numFmtId="211" formatCode="#,##0.0000000000;\-#,##0.0000000000"/>
    <numFmt numFmtId="212" formatCode="_-* #,##0\ _D_M_-;\-* #,##0\ _D_M_-;_-* &quot;-&quot;\ _D_M_-;_-@_-"/>
    <numFmt numFmtId="213" formatCode="_-* #,##0.00\ _D_M_-;\-* #,##0.00\ _D_M_-;_-* &quot;-&quot;??\ _D_M_-;_-@_-"/>
    <numFmt numFmtId="214" formatCode="_-* #,##0\ &quot;DM&quot;_-;\-* #,##0\ &quot;DM&quot;_-;_-* &quot;-&quot;\ &quot;DM&quot;_-;_-@_-"/>
    <numFmt numFmtId="215" formatCode="_-* #,##0.00\ &quot;DM&quot;_-;\-* #,##0.00\ &quot;DM&quot;_-;_-* &quot;-&quot;??\ &quot;DM&quot;_-;_-@_-"/>
    <numFmt numFmtId="216" formatCode="0.0"/>
    <numFmt numFmtId="217" formatCode="0.000000"/>
    <numFmt numFmtId="218" formatCode="&quot;£&quot;#,##0;[Red]\-&quot;£&quot;#,##0"/>
    <numFmt numFmtId="219" formatCode="0.00_);[Red]\(0.00\)"/>
    <numFmt numFmtId="220" formatCode="&quot;£&quot;#,##0.00;[Red]\-&quot;£&quot;#,##0.00"/>
    <numFmt numFmtId="221" formatCode="_(* #,##0.000_);_(* \(#,##0.000\);_(* &quot;-&quot;_);_(@_)"/>
    <numFmt numFmtId="222" formatCode="_-&quot;£&quot;* #,##0_-;\-&quot;£&quot;* #,##0_-;_-&quot;£&quot;* &quot;-&quot;_-;_-@_-"/>
    <numFmt numFmtId="223" formatCode="_(&quot;$&quot;* #,##0,_);_(&quot;$&quot;* \(#,##0,\);_(&quot;$&quot;* &quot;-&quot;_);_(@_)"/>
    <numFmt numFmtId="224" formatCode="&quot;SFr.&quot;#,##0;[Red]&quot;SFr.&quot;\-#,##0"/>
    <numFmt numFmtId="225" formatCode="_-&quot;£&quot;* #,##0.00_-;\-&quot;£&quot;* #,##0.00_-;_-&quot;£&quot;* &quot;-&quot;??_-;_-@_-"/>
    <numFmt numFmtId="226" formatCode="#,##0;[Red]\(#,##0\)"/>
    <numFmt numFmtId="227" formatCode="_-* #,##0.000_-;\-* #,##0.000_-;_-* &quot;-&quot;???_-;_-@_-"/>
  </numFmts>
  <fonts count="81"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sz val="8"/>
      <name val="Calibri"/>
      <family val="2"/>
      <scheme val="minor"/>
    </font>
    <font>
      <sz val="9"/>
      <color indexed="81"/>
      <name val="Calibri"/>
      <family val="2"/>
    </font>
    <font>
      <b/>
      <sz val="9"/>
      <color indexed="81"/>
      <name val="Calibri"/>
      <family val="2"/>
    </font>
    <font>
      <u/>
      <sz val="11"/>
      <color theme="10"/>
      <name val="Calibri"/>
      <family val="2"/>
      <scheme val="minor"/>
    </font>
    <font>
      <u/>
      <sz val="11"/>
      <color theme="11"/>
      <name val="Calibri"/>
      <family val="2"/>
      <scheme val="minor"/>
    </font>
    <font>
      <b/>
      <sz val="11"/>
      <color theme="1" tint="0.249977111117893"/>
      <name val="Calibri"/>
      <family val="2"/>
      <scheme val="minor"/>
    </font>
    <font>
      <b/>
      <u val="singleAccounting"/>
      <sz val="11"/>
      <color theme="1" tint="0.249977111117893"/>
      <name val="Calibri"/>
      <family val="2"/>
      <scheme val="minor"/>
    </font>
    <font>
      <sz val="11"/>
      <color rgb="FF000000"/>
      <name val="Calibri"/>
      <family val="2"/>
      <scheme val="minor"/>
    </font>
    <font>
      <u/>
      <sz val="11"/>
      <name val="Calibri"/>
      <family val="2"/>
      <scheme val="minor"/>
    </font>
    <font>
      <sz val="9"/>
      <color indexed="81"/>
      <name val="Tahoma"/>
      <family val="2"/>
    </font>
    <font>
      <b/>
      <i/>
      <u/>
      <sz val="11"/>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0"/>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dotted">
        <color auto="1"/>
      </top>
      <bottom/>
      <diagonal/>
    </border>
    <border>
      <left/>
      <right style="thin">
        <color rgb="FF000000"/>
      </right>
      <top/>
      <bottom style="thin">
        <color auto="1"/>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s>
  <cellStyleXfs count="191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1" fontId="9" fillId="0" borderId="0" applyFont="0" applyFill="0" applyBorder="0" applyAlignment="0" applyProtection="0"/>
    <xf numFmtId="202"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3" fontId="29" fillId="0" borderId="0">
      <alignment horizontal="center"/>
    </xf>
    <xf numFmtId="37" fontId="30" fillId="0" borderId="0"/>
    <xf numFmtId="37" fontId="31" fillId="0" borderId="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1" fillId="0" borderId="0" applyAlignment="0" applyProtection="0"/>
    <xf numFmtId="187" fontId="23" fillId="0" borderId="0" applyFill="0" applyBorder="0" applyAlignment="0"/>
    <xf numFmtId="180" fontId="9" fillId="0" borderId="0" applyFill="0" applyBorder="0" applyAlignment="0"/>
    <xf numFmtId="181" fontId="9" fillId="0" borderId="0" applyFill="0" applyBorder="0" applyAlignment="0"/>
    <xf numFmtId="182" fontId="9" fillId="0" borderId="0" applyFill="0" applyBorder="0" applyAlignment="0"/>
    <xf numFmtId="183" fontId="9" fillId="0" borderId="0" applyFill="0" applyBorder="0" applyAlignment="0"/>
    <xf numFmtId="187" fontId="23" fillId="0" borderId="0" applyFill="0" applyBorder="0" applyAlignment="0"/>
    <xf numFmtId="184" fontId="9" fillId="0" borderId="0" applyFill="0" applyBorder="0" applyAlignment="0"/>
    <xf numFmtId="180" fontId="9" fillId="0" borderId="0" applyFill="0" applyBorder="0" applyAlignment="0"/>
    <xf numFmtId="0" fontId="33" fillId="0" borderId="0" applyFill="0" applyBorder="0" applyProtection="0">
      <alignment horizontal="center"/>
      <protection locked="0"/>
    </xf>
    <xf numFmtId="0" fontId="22" fillId="0" borderId="0"/>
    <xf numFmtId="175" fontId="22" fillId="0" borderId="7"/>
    <xf numFmtId="216" fontId="1" fillId="0" borderId="0"/>
    <xf numFmtId="216" fontId="1" fillId="0" borderId="0"/>
    <xf numFmtId="187"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2" fontId="9" fillId="0" borderId="0">
      <alignment horizontal="center"/>
    </xf>
    <xf numFmtId="189" fontId="38" fillId="0" borderId="0" applyFill="0" applyBorder="0" applyProtection="0"/>
    <xf numFmtId="188" fontId="39" fillId="0" borderId="0" applyFont="0" applyFill="0" applyBorder="0" applyAlignment="0" applyProtection="0"/>
    <xf numFmtId="176" fontId="40" fillId="0" borderId="20">
      <protection hidden="1"/>
    </xf>
    <xf numFmtId="180"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1" fontId="22" fillId="0" borderId="0" applyFont="0" applyFill="0" applyBorder="0" applyAlignment="0" applyProtection="0"/>
    <xf numFmtId="190" fontId="39" fillId="0" borderId="0" applyFont="0" applyFill="0" applyBorder="0" applyAlignment="0" applyProtection="0"/>
    <xf numFmtId="187" fontId="43" fillId="0" borderId="0" applyFill="0" applyBorder="0" applyAlignment="0"/>
    <xf numFmtId="180" fontId="9" fillId="0" borderId="0" applyFill="0" applyBorder="0" applyAlignment="0"/>
    <xf numFmtId="187" fontId="43" fillId="0" borderId="0" applyFill="0" applyBorder="0" applyAlignment="0"/>
    <xf numFmtId="184" fontId="9" fillId="0" borderId="0" applyFill="0" applyBorder="0" applyAlignment="0"/>
    <xf numFmtId="180" fontId="9" fillId="0" borderId="0" applyFill="0" applyBorder="0" applyAlignment="0"/>
    <xf numFmtId="176" fontId="40" fillId="0" borderId="20">
      <protection hidden="1"/>
    </xf>
    <xf numFmtId="194"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7" fontId="46" fillId="0" borderId="0" applyFill="0" applyBorder="0" applyAlignment="0"/>
    <xf numFmtId="180" fontId="9" fillId="0" borderId="0" applyFill="0" applyBorder="0" applyAlignment="0"/>
    <xf numFmtId="187" fontId="46" fillId="0" borderId="0" applyFill="0" applyBorder="0" applyAlignment="0"/>
    <xf numFmtId="184" fontId="9" fillId="0" borderId="0" applyFill="0" applyBorder="0" applyAlignment="0"/>
    <xf numFmtId="180" fontId="9" fillId="0" borderId="0" applyFill="0" applyBorder="0" applyAlignment="0"/>
    <xf numFmtId="212" fontId="9" fillId="0" borderId="0" applyFont="0" applyFill="0" applyBorder="0" applyAlignment="0" applyProtection="0"/>
    <xf numFmtId="213"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4" fontId="9" fillId="0" borderId="0" applyFont="0" applyFill="0" applyBorder="0" applyAlignment="0" applyProtection="0"/>
    <xf numFmtId="215"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73" fontId="29" fillId="0" borderId="7"/>
    <xf numFmtId="37" fontId="51" fillId="0" borderId="0"/>
    <xf numFmtId="174" fontId="22" fillId="0" borderId="0"/>
    <xf numFmtId="174" fontId="1" fillId="0" borderId="0"/>
    <xf numFmtId="179"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1" fontId="9" fillId="0" borderId="0"/>
    <xf numFmtId="205" fontId="9" fillId="0" borderId="0"/>
    <xf numFmtId="39" fontId="9" fillId="0" borderId="0"/>
    <xf numFmtId="206" fontId="9" fillId="0" borderId="0"/>
    <xf numFmtId="203" fontId="9" fillId="0" borderId="0"/>
    <xf numFmtId="207" fontId="9" fillId="0" borderId="0"/>
    <xf numFmtId="204" fontId="9" fillId="0" borderId="0"/>
    <xf numFmtId="208" fontId="9" fillId="0" borderId="0"/>
    <xf numFmtId="209" fontId="9" fillId="0" borderId="0"/>
    <xf numFmtId="210" fontId="9" fillId="0" borderId="0"/>
    <xf numFmtId="178" fontId="35" fillId="0" borderId="0"/>
    <xf numFmtId="177" fontId="40" fillId="0" borderId="0">
      <protection hidden="1"/>
    </xf>
    <xf numFmtId="183" fontId="9" fillId="0" borderId="0" applyFont="0" applyFill="0" applyBorder="0" applyAlignment="0" applyProtection="0"/>
    <xf numFmtId="179"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73" fontId="29" fillId="0" borderId="0"/>
    <xf numFmtId="0" fontId="52" fillId="10" borderId="24" applyNumberFormat="0" applyFont="0" applyFill="0" applyAlignment="0">
      <alignment horizontal="center" vertical="center"/>
    </xf>
    <xf numFmtId="187" fontId="47" fillId="0" borderId="0" applyFill="0" applyBorder="0" applyAlignment="0"/>
    <xf numFmtId="180" fontId="9" fillId="0" borderId="0" applyFill="0" applyBorder="0" applyAlignment="0"/>
    <xf numFmtId="187" fontId="47" fillId="0" borderId="0" applyFill="0" applyBorder="0" applyAlignment="0"/>
    <xf numFmtId="184" fontId="9" fillId="0" borderId="0" applyFill="0" applyBorder="0" applyAlignment="0"/>
    <xf numFmtId="180"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5" fontId="9" fillId="0" borderId="0" applyFill="0" applyBorder="0" applyAlignment="0"/>
    <xf numFmtId="186"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7" fontId="9" fillId="0" borderId="0" applyFill="0" applyBorder="0" applyAlignment="0"/>
    <xf numFmtId="16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3" fontId="9" fillId="0" borderId="0"/>
    <xf numFmtId="223" fontId="9" fillId="0" borderId="0"/>
    <xf numFmtId="223" fontId="9" fillId="0" borderId="0"/>
    <xf numFmtId="223" fontId="9" fillId="0" borderId="0"/>
    <xf numFmtId="223" fontId="9" fillId="0" borderId="0"/>
    <xf numFmtId="223" fontId="9" fillId="0" borderId="0"/>
    <xf numFmtId="223" fontId="9" fillId="0" borderId="0"/>
    <xf numFmtId="223" fontId="9" fillId="0" borderId="0"/>
    <xf numFmtId="0" fontId="55" fillId="0" borderId="7"/>
    <xf numFmtId="221"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8" fontId="9" fillId="0" borderId="0" applyFont="0" applyFill="0" applyBorder="0" applyAlignment="0" applyProtection="0"/>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4"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20" fontId="9" fillId="0" borderId="0" applyFont="0" applyFill="0" applyBorder="0" applyAlignment="0" applyProtection="0"/>
    <xf numFmtId="224"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5" fontId="9" fillId="0" borderId="0" applyFill="0" applyBorder="0" applyAlignment="0"/>
    <xf numFmtId="226"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358">
    <xf numFmtId="0" fontId="0" fillId="0" borderId="0" xfId="0"/>
    <xf numFmtId="168"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8" fontId="0" fillId="0" borderId="0" xfId="1" applyNumberFormat="1" applyFont="1" applyFill="1" applyAlignment="1">
      <alignment horizontal="right"/>
    </xf>
    <xf numFmtId="168"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8"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9"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8"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72" fontId="0" fillId="0" borderId="0" xfId="1" applyNumberFormat="1" applyFont="1" applyBorder="1" applyAlignment="1">
      <alignment horizontal="right"/>
    </xf>
    <xf numFmtId="170" fontId="1" fillId="0" borderId="0" xfId="2" quotePrefix="1" applyNumberFormat="1" applyFont="1" applyFill="1" applyBorder="1" applyAlignment="1">
      <alignment horizontal="right"/>
    </xf>
    <xf numFmtId="169" fontId="1" fillId="0" borderId="5" xfId="1" quotePrefix="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9" fontId="3" fillId="0" borderId="5" xfId="1" quotePrefix="1" applyNumberFormat="1" applyFont="1" applyFill="1" applyBorder="1" applyAlignment="1">
      <alignment horizontal="right"/>
    </xf>
    <xf numFmtId="170" fontId="1" fillId="0" borderId="5" xfId="2" quotePrefix="1" applyNumberFormat="1" applyFont="1" applyFill="1" applyBorder="1" applyAlignment="1">
      <alignment horizontal="right"/>
    </xf>
    <xf numFmtId="169" fontId="0" fillId="0" borderId="0" xfId="1" quotePrefix="1" applyNumberFormat="1" applyFont="1" applyFill="1" applyBorder="1" applyAlignment="1">
      <alignment horizontal="right"/>
    </xf>
    <xf numFmtId="169" fontId="1" fillId="0" borderId="0" xfId="1" quotePrefix="1" applyNumberFormat="1" applyFont="1" applyFill="1" applyBorder="1" applyAlignment="1">
      <alignment horizontal="right"/>
    </xf>
    <xf numFmtId="169" fontId="0" fillId="0" borderId="0" xfId="0" applyNumberFormat="1"/>
    <xf numFmtId="0" fontId="0" fillId="0" borderId="0" xfId="0" applyFont="1"/>
    <xf numFmtId="168" fontId="18" fillId="3" borderId="0" xfId="1" quotePrefix="1" applyNumberFormat="1" applyFont="1" applyFill="1" applyBorder="1" applyAlignment="1">
      <alignment horizontal="right"/>
    </xf>
    <xf numFmtId="168" fontId="66" fillId="5" borderId="0" xfId="1" quotePrefix="1" applyNumberFormat="1" applyFont="1" applyFill="1" applyBorder="1" applyAlignment="1">
      <alignment horizontal="right"/>
    </xf>
    <xf numFmtId="0" fontId="0" fillId="0" borderId="0" xfId="0"/>
    <xf numFmtId="0" fontId="0" fillId="0" borderId="0" xfId="0"/>
    <xf numFmtId="169" fontId="1" fillId="0" borderId="30" xfId="1" quotePrefix="1" applyNumberFormat="1" applyFont="1" applyFill="1" applyBorder="1" applyAlignment="1">
      <alignment horizontal="right"/>
    </xf>
    <xf numFmtId="170" fontId="1" fillId="0" borderId="30" xfId="2" quotePrefix="1" applyNumberFormat="1" applyFont="1" applyFill="1" applyBorder="1" applyAlignment="1">
      <alignment horizontal="right"/>
    </xf>
    <xf numFmtId="172" fontId="2" fillId="0" borderId="0" xfId="1" quotePrefix="1" applyNumberFormat="1" applyFont="1" applyFill="1" applyBorder="1" applyAlignment="1">
      <alignment horizontal="right"/>
    </xf>
    <xf numFmtId="0" fontId="0" fillId="0" borderId="0" xfId="0"/>
    <xf numFmtId="0" fontId="0" fillId="0" borderId="0" xfId="0" applyFont="1"/>
    <xf numFmtId="168" fontId="16" fillId="3" borderId="2" xfId="1" quotePrefix="1" applyNumberFormat="1" applyFont="1" applyFill="1" applyBorder="1" applyAlignment="1">
      <alignment horizontal="right"/>
    </xf>
    <xf numFmtId="168" fontId="18" fillId="3" borderId="0" xfId="1" quotePrefix="1" applyNumberFormat="1" applyFont="1" applyFill="1" applyBorder="1" applyAlignment="1">
      <alignment horizontal="right"/>
    </xf>
    <xf numFmtId="168" fontId="65" fillId="5" borderId="2" xfId="1" quotePrefix="1" applyNumberFormat="1" applyFont="1" applyFill="1" applyBorder="1" applyAlignment="1">
      <alignment horizontal="right"/>
    </xf>
    <xf numFmtId="168" fontId="66"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9" fontId="2" fillId="0" borderId="9" xfId="1" applyNumberFormat="1" applyFont="1" applyFill="1" applyBorder="1" applyAlignment="1">
      <alignment horizontal="right"/>
    </xf>
    <xf numFmtId="168" fontId="65" fillId="5" borderId="11" xfId="1" quotePrefix="1" applyNumberFormat="1" applyFont="1" applyFill="1" applyBorder="1" applyAlignment="1">
      <alignment horizontal="right"/>
    </xf>
    <xf numFmtId="168"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43" fontId="2" fillId="0" borderId="3" xfId="1" applyNumberFormat="1" applyFont="1" applyFill="1" applyBorder="1" applyAlignment="1">
      <alignment horizontal="right"/>
    </xf>
    <xf numFmtId="169" fontId="0" fillId="0" borderId="0" xfId="1" applyNumberFormat="1" applyFont="1"/>
    <xf numFmtId="172" fontId="4" fillId="0" borderId="0" xfId="1" applyNumberFormat="1" applyFont="1" applyFill="1" applyBorder="1" applyAlignment="1">
      <alignment horizontal="right"/>
    </xf>
    <xf numFmtId="172" fontId="2" fillId="0" borderId="0" xfId="1" applyNumberFormat="1" applyFont="1" applyFill="1" applyBorder="1" applyAlignment="1">
      <alignment horizontal="right"/>
    </xf>
    <xf numFmtId="172" fontId="12" fillId="0" borderId="0" xfId="1" applyNumberFormat="1" applyFont="1" applyFill="1" applyBorder="1" applyAlignment="1">
      <alignment horizontal="right"/>
    </xf>
    <xf numFmtId="170" fontId="1" fillId="0" borderId="27" xfId="2" quotePrefix="1" applyNumberFormat="1" applyFont="1" applyFill="1" applyBorder="1" applyAlignment="1">
      <alignment horizontal="right"/>
    </xf>
    <xf numFmtId="172" fontId="1" fillId="0" borderId="5" xfId="1" quotePrefix="1" applyNumberFormat="1" applyFont="1" applyFill="1" applyBorder="1" applyAlignment="1">
      <alignment horizontal="right"/>
    </xf>
    <xf numFmtId="172" fontId="0" fillId="0" borderId="0" xfId="1" applyNumberFormat="1" applyFont="1"/>
    <xf numFmtId="172" fontId="0" fillId="0" borderId="0" xfId="1"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6" fontId="0" fillId="0" borderId="32" xfId="0" applyNumberFormat="1" applyFont="1" applyBorder="1"/>
    <xf numFmtId="0" fontId="2" fillId="0" borderId="1" xfId="0" applyFont="1" applyFill="1" applyBorder="1" applyAlignment="1">
      <alignment horizontal="left"/>
    </xf>
    <xf numFmtId="170" fontId="0" fillId="0" borderId="0" xfId="1" applyNumberFormat="1" applyFont="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8" fontId="13" fillId="0" borderId="0" xfId="1" applyNumberFormat="1" applyFont="1" applyAlignment="1">
      <alignment horizontal="right"/>
    </xf>
    <xf numFmtId="169" fontId="5" fillId="0" borderId="0" xfId="1" applyNumberFormat="1" applyFont="1" applyBorder="1" applyAlignment="1">
      <alignment horizontal="right"/>
    </xf>
    <xf numFmtId="169" fontId="7" fillId="0" borderId="0" xfId="1" applyNumberFormat="1" applyFont="1" applyFill="1" applyBorder="1" applyAlignment="1">
      <alignment horizontal="right"/>
    </xf>
    <xf numFmtId="169" fontId="6" fillId="0" borderId="0" xfId="1" applyNumberFormat="1" applyFont="1" applyBorder="1" applyAlignment="1">
      <alignment horizontal="right"/>
    </xf>
    <xf numFmtId="169" fontId="7" fillId="0" borderId="5" xfId="1" applyNumberFormat="1" applyFont="1" applyBorder="1" applyAlignment="1">
      <alignment horizontal="right"/>
    </xf>
    <xf numFmtId="169" fontId="7" fillId="0" borderId="0" xfId="1" applyNumberFormat="1" applyFont="1" applyBorder="1" applyAlignment="1">
      <alignment horizontal="right"/>
    </xf>
    <xf numFmtId="172" fontId="0" fillId="0" borderId="3" xfId="1" applyNumberFormat="1" applyFont="1" applyFill="1" applyBorder="1" applyAlignment="1">
      <alignment horizontal="right"/>
    </xf>
    <xf numFmtId="172" fontId="0" fillId="0" borderId="0" xfId="1" applyNumberFormat="1" applyFont="1" applyFill="1" applyBorder="1" applyAlignment="1">
      <alignment horizontal="right"/>
    </xf>
    <xf numFmtId="172" fontId="2" fillId="0" borderId="0" xfId="1" applyNumberFormat="1" applyFont="1" applyBorder="1" applyAlignment="1">
      <alignment horizontal="right"/>
    </xf>
    <xf numFmtId="0" fontId="0" fillId="0" borderId="0" xfId="0" applyFont="1" applyAlignment="1">
      <alignment horizontal="left"/>
    </xf>
    <xf numFmtId="172" fontId="0" fillId="0" borderId="0" xfId="0" applyNumberFormat="1" applyAlignment="1">
      <alignment horizontal="right"/>
    </xf>
    <xf numFmtId="169" fontId="0" fillId="0" borderId="3" xfId="1" applyNumberFormat="1" applyFont="1" applyFill="1" applyBorder="1" applyAlignment="1">
      <alignment horizontal="right"/>
    </xf>
    <xf numFmtId="169" fontId="0" fillId="0" borderId="0" xfId="1" applyNumberFormat="1" applyFont="1" applyBorder="1" applyAlignment="1">
      <alignment horizontal="right"/>
    </xf>
    <xf numFmtId="169" fontId="0" fillId="0" borderId="4" xfId="1" applyNumberFormat="1" applyFont="1" applyBorder="1" applyAlignment="1">
      <alignment horizontal="right"/>
    </xf>
    <xf numFmtId="169" fontId="0" fillId="0" borderId="5" xfId="1" applyNumberFormat="1" applyFont="1" applyBorder="1" applyAlignment="1">
      <alignment horizontal="right"/>
    </xf>
    <xf numFmtId="169" fontId="5" fillId="0" borderId="3" xfId="1" applyNumberFormat="1" applyFont="1" applyBorder="1" applyAlignment="1">
      <alignment horizontal="right"/>
    </xf>
    <xf numFmtId="0" fontId="0" fillId="0" borderId="4" xfId="0" applyFont="1" applyBorder="1" applyAlignment="1"/>
    <xf numFmtId="172" fontId="1" fillId="0" borderId="0" xfId="1" applyNumberFormat="1" applyFont="1" applyBorder="1" applyAlignment="1">
      <alignment horizontal="right"/>
    </xf>
    <xf numFmtId="169" fontId="0" fillId="0" borderId="0" xfId="1" applyNumberFormat="1" applyFont="1" applyFill="1" applyBorder="1" applyAlignment="1">
      <alignment horizontal="right"/>
    </xf>
    <xf numFmtId="169"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10" fontId="1" fillId="0" borderId="0" xfId="2" quotePrefix="1" applyNumberFormat="1" applyFont="1" applyFill="1" applyBorder="1" applyAlignment="1">
      <alignment horizontal="right"/>
    </xf>
    <xf numFmtId="169" fontId="13" fillId="0" borderId="0" xfId="1" quotePrefix="1" applyNumberFormat="1" applyFont="1" applyFill="1" applyBorder="1" applyAlignment="1">
      <alignment horizontal="right"/>
    </xf>
    <xf numFmtId="168" fontId="75" fillId="5" borderId="2" xfId="1" quotePrefix="1" applyNumberFormat="1" applyFont="1" applyFill="1" applyBorder="1" applyAlignment="1">
      <alignment horizontal="right"/>
    </xf>
    <xf numFmtId="168" fontId="76" fillId="5" borderId="0" xfId="1" quotePrefix="1" applyNumberFormat="1" applyFont="1" applyFill="1" applyBorder="1" applyAlignment="1">
      <alignment horizontal="right"/>
    </xf>
    <xf numFmtId="43" fontId="10" fillId="0" borderId="4" xfId="1" applyNumberFormat="1" applyFont="1" applyFill="1" applyBorder="1" applyAlignment="1">
      <alignment horizontal="right"/>
    </xf>
    <xf numFmtId="43" fontId="1" fillId="0" borderId="6" xfId="1" applyNumberFormat="1" applyFont="1" applyFill="1" applyBorder="1" applyAlignment="1">
      <alignment horizontal="right"/>
    </xf>
    <xf numFmtId="43" fontId="10" fillId="0" borderId="7" xfId="1" applyNumberFormat="1" applyFont="1" applyFill="1" applyBorder="1" applyAlignment="1">
      <alignment horizontal="right"/>
    </xf>
    <xf numFmtId="43" fontId="1" fillId="0" borderId="8" xfId="1" applyNumberFormat="1" applyFont="1" applyFill="1" applyBorder="1" applyAlignment="1">
      <alignment horizontal="right"/>
    </xf>
    <xf numFmtId="43" fontId="10" fillId="0" borderId="10" xfId="1" applyNumberFormat="1" applyFont="1" applyFill="1" applyBorder="1" applyAlignment="1">
      <alignment horizontal="right"/>
    </xf>
    <xf numFmtId="43" fontId="10" fillId="0" borderId="3" xfId="1" applyNumberFormat="1" applyFont="1" applyFill="1" applyBorder="1" applyAlignment="1">
      <alignment horizontal="right"/>
    </xf>
    <xf numFmtId="43" fontId="10" fillId="0" borderId="6" xfId="1" applyNumberFormat="1" applyFont="1" applyFill="1" applyBorder="1" applyAlignment="1">
      <alignment horizontal="right"/>
    </xf>
    <xf numFmtId="0" fontId="0" fillId="0" borderId="0" xfId="0" applyBorder="1"/>
    <xf numFmtId="227" fontId="0" fillId="0" borderId="0" xfId="1" applyNumberFormat="1" applyFont="1" applyFill="1" applyBorder="1" applyAlignment="1">
      <alignment horizontal="right"/>
    </xf>
    <xf numFmtId="10" fontId="1" fillId="0" borderId="0" xfId="1" quotePrefix="1" applyNumberFormat="1" applyFont="1" applyFill="1" applyBorder="1" applyAlignment="1">
      <alignment horizontal="right"/>
    </xf>
    <xf numFmtId="227" fontId="0" fillId="0" borderId="0" xfId="0" applyNumberFormat="1"/>
    <xf numFmtId="0" fontId="0" fillId="0" borderId="0" xfId="0" applyFont="1" applyBorder="1"/>
    <xf numFmtId="172" fontId="0" fillId="0" borderId="0" xfId="0" applyNumberFormat="1"/>
    <xf numFmtId="169" fontId="1" fillId="0" borderId="4" xfId="1" quotePrefix="1" applyNumberFormat="1" applyFont="1" applyFill="1" applyBorder="1" applyAlignment="1">
      <alignment horizontal="right"/>
    </xf>
    <xf numFmtId="169" fontId="6" fillId="0" borderId="1" xfId="1" applyNumberFormat="1" applyFont="1" applyBorder="1" applyAlignment="1">
      <alignment horizontal="right"/>
    </xf>
    <xf numFmtId="169" fontId="6" fillId="0" borderId="11" xfId="1" applyNumberFormat="1" applyFont="1" applyBorder="1" applyAlignment="1">
      <alignment horizontal="right"/>
    </xf>
    <xf numFmtId="172" fontId="0" fillId="0" borderId="0" xfId="0" applyNumberFormat="1" applyBorder="1"/>
    <xf numFmtId="168" fontId="1" fillId="0" borderId="3" xfId="1" applyNumberFormat="1" applyFont="1" applyFill="1" applyBorder="1" applyAlignment="1">
      <alignment horizontal="right"/>
    </xf>
    <xf numFmtId="168" fontId="10" fillId="0" borderId="0" xfId="1" applyNumberFormat="1" applyFont="1" applyFill="1" applyBorder="1" applyAlignment="1">
      <alignment horizontal="right"/>
    </xf>
    <xf numFmtId="168" fontId="10" fillId="0" borderId="4" xfId="1" applyNumberFormat="1" applyFont="1" applyFill="1" applyBorder="1" applyAlignment="1">
      <alignment horizontal="right"/>
    </xf>
    <xf numFmtId="168" fontId="10" fillId="0" borderId="3" xfId="1" applyNumberFormat="1" applyFont="1" applyFill="1" applyBorder="1" applyAlignment="1">
      <alignment horizontal="right"/>
    </xf>
    <xf numFmtId="169" fontId="1" fillId="0" borderId="3" xfId="1" applyNumberFormat="1" applyFont="1" applyFill="1" applyBorder="1" applyAlignment="1">
      <alignment horizontal="right"/>
    </xf>
    <xf numFmtId="169" fontId="10" fillId="0" borderId="0" xfId="1" applyNumberFormat="1" applyFont="1" applyFill="1" applyBorder="1" applyAlignment="1">
      <alignment horizontal="right"/>
    </xf>
    <xf numFmtId="169" fontId="10" fillId="0" borderId="4" xfId="1" applyNumberFormat="1" applyFont="1" applyFill="1" applyBorder="1" applyAlignment="1">
      <alignment horizontal="right"/>
    </xf>
    <xf numFmtId="169" fontId="4" fillId="0" borderId="3" xfId="1" applyNumberFormat="1" applyFont="1" applyFill="1" applyBorder="1" applyAlignment="1">
      <alignment horizontal="right"/>
    </xf>
    <xf numFmtId="169" fontId="2" fillId="0" borderId="3" xfId="1" applyNumberFormat="1" applyFont="1" applyFill="1" applyBorder="1" applyAlignment="1">
      <alignment horizontal="right"/>
    </xf>
    <xf numFmtId="169" fontId="12" fillId="0" borderId="0" xfId="1" applyNumberFormat="1" applyFont="1" applyFill="1" applyBorder="1" applyAlignment="1">
      <alignment horizontal="right"/>
    </xf>
    <xf numFmtId="169" fontId="4" fillId="0" borderId="0" xfId="1" applyNumberFormat="1" applyFont="1" applyFill="1" applyBorder="1" applyAlignment="1">
      <alignment horizontal="right"/>
    </xf>
    <xf numFmtId="169" fontId="4" fillId="0" borderId="4" xfId="1" applyNumberFormat="1" applyFont="1" applyFill="1" applyBorder="1" applyAlignment="1">
      <alignment horizontal="right"/>
    </xf>
    <xf numFmtId="169" fontId="10" fillId="0" borderId="0" xfId="1" applyNumberFormat="1" applyFont="1" applyBorder="1" applyAlignment="1">
      <alignment horizontal="right"/>
    </xf>
    <xf numFmtId="169" fontId="2" fillId="0" borderId="5" xfId="1" applyNumberFormat="1" applyFont="1" applyBorder="1" applyAlignment="1">
      <alignment horizontal="right"/>
    </xf>
    <xf numFmtId="169" fontId="1" fillId="0" borderId="5" xfId="1" applyNumberFormat="1" applyFont="1" applyBorder="1" applyAlignment="1">
      <alignment horizontal="right"/>
    </xf>
    <xf numFmtId="169" fontId="12" fillId="0" borderId="5" xfId="1"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0" xfId="1" applyNumberFormat="1" applyFont="1" applyBorder="1" applyAlignment="1">
      <alignment horizontal="right"/>
    </xf>
    <xf numFmtId="169" fontId="1" fillId="0" borderId="0" xfId="1" applyNumberFormat="1" applyFont="1" applyFill="1" applyBorder="1" applyAlignment="1">
      <alignment horizontal="right"/>
    </xf>
    <xf numFmtId="169" fontId="1" fillId="0" borderId="0" xfId="1" applyNumberFormat="1" applyFont="1" applyBorder="1" applyAlignment="1">
      <alignment horizontal="right"/>
    </xf>
    <xf numFmtId="169" fontId="2" fillId="0" borderId="7" xfId="1" applyNumberFormat="1" applyFont="1" applyFill="1" applyBorder="1" applyAlignment="1">
      <alignment horizontal="right"/>
    </xf>
    <xf numFmtId="169" fontId="2" fillId="0" borderId="8" xfId="1" applyNumberFormat="1" applyFont="1" applyFill="1" applyBorder="1" applyAlignment="1">
      <alignment horizontal="right"/>
    </xf>
    <xf numFmtId="168" fontId="1" fillId="0" borderId="5" xfId="1" applyNumberFormat="1" applyFont="1" applyFill="1" applyBorder="1" applyAlignment="1">
      <alignment horizontal="right"/>
    </xf>
    <xf numFmtId="169" fontId="0" fillId="0" borderId="4" xfId="1" applyNumberFormat="1" applyFont="1" applyFill="1" applyBorder="1" applyAlignment="1">
      <alignment horizontal="right"/>
    </xf>
    <xf numFmtId="169" fontId="0" fillId="0" borderId="5" xfId="1" applyNumberFormat="1" applyFont="1" applyFill="1" applyBorder="1" applyAlignment="1">
      <alignment horizontal="right"/>
    </xf>
    <xf numFmtId="169" fontId="0" fillId="0" borderId="3" xfId="1" applyNumberFormat="1" applyFont="1" applyBorder="1" applyAlignment="1">
      <alignment horizontal="right"/>
    </xf>
    <xf numFmtId="169" fontId="2" fillId="0" borderId="5" xfId="1" applyNumberFormat="1" applyFont="1" applyFill="1" applyBorder="1" applyAlignment="1">
      <alignment horizontal="right"/>
    </xf>
    <xf numFmtId="169" fontId="2" fillId="0" borderId="4" xfId="1" applyNumberFormat="1" applyFont="1" applyFill="1" applyBorder="1" applyAlignment="1">
      <alignment horizontal="right"/>
    </xf>
    <xf numFmtId="169" fontId="4" fillId="0" borderId="5" xfId="1" applyNumberFormat="1" applyFont="1" applyFill="1" applyBorder="1" applyAlignment="1">
      <alignment horizontal="right"/>
    </xf>
    <xf numFmtId="169" fontId="1" fillId="0" borderId="5" xfId="1" applyNumberFormat="1" applyFont="1" applyFill="1" applyBorder="1" applyAlignment="1">
      <alignment horizontal="right"/>
    </xf>
    <xf numFmtId="169" fontId="1" fillId="0" borderId="4" xfId="1" applyNumberFormat="1" applyFont="1" applyFill="1" applyBorder="1" applyAlignment="1">
      <alignment horizontal="right"/>
    </xf>
    <xf numFmtId="169" fontId="2" fillId="0" borderId="4" xfId="1" applyNumberFormat="1" applyFont="1" applyBorder="1" applyAlignment="1">
      <alignment horizontal="right"/>
    </xf>
    <xf numFmtId="169" fontId="1" fillId="0" borderId="3" xfId="1" applyNumberFormat="1" applyFont="1" applyBorder="1" applyAlignment="1">
      <alignment horizontal="right"/>
    </xf>
    <xf numFmtId="169" fontId="2" fillId="0" borderId="3" xfId="1" applyNumberFormat="1" applyFont="1" applyBorder="1" applyAlignment="1">
      <alignment horizontal="right"/>
    </xf>
    <xf numFmtId="10" fontId="1" fillId="0" borderId="5" xfId="2" quotePrefix="1" applyNumberFormat="1" applyFont="1" applyFill="1" applyBorder="1" applyAlignment="1">
      <alignment horizontal="right"/>
    </xf>
    <xf numFmtId="10" fontId="1" fillId="2" borderId="0" xfId="2" quotePrefix="1" applyNumberFormat="1" applyFont="1" applyFill="1" applyBorder="1" applyAlignment="1">
      <alignment horizontal="right"/>
    </xf>
    <xf numFmtId="169" fontId="1" fillId="0" borderId="4" xfId="1" applyNumberFormat="1" applyFont="1" applyBorder="1" applyAlignment="1">
      <alignment horizontal="right"/>
    </xf>
    <xf numFmtId="169" fontId="2" fillId="0" borderId="10"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1" fillId="0" borderId="5" xfId="1" quotePrefix="1" applyNumberFormat="1" applyFont="1" applyFill="1" applyBorder="1" applyAlignment="1">
      <alignment horizontal="right"/>
    </xf>
    <xf numFmtId="168" fontId="1" fillId="0" borderId="0" xfId="1" quotePrefix="1" applyNumberFormat="1" applyFont="1" applyFill="1" applyBorder="1" applyAlignment="1">
      <alignment horizontal="right"/>
    </xf>
    <xf numFmtId="5" fontId="2" fillId="0" borderId="11" xfId="1" applyNumberFormat="1" applyFont="1" applyFill="1" applyBorder="1" applyAlignment="1">
      <alignment horizontal="right"/>
    </xf>
    <xf numFmtId="6" fontId="2" fillId="0" borderId="10" xfId="1" applyNumberFormat="1" applyFont="1" applyFill="1" applyBorder="1" applyAlignment="1">
      <alignment horizontal="right"/>
    </xf>
    <xf numFmtId="43" fontId="0" fillId="0" borderId="0" xfId="1" applyFont="1" applyFill="1" applyAlignment="1">
      <alignment horizontal="left"/>
    </xf>
    <xf numFmtId="0" fontId="0" fillId="0" borderId="0" xfId="0" applyFill="1" applyAlignment="1">
      <alignment horizontal="right"/>
    </xf>
    <xf numFmtId="169" fontId="0" fillId="2" borderId="0" xfId="1" quotePrefix="1" applyNumberFormat="1" applyFont="1" applyFill="1" applyBorder="1" applyAlignment="1">
      <alignment horizontal="right"/>
    </xf>
    <xf numFmtId="43" fontId="2" fillId="0" borderId="5" xfId="1" applyNumberFormat="1" applyFont="1" applyFill="1" applyBorder="1" applyAlignment="1">
      <alignment horizontal="right"/>
    </xf>
    <xf numFmtId="171" fontId="0" fillId="0" borderId="4" xfId="2" applyNumberFormat="1" applyFont="1" applyFill="1" applyBorder="1" applyAlignment="1">
      <alignment horizontal="right"/>
    </xf>
    <xf numFmtId="171" fontId="0" fillId="0" borderId="4" xfId="1" applyNumberFormat="1" applyFont="1" applyFill="1" applyBorder="1" applyAlignment="1">
      <alignment horizontal="right"/>
    </xf>
    <xf numFmtId="167" fontId="2" fillId="0" borderId="4" xfId="1" applyNumberFormat="1" applyFont="1" applyBorder="1" applyAlignment="1">
      <alignment horizontal="right"/>
    </xf>
    <xf numFmtId="10" fontId="0" fillId="2" borderId="11" xfId="1" applyNumberFormat="1" applyFont="1" applyFill="1" applyBorder="1" applyAlignment="1">
      <alignment horizontal="right"/>
    </xf>
    <xf numFmtId="171" fontId="0" fillId="2" borderId="4" xfId="1" applyNumberFormat="1" applyFont="1" applyFill="1" applyBorder="1" applyAlignment="1">
      <alignment horizontal="right"/>
    </xf>
    <xf numFmtId="10" fontId="0" fillId="2" borderId="4" xfId="2" applyNumberFormat="1" applyFont="1" applyFill="1" applyBorder="1" applyAlignment="1">
      <alignment horizontal="right"/>
    </xf>
    <xf numFmtId="0" fontId="0" fillId="12" borderId="0" xfId="0" applyFill="1" applyAlignment="1">
      <alignment horizontal="right"/>
    </xf>
    <xf numFmtId="0" fontId="0" fillId="12" borderId="0" xfId="0" applyFill="1"/>
    <xf numFmtId="227" fontId="0" fillId="0" borderId="3" xfId="1" applyNumberFormat="1" applyFont="1" applyFill="1" applyBorder="1" applyAlignment="1">
      <alignment horizontal="right"/>
    </xf>
    <xf numFmtId="0" fontId="0" fillId="0" borderId="3" xfId="0" applyBorder="1"/>
    <xf numFmtId="168" fontId="3" fillId="12" borderId="5" xfId="1" quotePrefix="1" applyNumberFormat="1" applyFont="1" applyFill="1" applyBorder="1" applyAlignment="1">
      <alignment horizontal="right"/>
    </xf>
    <xf numFmtId="0" fontId="0" fillId="12" borderId="0" xfId="0" applyFill="1" applyAlignment="1">
      <alignment horizontal="left"/>
    </xf>
    <xf numFmtId="0" fontId="0" fillId="12" borderId="0" xfId="0" applyFont="1" applyFill="1"/>
    <xf numFmtId="172" fontId="0" fillId="12" borderId="0" xfId="1" applyNumberFormat="1" applyFont="1" applyFill="1"/>
    <xf numFmtId="169" fontId="10" fillId="0" borderId="3" xfId="1" applyNumberFormat="1" applyFont="1" applyFill="1" applyBorder="1" applyAlignment="1">
      <alignment horizontal="right"/>
    </xf>
    <xf numFmtId="169" fontId="11" fillId="0" borderId="3" xfId="1" applyNumberFormat="1" applyFont="1" applyFill="1" applyBorder="1" applyAlignment="1">
      <alignment horizontal="right"/>
    </xf>
    <xf numFmtId="169" fontId="11" fillId="0" borderId="4" xfId="1" applyNumberFormat="1" applyFont="1" applyFill="1" applyBorder="1" applyAlignment="1">
      <alignment horizontal="right"/>
    </xf>
    <xf numFmtId="169" fontId="11" fillId="0" borderId="0" xfId="1" applyNumberFormat="1" applyFont="1" applyFill="1" applyBorder="1" applyAlignment="1">
      <alignment horizontal="right"/>
    </xf>
    <xf numFmtId="169" fontId="12" fillId="0" borderId="4" xfId="1" applyNumberFormat="1" applyFont="1" applyFill="1" applyBorder="1" applyAlignment="1">
      <alignment horizontal="right"/>
    </xf>
    <xf numFmtId="169" fontId="12" fillId="0" borderId="3" xfId="1" applyNumberFormat="1" applyFont="1" applyFill="1" applyBorder="1" applyAlignment="1">
      <alignment horizontal="right"/>
    </xf>
    <xf numFmtId="169" fontId="2" fillId="11" borderId="5" xfId="1" applyNumberFormat="1" applyFont="1" applyFill="1" applyBorder="1" applyAlignment="1">
      <alignment horizontal="right"/>
    </xf>
    <xf numFmtId="169" fontId="78" fillId="0" borderId="0" xfId="1" applyNumberFormat="1" applyFont="1" applyFill="1" applyBorder="1" applyAlignment="1">
      <alignment horizontal="right"/>
    </xf>
    <xf numFmtId="169" fontId="67" fillId="0" borderId="5" xfId="1" applyNumberFormat="1" applyFont="1" applyFill="1" applyBorder="1" applyAlignment="1">
      <alignment horizontal="right"/>
    </xf>
    <xf numFmtId="169" fontId="78" fillId="0" borderId="4" xfId="1" applyNumberFormat="1" applyFont="1" applyFill="1" applyBorder="1" applyAlignment="1">
      <alignment horizontal="right"/>
    </xf>
    <xf numFmtId="169" fontId="4" fillId="0" borderId="0" xfId="1" applyNumberFormat="1" applyFont="1" applyFill="1" applyBorder="1" applyAlignment="1">
      <alignment horizontal="left"/>
    </xf>
    <xf numFmtId="169" fontId="19" fillId="0" borderId="0" xfId="1" applyNumberFormat="1" applyFont="1" applyFill="1" applyBorder="1" applyAlignment="1">
      <alignment horizontal="right"/>
    </xf>
    <xf numFmtId="169" fontId="19" fillId="0" borderId="4" xfId="1" applyNumberFormat="1" applyFont="1" applyFill="1" applyBorder="1" applyAlignment="1">
      <alignment horizontal="right"/>
    </xf>
    <xf numFmtId="169" fontId="3" fillId="0" borderId="3" xfId="1" applyNumberFormat="1" applyFont="1" applyFill="1" applyBorder="1" applyAlignment="1">
      <alignment horizontal="right"/>
    </xf>
    <xf numFmtId="169" fontId="19" fillId="0" borderId="3"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8" fillId="0" borderId="4" xfId="0" applyFont="1" applyFill="1" applyBorder="1" applyAlignment="1">
      <alignment horizontal="left"/>
    </xf>
    <xf numFmtId="0" fontId="2" fillId="0" borderId="4" xfId="0" applyFont="1" applyFill="1" applyBorder="1" applyAlignment="1">
      <alignment horizontal="left"/>
    </xf>
    <xf numFmtId="43" fontId="10" fillId="2" borderId="0" xfId="1" applyNumberFormat="1" applyFont="1" applyFill="1" applyBorder="1" applyAlignment="1">
      <alignment horizontal="right"/>
    </xf>
    <xf numFmtId="169" fontId="1" fillId="0" borderId="3" xfId="1" quotePrefix="1" applyNumberFormat="1" applyFont="1" applyFill="1" applyBorder="1" applyAlignment="1">
      <alignment horizontal="right"/>
    </xf>
    <xf numFmtId="169" fontId="0" fillId="12" borderId="0" xfId="1" applyNumberFormat="1" applyFont="1" applyFill="1"/>
    <xf numFmtId="43" fontId="1"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2" fillId="0" borderId="0" xfId="1" applyNumberFormat="1" applyFont="1" applyFill="1" applyBorder="1" applyAlignment="1">
      <alignment horizontal="right"/>
    </xf>
    <xf numFmtId="43" fontId="12" fillId="0" borderId="4" xfId="1" applyNumberFormat="1" applyFont="1" applyFill="1" applyBorder="1" applyAlignment="1">
      <alignment horizontal="right"/>
    </xf>
    <xf numFmtId="167" fontId="12" fillId="0" borderId="3" xfId="1" applyNumberFormat="1" applyFont="1" applyFill="1" applyBorder="1" applyAlignment="1">
      <alignment horizontal="right"/>
    </xf>
    <xf numFmtId="43" fontId="12" fillId="0" borderId="5" xfId="1" applyNumberFormat="1" applyFont="1" applyFill="1" applyBorder="1" applyAlignment="1">
      <alignment horizontal="right"/>
    </xf>
    <xf numFmtId="2" fontId="12" fillId="0" borderId="3" xfId="1" applyNumberFormat="1" applyFont="1" applyFill="1" applyBorder="1" applyAlignment="1">
      <alignment horizontal="right"/>
    </xf>
    <xf numFmtId="9" fontId="1" fillId="0" borderId="0" xfId="2" quotePrefix="1" applyNumberFormat="1" applyFont="1" applyFill="1" applyBorder="1" applyAlignment="1">
      <alignment horizontal="right"/>
    </xf>
    <xf numFmtId="9" fontId="1" fillId="0" borderId="5" xfId="2" quotePrefix="1" applyNumberFormat="1" applyFont="1" applyFill="1" applyBorder="1" applyAlignment="1">
      <alignment horizontal="right"/>
    </xf>
    <xf numFmtId="9" fontId="1" fillId="2" borderId="0" xfId="2" quotePrefix="1" applyNumberFormat="1" applyFont="1" applyFill="1" applyBorder="1" applyAlignment="1">
      <alignment horizontal="right"/>
    </xf>
    <xf numFmtId="169" fontId="1" fillId="2" borderId="3" xfId="1" quotePrefix="1" applyNumberFormat="1" applyFont="1" applyFill="1" applyBorder="1" applyAlignment="1">
      <alignment horizontal="right"/>
    </xf>
    <xf numFmtId="169" fontId="1" fillId="2" borderId="4" xfId="1" quotePrefix="1" applyNumberFormat="1" applyFont="1" applyFill="1" applyBorder="1" applyAlignment="1">
      <alignment horizontal="right"/>
    </xf>
    <xf numFmtId="169" fontId="4" fillId="0" borderId="0" xfId="1" quotePrefix="1" applyNumberFormat="1" applyFont="1" applyFill="1" applyBorder="1" applyAlignment="1">
      <alignment horizontal="right"/>
    </xf>
    <xf numFmtId="169" fontId="4" fillId="0" borderId="5" xfId="1" quotePrefix="1" applyNumberFormat="1" applyFont="1" applyFill="1" applyBorder="1" applyAlignment="1">
      <alignment horizontal="right"/>
    </xf>
    <xf numFmtId="169" fontId="4" fillId="2" borderId="0" xfId="1" quotePrefix="1" applyNumberFormat="1" applyFont="1" applyFill="1" applyBorder="1" applyAlignment="1">
      <alignment horizontal="right"/>
    </xf>
    <xf numFmtId="170" fontId="1" fillId="0" borderId="0" xfId="1" quotePrefix="1" applyNumberFormat="1" applyFont="1" applyFill="1" applyBorder="1" applyAlignment="1">
      <alignment horizontal="right"/>
    </xf>
    <xf numFmtId="170" fontId="1" fillId="0" borderId="4" xfId="1" quotePrefix="1" applyNumberFormat="1" applyFont="1" applyFill="1" applyBorder="1" applyAlignment="1">
      <alignment horizontal="right"/>
    </xf>
    <xf numFmtId="170" fontId="1" fillId="0" borderId="5" xfId="1" quotePrefix="1" applyNumberFormat="1" applyFont="1" applyFill="1" applyBorder="1" applyAlignment="1">
      <alignment horizontal="right"/>
    </xf>
    <xf numFmtId="0" fontId="0" fillId="0" borderId="28" xfId="0" applyFont="1" applyFill="1" applyBorder="1" applyAlignment="1">
      <alignment horizontal="left"/>
    </xf>
    <xf numFmtId="0" fontId="0" fillId="0" borderId="29" xfId="0" applyFont="1" applyFill="1" applyBorder="1" applyAlignment="1">
      <alignment horizontal="left"/>
    </xf>
    <xf numFmtId="170" fontId="0" fillId="2" borderId="30" xfId="2" quotePrefix="1" applyNumberFormat="1" applyFont="1" applyFill="1" applyBorder="1" applyAlignment="1">
      <alignment horizontal="right"/>
    </xf>
    <xf numFmtId="170" fontId="1" fillId="0" borderId="30" xfId="1" quotePrefix="1" applyNumberFormat="1" applyFont="1" applyFill="1" applyBorder="1" applyAlignment="1">
      <alignment horizontal="right"/>
    </xf>
    <xf numFmtId="170" fontId="1" fillId="0" borderId="29" xfId="1" quotePrefix="1" applyNumberFormat="1" applyFont="1" applyFill="1" applyBorder="1" applyAlignment="1">
      <alignment horizontal="right"/>
    </xf>
    <xf numFmtId="170" fontId="1" fillId="0" borderId="27" xfId="1" quotePrefix="1" applyNumberFormat="1" applyFont="1" applyFill="1" applyBorder="1" applyAlignment="1">
      <alignment horizontal="right"/>
    </xf>
    <xf numFmtId="170" fontId="1" fillId="2" borderId="30" xfId="1" quotePrefix="1" applyNumberFormat="1" applyFont="1" applyFill="1" applyBorder="1" applyAlignment="1">
      <alignment horizontal="right"/>
    </xf>
    <xf numFmtId="170" fontId="1" fillId="2" borderId="0" xfId="1" quotePrefix="1" applyNumberFormat="1" applyFont="1" applyFill="1" applyBorder="1" applyAlignment="1">
      <alignment horizontal="right"/>
    </xf>
    <xf numFmtId="0" fontId="0" fillId="0" borderId="35" xfId="0" applyFont="1" applyFill="1" applyBorder="1" applyAlignment="1">
      <alignment horizontal="left"/>
    </xf>
    <xf numFmtId="0" fontId="0" fillId="0" borderId="36" xfId="0" applyFont="1" applyFill="1" applyBorder="1" applyAlignment="1">
      <alignment horizontal="left"/>
    </xf>
    <xf numFmtId="169" fontId="1" fillId="0" borderId="37" xfId="1" quotePrefix="1" applyNumberFormat="1" applyFont="1" applyFill="1" applyBorder="1" applyAlignment="1">
      <alignment horizontal="right"/>
    </xf>
    <xf numFmtId="169" fontId="1" fillId="0" borderId="36" xfId="1" quotePrefix="1" applyNumberFormat="1" applyFont="1" applyFill="1" applyBorder="1" applyAlignment="1">
      <alignment horizontal="right"/>
    </xf>
    <xf numFmtId="169" fontId="1" fillId="0" borderId="33" xfId="1" quotePrefix="1" applyNumberFormat="1" applyFont="1" applyFill="1" applyBorder="1" applyAlignment="1">
      <alignment horizontal="right"/>
    </xf>
    <xf numFmtId="43" fontId="1" fillId="0" borderId="27" xfId="1" quotePrefix="1" applyFont="1" applyFill="1" applyBorder="1" applyAlignment="1">
      <alignment horizontal="right"/>
    </xf>
    <xf numFmtId="170" fontId="1" fillId="0" borderId="29" xfId="2" quotePrefix="1" applyNumberFormat="1" applyFont="1" applyFill="1" applyBorder="1" applyAlignment="1">
      <alignment horizontal="right"/>
    </xf>
    <xf numFmtId="169" fontId="1" fillId="2" borderId="30" xfId="1" quotePrefix="1" applyNumberFormat="1" applyFont="1" applyFill="1" applyBorder="1" applyAlignment="1">
      <alignment horizontal="right"/>
    </xf>
    <xf numFmtId="170" fontId="1" fillId="0" borderId="37" xfId="2" quotePrefix="1" applyNumberFormat="1" applyFont="1" applyFill="1" applyBorder="1" applyAlignment="1">
      <alignment horizontal="right"/>
    </xf>
    <xf numFmtId="170" fontId="1" fillId="0" borderId="37" xfId="1" quotePrefix="1" applyNumberFormat="1" applyFont="1" applyFill="1" applyBorder="1" applyAlignment="1">
      <alignment horizontal="right"/>
    </xf>
    <xf numFmtId="170" fontId="1" fillId="0" borderId="33" xfId="1" quotePrefix="1" applyNumberFormat="1" applyFont="1" applyFill="1" applyBorder="1" applyAlignment="1">
      <alignment horizontal="right"/>
    </xf>
    <xf numFmtId="43" fontId="10" fillId="2" borderId="7" xfId="1" applyNumberFormat="1" applyFont="1" applyFill="1" applyBorder="1" applyAlignment="1">
      <alignment horizontal="right"/>
    </xf>
    <xf numFmtId="43" fontId="10" fillId="2" borderId="10" xfId="1" applyNumberFormat="1" applyFont="1" applyFill="1" applyBorder="1" applyAlignment="1">
      <alignment horizontal="right"/>
    </xf>
    <xf numFmtId="170" fontId="1" fillId="0" borderId="35" xfId="2" quotePrefix="1" applyNumberFormat="1" applyFont="1" applyFill="1" applyBorder="1" applyAlignment="1">
      <alignment horizontal="right"/>
    </xf>
    <xf numFmtId="170" fontId="1" fillId="0" borderId="33" xfId="2" quotePrefix="1" applyNumberFormat="1" applyFont="1" applyFill="1" applyBorder="1" applyAlignment="1">
      <alignment horizontal="right"/>
    </xf>
    <xf numFmtId="0" fontId="8" fillId="0" borderId="29" xfId="0" applyFont="1" applyFill="1" applyBorder="1" applyAlignment="1">
      <alignment horizontal="left"/>
    </xf>
    <xf numFmtId="9" fontId="1" fillId="0" borderId="28" xfId="2" quotePrefix="1" applyNumberFormat="1" applyFont="1" applyFill="1" applyBorder="1" applyAlignment="1">
      <alignment horizontal="right"/>
    </xf>
    <xf numFmtId="9" fontId="1" fillId="0" borderId="30" xfId="2" quotePrefix="1" applyNumberFormat="1" applyFont="1" applyFill="1" applyBorder="1" applyAlignment="1">
      <alignment horizontal="right"/>
    </xf>
    <xf numFmtId="9" fontId="1" fillId="0" borderId="29" xfId="2" quotePrefix="1" applyNumberFormat="1" applyFont="1" applyFill="1" applyBorder="1" applyAlignment="1">
      <alignment horizontal="right"/>
    </xf>
    <xf numFmtId="9" fontId="1" fillId="0" borderId="27" xfId="2" quotePrefix="1" applyNumberFormat="1" applyFont="1" applyFill="1" applyBorder="1" applyAlignment="1">
      <alignment horizontal="right"/>
    </xf>
    <xf numFmtId="9" fontId="1" fillId="2" borderId="30" xfId="2" quotePrefix="1" applyNumberFormat="1" applyFont="1" applyFill="1" applyBorder="1" applyAlignment="1">
      <alignment horizontal="right"/>
    </xf>
    <xf numFmtId="9" fontId="1" fillId="2" borderId="29" xfId="2" quotePrefix="1" applyNumberFormat="1" applyFont="1" applyFill="1" applyBorder="1" applyAlignment="1">
      <alignment horizontal="right"/>
    </xf>
    <xf numFmtId="9" fontId="1" fillId="2" borderId="28" xfId="2" quotePrefix="1" applyNumberFormat="1" applyFont="1" applyFill="1" applyBorder="1" applyAlignment="1">
      <alignment horizontal="right"/>
    </xf>
    <xf numFmtId="168" fontId="0" fillId="0" borderId="7" xfId="1" applyNumberFormat="1" applyFont="1" applyFill="1" applyBorder="1" applyAlignment="1">
      <alignment horizontal="right"/>
    </xf>
    <xf numFmtId="169" fontId="3" fillId="0" borderId="8" xfId="1" quotePrefix="1" applyNumberFormat="1" applyFont="1" applyFill="1" applyBorder="1" applyAlignment="1">
      <alignment horizontal="right"/>
    </xf>
    <xf numFmtId="9" fontId="1" fillId="0" borderId="0" xfId="1" quotePrefix="1" applyNumberFormat="1" applyFont="1" applyFill="1" applyBorder="1" applyAlignment="1">
      <alignment horizontal="right"/>
    </xf>
    <xf numFmtId="9" fontId="1" fillId="0" borderId="5" xfId="1" quotePrefix="1" applyNumberFormat="1" applyFont="1" applyFill="1" applyBorder="1" applyAlignment="1">
      <alignment horizontal="right"/>
    </xf>
    <xf numFmtId="9" fontId="1" fillId="2" borderId="0" xfId="1" quotePrefix="1" applyNumberFormat="1" applyFont="1" applyFill="1" applyBorder="1" applyAlignment="1">
      <alignment horizontal="right"/>
    </xf>
    <xf numFmtId="169" fontId="11" fillId="2" borderId="0" xfId="1" applyNumberFormat="1" applyFont="1" applyFill="1" applyBorder="1" applyAlignment="1">
      <alignment horizontal="right"/>
    </xf>
    <xf numFmtId="169" fontId="11" fillId="2" borderId="4" xfId="1" applyNumberFormat="1" applyFont="1" applyFill="1" applyBorder="1" applyAlignment="1">
      <alignment horizontal="right"/>
    </xf>
    <xf numFmtId="169" fontId="11" fillId="2" borderId="3" xfId="1" applyNumberFormat="1" applyFont="1" applyFill="1" applyBorder="1" applyAlignment="1">
      <alignment horizontal="right"/>
    </xf>
    <xf numFmtId="43" fontId="1" fillId="0" borderId="7" xfId="1" applyNumberFormat="1" applyFont="1" applyFill="1" applyBorder="1" applyAlignment="1">
      <alignment horizontal="right"/>
    </xf>
    <xf numFmtId="169" fontId="4" fillId="0" borderId="5" xfId="1" applyNumberFormat="1" applyFont="1" applyBorder="1" applyAlignment="1">
      <alignment horizontal="right"/>
    </xf>
    <xf numFmtId="169" fontId="7" fillId="0" borderId="3" xfId="1" applyNumberFormat="1" applyFont="1" applyBorder="1" applyAlignment="1">
      <alignment horizontal="right"/>
    </xf>
    <xf numFmtId="169" fontId="4" fillId="0" borderId="3" xfId="1" applyNumberFormat="1" applyFont="1" applyBorder="1" applyAlignment="1">
      <alignment horizontal="right"/>
    </xf>
    <xf numFmtId="169" fontId="0" fillId="0" borderId="3" xfId="0" applyNumberFormat="1" applyBorder="1"/>
    <xf numFmtId="169" fontId="2" fillId="0" borderId="6" xfId="1" applyNumberFormat="1" applyFont="1" applyFill="1" applyBorder="1" applyAlignment="1">
      <alignment horizontal="right"/>
    </xf>
    <xf numFmtId="169" fontId="7" fillId="0" borderId="4" xfId="1" applyNumberFormat="1" applyFont="1" applyBorder="1" applyAlignment="1">
      <alignment horizontal="right"/>
    </xf>
    <xf numFmtId="169" fontId="4" fillId="0" borderId="4" xfId="1" applyNumberFormat="1" applyFont="1" applyBorder="1" applyAlignment="1">
      <alignment horizontal="right"/>
    </xf>
    <xf numFmtId="169" fontId="0" fillId="0" borderId="4" xfId="0" applyNumberFormat="1" applyBorder="1"/>
    <xf numFmtId="169" fontId="11" fillId="0" borderId="0" xfId="1" applyNumberFormat="1" applyFont="1" applyBorder="1" applyAlignment="1">
      <alignment horizontal="right"/>
    </xf>
    <xf numFmtId="169" fontId="4" fillId="0" borderId="0" xfId="1" applyNumberFormat="1" applyFont="1" applyBorder="1" applyAlignment="1">
      <alignment horizontal="right"/>
    </xf>
    <xf numFmtId="43" fontId="1" fillId="0" borderId="10" xfId="1" applyNumberFormat="1" applyFont="1" applyFill="1" applyBorder="1" applyAlignment="1">
      <alignment horizontal="right"/>
    </xf>
    <xf numFmtId="169" fontId="77" fillId="0" borderId="0" xfId="1" applyNumberFormat="1" applyFont="1" applyAlignment="1">
      <alignment horizontal="right"/>
    </xf>
    <xf numFmtId="169" fontId="0" fillId="0" borderId="4" xfId="1" applyNumberFormat="1" applyFont="1" applyBorder="1"/>
    <xf numFmtId="169" fontId="4" fillId="11" borderId="5" xfId="1" quotePrefix="1" applyNumberFormat="1" applyFont="1" applyFill="1" applyBorder="1" applyAlignment="1">
      <alignment horizontal="right"/>
    </xf>
    <xf numFmtId="170" fontId="1" fillId="11" borderId="27" xfId="2" quotePrefix="1" applyNumberFormat="1" applyFont="1" applyFill="1" applyBorder="1" applyAlignment="1">
      <alignment horizontal="right"/>
    </xf>
    <xf numFmtId="169" fontId="1" fillId="11" borderId="5" xfId="1" quotePrefix="1" applyNumberFormat="1" applyFont="1" applyFill="1" applyBorder="1" applyAlignment="1">
      <alignment horizontal="right"/>
    </xf>
    <xf numFmtId="170" fontId="1" fillId="11" borderId="27" xfId="1" quotePrefix="1" applyNumberFormat="1" applyFont="1" applyFill="1" applyBorder="1" applyAlignment="1">
      <alignment horizontal="right"/>
    </xf>
    <xf numFmtId="169" fontId="1" fillId="11" borderId="5" xfId="1" applyNumberFormat="1" applyFont="1" applyFill="1" applyBorder="1" applyAlignment="1">
      <alignment horizontal="right"/>
    </xf>
    <xf numFmtId="170" fontId="1" fillId="11" borderId="5" xfId="2" quotePrefix="1" applyNumberFormat="1" applyFont="1" applyFill="1" applyBorder="1" applyAlignment="1">
      <alignment horizontal="right"/>
    </xf>
    <xf numFmtId="168" fontId="1" fillId="11" borderId="5" xfId="1" applyNumberFormat="1" applyFont="1" applyFill="1" applyBorder="1" applyAlignment="1">
      <alignment horizontal="right"/>
    </xf>
    <xf numFmtId="169" fontId="12" fillId="4" borderId="0" xfId="1" applyNumberFormat="1" applyFont="1" applyFill="1" applyBorder="1" applyAlignment="1">
      <alignment horizontal="right"/>
    </xf>
    <xf numFmtId="170" fontId="0" fillId="2" borderId="0" xfId="1" quotePrefix="1" applyNumberFormat="1" applyFont="1" applyFill="1" applyBorder="1" applyAlignment="1">
      <alignment horizontal="right"/>
    </xf>
    <xf numFmtId="169" fontId="12" fillId="4" borderId="4" xfId="1" applyNumberFormat="1" applyFont="1" applyFill="1" applyBorder="1" applyAlignment="1">
      <alignment horizontal="right"/>
    </xf>
    <xf numFmtId="0" fontId="77" fillId="0" borderId="6" xfId="0" applyFont="1" applyBorder="1" applyAlignment="1">
      <alignment horizontal="left"/>
    </xf>
    <xf numFmtId="0" fontId="77" fillId="0" borderId="3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80" fillId="0" borderId="3" xfId="0" applyFont="1" applyFill="1" applyBorder="1" applyAlignment="1">
      <alignment horizontal="left"/>
    </xf>
    <xf numFmtId="0" fontId="80" fillId="0" borderId="4"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80" fillId="0" borderId="35" xfId="0" applyFont="1" applyFill="1" applyBorder="1" applyAlignment="1">
      <alignment horizontal="left"/>
    </xf>
    <xf numFmtId="0" fontId="80" fillId="0" borderId="36"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169" fontId="12" fillId="4" borderId="3" xfId="1" applyNumberFormat="1" applyFont="1" applyFill="1" applyBorder="1" applyAlignment="1">
      <alignment horizontal="right"/>
    </xf>
    <xf numFmtId="43" fontId="12" fillId="4" borderId="0" xfId="1" applyNumberFormat="1" applyFont="1" applyFill="1" applyBorder="1" applyAlignment="1">
      <alignment horizontal="right"/>
    </xf>
    <xf numFmtId="43" fontId="12" fillId="4" borderId="4" xfId="1" applyNumberFormat="1" applyFont="1" applyFill="1" applyBorder="1" applyAlignment="1">
      <alignment horizontal="right"/>
    </xf>
    <xf numFmtId="43" fontId="10" fillId="0" borderId="5" xfId="1" applyNumberFormat="1" applyFont="1" applyFill="1" applyBorder="1" applyAlignment="1">
      <alignment horizontal="right"/>
    </xf>
  </cellXfs>
  <cellStyles count="1915">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2102633800"/>
        <c:axId val="-2109783528"/>
      </c:lineChart>
      <c:catAx>
        <c:axId val="-210263380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09783528"/>
        <c:crosses val="autoZero"/>
        <c:auto val="1"/>
        <c:lblAlgn val="ctr"/>
        <c:lblOffset val="100"/>
        <c:tickLblSkip val="7"/>
        <c:noMultiLvlLbl val="1"/>
      </c:catAx>
      <c:valAx>
        <c:axId val="-2109783528"/>
        <c:scaling>
          <c:orientation val="minMax"/>
        </c:scaling>
        <c:delete val="0"/>
        <c:axPos val="l"/>
        <c:majorGridlines/>
        <c:numFmt formatCode="0.0\x" sourceLinked="0"/>
        <c:majorTickMark val="out"/>
        <c:minorTickMark val="none"/>
        <c:tickLblPos val="nextTo"/>
        <c:crossAx val="-2102633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2100868056"/>
        <c:axId val="-2102269336"/>
      </c:lineChart>
      <c:catAx>
        <c:axId val="-210086805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02269336"/>
        <c:crosses val="autoZero"/>
        <c:auto val="1"/>
        <c:lblAlgn val="ctr"/>
        <c:lblOffset val="100"/>
        <c:tickLblSkip val="7"/>
        <c:noMultiLvlLbl val="1"/>
      </c:catAx>
      <c:valAx>
        <c:axId val="-2102269336"/>
        <c:scaling>
          <c:orientation val="minMax"/>
        </c:scaling>
        <c:delete val="0"/>
        <c:axPos val="l"/>
        <c:majorGridlines/>
        <c:numFmt formatCode="0.0\x" sourceLinked="0"/>
        <c:majorTickMark val="out"/>
        <c:minorTickMark val="none"/>
        <c:tickLblPos val="nextTo"/>
        <c:crossAx val="-21008680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2100037736"/>
        <c:axId val="-2100979320"/>
      </c:lineChart>
      <c:catAx>
        <c:axId val="-210003773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00979320"/>
        <c:crosses val="autoZero"/>
        <c:auto val="1"/>
        <c:lblAlgn val="ctr"/>
        <c:lblOffset val="100"/>
        <c:tickLblSkip val="7"/>
        <c:noMultiLvlLbl val="1"/>
      </c:catAx>
      <c:valAx>
        <c:axId val="-2100979320"/>
        <c:scaling>
          <c:orientation val="minMax"/>
        </c:scaling>
        <c:delete val="0"/>
        <c:axPos val="l"/>
        <c:majorGridlines/>
        <c:numFmt formatCode="0.0\x" sourceLinked="0"/>
        <c:majorTickMark val="out"/>
        <c:minorTickMark val="none"/>
        <c:tickLblPos val="nextTo"/>
        <c:crossAx val="-21000377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41</xdr:row>
      <xdr:rowOff>0</xdr:rowOff>
    </xdr:from>
    <xdr:to>
      <xdr:col>6</xdr:col>
      <xdr:colOff>718343</xdr:colOff>
      <xdr:row>41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100</xdr:row>
      <xdr:rowOff>0</xdr:rowOff>
    </xdr:from>
    <xdr:to>
      <xdr:col>6</xdr:col>
      <xdr:colOff>718343</xdr:colOff>
      <xdr:row>100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144</xdr:row>
      <xdr:rowOff>0</xdr:rowOff>
    </xdr:from>
    <xdr:to>
      <xdr:col>6</xdr:col>
      <xdr:colOff>718343</xdr:colOff>
      <xdr:row>144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32"/>
  <sheetViews>
    <sheetView showGridLines="0" tabSelected="1" zoomScale="98" zoomScaleNormal="98" workbookViewId="0">
      <selection activeCell="B2" sqref="B2:C2"/>
    </sheetView>
  </sheetViews>
  <sheetFormatPr defaultColWidth="8.77734375" defaultRowHeight="14.4" outlineLevelRow="1" outlineLevelCol="1" x14ac:dyDescent="0.3"/>
  <cols>
    <col min="1" max="1" width="1.77734375" customWidth="1"/>
    <col min="2" max="2" width="31.6640625" customWidth="1"/>
    <col min="3" max="3" width="26.109375" style="9" customWidth="1"/>
    <col min="4" max="5" width="11.44140625" style="1" hidden="1" customWidth="1" outlineLevel="1"/>
    <col min="6" max="6" width="11.44140625" style="2" hidden="1" customWidth="1" outlineLevel="1"/>
    <col min="7" max="7" width="12.33203125" style="2" hidden="1" customWidth="1" outlineLevel="1"/>
    <col min="8" max="8" width="11.44140625" style="2" customWidth="1" collapsed="1"/>
    <col min="9" max="9" width="11.44140625" style="1" customWidth="1" outlineLevel="1"/>
    <col min="10" max="10" width="12.109375" style="1" customWidth="1" outlineLevel="1"/>
    <col min="11" max="12" width="11.44140625" style="2" customWidth="1" outlineLevel="1"/>
    <col min="13" max="13" width="11.44140625" style="2" customWidth="1"/>
    <col min="14" max="15" width="11.44140625" style="1" customWidth="1" outlineLevel="1"/>
    <col min="16" max="17" width="11.44140625" style="2" customWidth="1" outlineLevel="1"/>
    <col min="18" max="18" width="11.44140625" style="2" customWidth="1"/>
    <col min="19" max="19" width="4.33203125" customWidth="1"/>
    <col min="20" max="20" width="16.109375" customWidth="1"/>
  </cols>
  <sheetData>
    <row r="1" spans="1:25" s="47" customFormat="1" ht="5.4" customHeight="1" x14ac:dyDescent="0.3">
      <c r="A1" s="82"/>
      <c r="C1" s="48"/>
      <c r="D1" s="1"/>
      <c r="E1" s="1"/>
      <c r="F1" s="2"/>
      <c r="G1" s="2"/>
      <c r="H1" s="2"/>
      <c r="I1" s="1"/>
      <c r="J1" s="1"/>
      <c r="K1" s="2"/>
      <c r="L1" s="2"/>
      <c r="M1" s="2"/>
      <c r="N1" s="1"/>
      <c r="O1" s="1"/>
      <c r="P1" s="2"/>
      <c r="Q1" s="2"/>
      <c r="R1" s="2"/>
      <c r="Y1" s="82" t="s">
        <v>60</v>
      </c>
    </row>
    <row r="2" spans="1:25" ht="46.2" customHeight="1" x14ac:dyDescent="0.3">
      <c r="B2" s="328" t="s">
        <v>59</v>
      </c>
      <c r="C2" s="329"/>
    </row>
    <row r="3" spans="1:25" x14ac:dyDescent="0.3">
      <c r="B3" s="330" t="s">
        <v>43</v>
      </c>
      <c r="C3" s="331"/>
      <c r="D3" s="10"/>
    </row>
    <row r="4" spans="1:25" x14ac:dyDescent="0.3">
      <c r="B4" s="332" t="s">
        <v>148</v>
      </c>
      <c r="C4" s="333"/>
      <c r="D4" s="10"/>
    </row>
    <row r="5" spans="1:25" x14ac:dyDescent="0.3">
      <c r="B5" s="334" t="s">
        <v>205</v>
      </c>
      <c r="C5" s="335"/>
      <c r="D5" s="10"/>
      <c r="E5" s="10"/>
      <c r="F5" s="10"/>
      <c r="G5" s="75"/>
      <c r="I5" s="189"/>
      <c r="J5" s="15"/>
      <c r="K5" s="15"/>
      <c r="L5" s="15"/>
      <c r="M5" s="15"/>
      <c r="N5" s="15"/>
      <c r="O5" s="190"/>
      <c r="P5" s="15"/>
      <c r="Q5" s="15"/>
      <c r="R5" s="15"/>
    </row>
    <row r="6" spans="1:25" x14ac:dyDescent="0.3">
      <c r="B6" s="80" t="s">
        <v>15</v>
      </c>
      <c r="C6" s="187">
        <f>C200</f>
        <v>130</v>
      </c>
      <c r="D6" s="10"/>
      <c r="E6" s="10"/>
      <c r="F6" s="10"/>
      <c r="G6" s="10"/>
      <c r="I6" s="10"/>
      <c r="J6" s="10"/>
      <c r="K6" s="10"/>
      <c r="L6" s="10"/>
      <c r="M6" s="10"/>
      <c r="N6" s="10"/>
      <c r="O6" s="10"/>
      <c r="P6" s="10"/>
      <c r="Q6" s="10"/>
      <c r="R6" s="10"/>
    </row>
    <row r="7" spans="1:25" s="47" customFormat="1" x14ac:dyDescent="0.3">
      <c r="B7" s="55" t="s">
        <v>52</v>
      </c>
      <c r="C7" s="188" t="str">
        <f>TEXT(C209,"$0")&amp;" to "&amp;TEXT(C208,"$0")</f>
        <v>$119 to $141</v>
      </c>
      <c r="D7" s="10"/>
      <c r="E7" s="10"/>
      <c r="F7" s="10"/>
      <c r="G7" s="10"/>
      <c r="H7" s="2"/>
      <c r="I7" s="10"/>
      <c r="J7" s="10"/>
      <c r="K7" s="10"/>
      <c r="L7" s="10"/>
      <c r="M7" s="81"/>
      <c r="N7" s="10"/>
      <c r="O7" s="10"/>
      <c r="P7" s="10"/>
      <c r="Q7" s="10"/>
      <c r="R7" s="10"/>
    </row>
    <row r="8" spans="1:25" ht="4.5" customHeight="1" x14ac:dyDescent="0.3">
      <c r="C8" s="17"/>
      <c r="D8" s="7"/>
      <c r="E8" s="7"/>
      <c r="F8" s="7"/>
      <c r="G8" s="13"/>
      <c r="H8" s="14"/>
      <c r="I8" s="13"/>
      <c r="J8" s="13"/>
      <c r="K8" s="13"/>
      <c r="L8" s="15"/>
      <c r="M8" s="15"/>
      <c r="N8" s="13"/>
      <c r="O8" s="13"/>
      <c r="P8" s="13"/>
      <c r="Q8" s="15"/>
      <c r="R8" s="15"/>
    </row>
    <row r="9" spans="1:25" ht="15.6" x14ac:dyDescent="0.3">
      <c r="B9" s="336" t="s">
        <v>104</v>
      </c>
      <c r="C9" s="337"/>
      <c r="D9" s="49" t="s">
        <v>141</v>
      </c>
      <c r="E9" s="49" t="s">
        <v>142</v>
      </c>
      <c r="F9" s="49" t="s">
        <v>140</v>
      </c>
      <c r="G9" s="49" t="s">
        <v>143</v>
      </c>
      <c r="H9" s="49" t="s">
        <v>143</v>
      </c>
      <c r="I9" s="49" t="s">
        <v>141</v>
      </c>
      <c r="J9" s="49" t="s">
        <v>142</v>
      </c>
      <c r="K9" s="123" t="s">
        <v>140</v>
      </c>
      <c r="L9" s="51" t="s">
        <v>143</v>
      </c>
      <c r="M9" s="51" t="s">
        <v>143</v>
      </c>
      <c r="N9" s="51" t="s">
        <v>141</v>
      </c>
      <c r="O9" s="51" t="s">
        <v>142</v>
      </c>
      <c r="P9" s="51" t="s">
        <v>140</v>
      </c>
      <c r="Q9" s="51" t="s">
        <v>143</v>
      </c>
      <c r="R9" s="57" t="s">
        <v>143</v>
      </c>
    </row>
    <row r="10" spans="1:25" ht="16.2" x14ac:dyDescent="0.45">
      <c r="B10" s="324" t="s">
        <v>0</v>
      </c>
      <c r="C10" s="325"/>
      <c r="D10" s="40" t="s">
        <v>23</v>
      </c>
      <c r="E10" s="40" t="s">
        <v>24</v>
      </c>
      <c r="F10" s="40" t="s">
        <v>31</v>
      </c>
      <c r="G10" s="50" t="s">
        <v>50</v>
      </c>
      <c r="H10" s="50" t="s">
        <v>51</v>
      </c>
      <c r="I10" s="50" t="s">
        <v>144</v>
      </c>
      <c r="J10" s="50" t="s">
        <v>145</v>
      </c>
      <c r="K10" s="124" t="s">
        <v>25</v>
      </c>
      <c r="L10" s="41" t="s">
        <v>26</v>
      </c>
      <c r="M10" s="41" t="s">
        <v>12</v>
      </c>
      <c r="N10" s="41" t="s">
        <v>27</v>
      </c>
      <c r="O10" s="41" t="s">
        <v>28</v>
      </c>
      <c r="P10" s="41" t="s">
        <v>29</v>
      </c>
      <c r="Q10" s="41" t="s">
        <v>30</v>
      </c>
      <c r="R10" s="58" t="s">
        <v>13</v>
      </c>
    </row>
    <row r="11" spans="1:25" s="48" customFormat="1" x14ac:dyDescent="0.3">
      <c r="B11" s="183" t="s">
        <v>157</v>
      </c>
      <c r="C11" s="184"/>
      <c r="D11" s="146">
        <v>19485</v>
      </c>
      <c r="E11" s="147">
        <v>21923</v>
      </c>
      <c r="F11" s="147">
        <v>23000</v>
      </c>
      <c r="G11" s="148">
        <f>85255-F11-E11-D11</f>
        <v>20847</v>
      </c>
      <c r="H11" s="207">
        <f>SUM(D11:G11)</f>
        <v>85255</v>
      </c>
      <c r="I11" s="207">
        <v>19885</v>
      </c>
      <c r="J11" s="147">
        <v>22184</v>
      </c>
      <c r="K11" s="147">
        <f>K13*K75</f>
        <v>21066.465083177463</v>
      </c>
      <c r="L11" s="148">
        <f>L13*L75</f>
        <v>20742.394406122028</v>
      </c>
      <c r="M11" s="171">
        <f>SUM(I11:L11)</f>
        <v>83877.859489299488</v>
      </c>
      <c r="N11" s="147">
        <f>N13*N75</f>
        <v>20282.254518191319</v>
      </c>
      <c r="O11" s="147">
        <f>O13*O75</f>
        <v>20663.486102207429</v>
      </c>
      <c r="P11" s="147">
        <f>P13*P75</f>
        <v>21760.612219711944</v>
      </c>
      <c r="Q11" s="148">
        <f>Q13*Q75</f>
        <v>22007.628233456318</v>
      </c>
      <c r="R11" s="171">
        <f>SUM(N11:Q11)</f>
        <v>84713.981073567003</v>
      </c>
    </row>
    <row r="12" spans="1:25" s="48" customFormat="1" ht="16.2" x14ac:dyDescent="0.45">
      <c r="B12" s="183" t="s">
        <v>158</v>
      </c>
      <c r="C12" s="184"/>
      <c r="D12" s="149">
        <v>2664</v>
      </c>
      <c r="E12" s="210">
        <v>2620</v>
      </c>
      <c r="F12" s="210">
        <v>2849</v>
      </c>
      <c r="G12" s="209">
        <f>10859-F12-E12-D12</f>
        <v>2726</v>
      </c>
      <c r="H12" s="208">
        <f>SUM(D12:G12)</f>
        <v>10859</v>
      </c>
      <c r="I12" s="208">
        <v>2747</v>
      </c>
      <c r="J12" s="210">
        <v>2571</v>
      </c>
      <c r="K12" s="210">
        <f>K13-K11</f>
        <v>2673.5349168225403</v>
      </c>
      <c r="L12" s="209">
        <f>L13-L11</f>
        <v>2517.6055938779755</v>
      </c>
      <c r="M12" s="170">
        <f>SUM(I12:L12)</f>
        <v>10509.140510700516</v>
      </c>
      <c r="N12" s="210">
        <f t="shared" ref="N12:Q12" si="0">N13-N11</f>
        <v>2517.7454818086808</v>
      </c>
      <c r="O12" s="210">
        <f t="shared" si="0"/>
        <v>2536.5138977925708</v>
      </c>
      <c r="P12" s="210">
        <f t="shared" si="0"/>
        <v>2686.2166931729989</v>
      </c>
      <c r="Q12" s="209">
        <f t="shared" si="0"/>
        <v>2709.1083118460738</v>
      </c>
      <c r="R12" s="170">
        <f>SUM(N12:Q12)</f>
        <v>10449.584384620324</v>
      </c>
    </row>
    <row r="13" spans="1:25" s="48" customFormat="1" x14ac:dyDescent="0.3">
      <c r="B13" s="314" t="s">
        <v>153</v>
      </c>
      <c r="C13" s="315"/>
      <c r="D13" s="150">
        <f>+D12+D11</f>
        <v>22149</v>
      </c>
      <c r="E13" s="151">
        <f>+E12+E11</f>
        <v>24543</v>
      </c>
      <c r="F13" s="151">
        <f>+F12+F11</f>
        <v>25849</v>
      </c>
      <c r="G13" s="151">
        <f>+G12+G11</f>
        <v>23573</v>
      </c>
      <c r="H13" s="212">
        <f>SUM(D13:G13)</f>
        <v>96114</v>
      </c>
      <c r="I13" s="212">
        <f>+I12+I11</f>
        <v>22632</v>
      </c>
      <c r="J13" s="151">
        <f>J12+J11</f>
        <v>24755</v>
      </c>
      <c r="K13" s="307">
        <f>+K44+K62+K66+K71</f>
        <v>23740.000000000004</v>
      </c>
      <c r="L13" s="309">
        <f>+L44+L62+L66+L71</f>
        <v>23260.000000000004</v>
      </c>
      <c r="M13" s="213">
        <f>SUM(M11:M12)</f>
        <v>94387</v>
      </c>
      <c r="N13" s="354">
        <f t="shared" ref="N13:Q13" si="1">+N44+N62+N66+N71</f>
        <v>22800</v>
      </c>
      <c r="O13" s="307">
        <f t="shared" si="1"/>
        <v>23200</v>
      </c>
      <c r="P13" s="151">
        <f t="shared" si="1"/>
        <v>24446.828912884943</v>
      </c>
      <c r="Q13" s="211">
        <f t="shared" si="1"/>
        <v>24716.736545302392</v>
      </c>
      <c r="R13" s="168">
        <f>SUM(R11:R12)</f>
        <v>95163.565458187324</v>
      </c>
    </row>
    <row r="14" spans="1:25" s="48" customFormat="1" x14ac:dyDescent="0.3">
      <c r="B14" s="114" t="s">
        <v>106</v>
      </c>
      <c r="C14" s="115"/>
      <c r="D14" s="146">
        <v>-16380</v>
      </c>
      <c r="E14" s="147">
        <v>-19247</v>
      </c>
      <c r="F14" s="147">
        <v>-19393</v>
      </c>
      <c r="G14" s="148">
        <v>-18426</v>
      </c>
      <c r="H14" s="207">
        <f t="shared" ref="H14:H21" si="2">SUM(D14:G14)</f>
        <v>-73446</v>
      </c>
      <c r="I14" s="207">
        <v>-16945</v>
      </c>
      <c r="J14" s="147">
        <v>-20265</v>
      </c>
      <c r="K14" s="147">
        <f>-K11*(1-K77)</f>
        <v>-18159.292901698973</v>
      </c>
      <c r="L14" s="148">
        <f>-L11*(1-L77)</f>
        <v>-17879.943978077186</v>
      </c>
      <c r="M14" s="171">
        <f>SUM(I14:L14)</f>
        <v>-73249.236879776159</v>
      </c>
      <c r="N14" s="147">
        <f t="shared" ref="N14:Q15" si="3">-N11*(1-N77)</f>
        <v>-17483.303394680916</v>
      </c>
      <c r="O14" s="147">
        <f t="shared" si="3"/>
        <v>-17811.925020102804</v>
      </c>
      <c r="P14" s="147">
        <f t="shared" si="3"/>
        <v>-18757.647733391696</v>
      </c>
      <c r="Q14" s="148">
        <f t="shared" si="3"/>
        <v>-18970.575537239347</v>
      </c>
      <c r="R14" s="171">
        <f>SUM(N14:Q14)</f>
        <v>-73023.451685414766</v>
      </c>
    </row>
    <row r="15" spans="1:25" s="48" customFormat="1" x14ac:dyDescent="0.3">
      <c r="B15" s="114" t="s">
        <v>105</v>
      </c>
      <c r="C15" s="115"/>
      <c r="D15" s="146">
        <v>-2100</v>
      </c>
      <c r="E15" s="147">
        <v>-2086</v>
      </c>
      <c r="F15" s="147">
        <v>-2191</v>
      </c>
      <c r="G15" s="148">
        <f>E15</f>
        <v>-2086</v>
      </c>
      <c r="H15" s="207">
        <f t="shared" si="2"/>
        <v>-8463</v>
      </c>
      <c r="I15" s="207">
        <v>-2136</v>
      </c>
      <c r="J15" s="147">
        <v>-2044</v>
      </c>
      <c r="K15" s="147">
        <f>-K12*(1-K78)</f>
        <v>-2058.621885953356</v>
      </c>
      <c r="L15" s="148">
        <f>-L12*(1-L78)</f>
        <v>-1938.5563072860411</v>
      </c>
      <c r="M15" s="171">
        <f>SUM(I15:L15)</f>
        <v>-8177.1781932393978</v>
      </c>
      <c r="N15" s="147">
        <f t="shared" si="3"/>
        <v>-1938.6640209926843</v>
      </c>
      <c r="O15" s="147">
        <f t="shared" si="3"/>
        <v>-1953.1157013002796</v>
      </c>
      <c r="P15" s="147">
        <f t="shared" si="3"/>
        <v>-2068.386853743209</v>
      </c>
      <c r="Q15" s="148">
        <f t="shared" si="3"/>
        <v>-2086.0134001214769</v>
      </c>
      <c r="R15" s="171">
        <f>SUM(N15:Q15)</f>
        <v>-8046.1799761576494</v>
      </c>
    </row>
    <row r="16" spans="1:25" s="39" customFormat="1" ht="17.25" customHeight="1" x14ac:dyDescent="0.45">
      <c r="B16" s="312" t="s">
        <v>122</v>
      </c>
      <c r="C16" s="313"/>
      <c r="D16" s="149">
        <v>-16</v>
      </c>
      <c r="E16" s="210">
        <v>-17</v>
      </c>
      <c r="F16" s="210">
        <v>-16</v>
      </c>
      <c r="G16" s="209">
        <v>-15</v>
      </c>
      <c r="H16" s="208">
        <f t="shared" si="2"/>
        <v>-64</v>
      </c>
      <c r="I16" s="208">
        <v>-16</v>
      </c>
      <c r="J16" s="210">
        <v>-16</v>
      </c>
      <c r="K16" s="214">
        <f>K81</f>
        <v>-16</v>
      </c>
      <c r="L16" s="214">
        <f>L81</f>
        <v>-16</v>
      </c>
      <c r="M16" s="215">
        <f>SUM(I16:L16)</f>
        <v>-64</v>
      </c>
      <c r="N16" s="214">
        <f t="shared" ref="N16:Q16" si="4">N81</f>
        <v>-16</v>
      </c>
      <c r="O16" s="214">
        <f t="shared" si="4"/>
        <v>-16</v>
      </c>
      <c r="P16" s="214">
        <f t="shared" si="4"/>
        <v>-16</v>
      </c>
      <c r="Q16" s="216">
        <f t="shared" si="4"/>
        <v>-16</v>
      </c>
      <c r="R16" s="170">
        <f>SUM(N16:Q16)</f>
        <v>-64</v>
      </c>
    </row>
    <row r="17" spans="1:20" s="48" customFormat="1" ht="17.25" customHeight="1" x14ac:dyDescent="0.3">
      <c r="B17" s="116" t="s">
        <v>150</v>
      </c>
      <c r="C17" s="115"/>
      <c r="D17" s="150">
        <f>SUM(D14:D16)</f>
        <v>-18496</v>
      </c>
      <c r="E17" s="151">
        <f>SUM(E14:E16)</f>
        <v>-21350</v>
      </c>
      <c r="F17" s="151">
        <f>SUM(F14:F16)</f>
        <v>-21600</v>
      </c>
      <c r="G17" s="211">
        <v>-20642</v>
      </c>
      <c r="H17" s="212">
        <f t="shared" si="2"/>
        <v>-82088</v>
      </c>
      <c r="I17" s="212">
        <f t="shared" ref="I17:J17" si="5">SUM(I14:I16)</f>
        <v>-19097</v>
      </c>
      <c r="J17" s="151">
        <f t="shared" si="5"/>
        <v>-22325</v>
      </c>
      <c r="K17" s="151">
        <f>SUM(K14:K16)</f>
        <v>-20233.914787652328</v>
      </c>
      <c r="L17" s="211">
        <f>SUM(L14:L16)</f>
        <v>-19834.500285363229</v>
      </c>
      <c r="M17" s="211">
        <f t="shared" ref="M17:R17" si="6">SUM(M14:M16)</f>
        <v>-81490.415073015552</v>
      </c>
      <c r="N17" s="212">
        <f t="shared" si="6"/>
        <v>-19437.9674156736</v>
      </c>
      <c r="O17" s="151">
        <f t="shared" si="6"/>
        <v>-19781.040721403086</v>
      </c>
      <c r="P17" s="151">
        <f t="shared" si="6"/>
        <v>-20842.034587134905</v>
      </c>
      <c r="Q17" s="211">
        <f t="shared" si="6"/>
        <v>-21072.588937360822</v>
      </c>
      <c r="R17" s="157">
        <f t="shared" si="6"/>
        <v>-81133.631661572421</v>
      </c>
    </row>
    <row r="18" spans="1:20" x14ac:dyDescent="0.3">
      <c r="B18" s="314" t="s">
        <v>46</v>
      </c>
      <c r="C18" s="315"/>
      <c r="D18" s="150">
        <f>D13+D17</f>
        <v>3653</v>
      </c>
      <c r="E18" s="151">
        <f>E13+E17</f>
        <v>3193</v>
      </c>
      <c r="F18" s="151">
        <f>F13+F17</f>
        <v>4249</v>
      </c>
      <c r="G18" s="211">
        <f>G13+G17</f>
        <v>2931</v>
      </c>
      <c r="H18" s="212">
        <f t="shared" si="2"/>
        <v>14026</v>
      </c>
      <c r="I18" s="212">
        <f t="shared" ref="I18:N18" si="7">I13+I17</f>
        <v>3535</v>
      </c>
      <c r="J18" s="151">
        <f t="shared" si="7"/>
        <v>2430</v>
      </c>
      <c r="K18" s="151">
        <f>K13+K17</f>
        <v>3506.0852123476761</v>
      </c>
      <c r="L18" s="211">
        <f t="shared" si="7"/>
        <v>3425.499714636775</v>
      </c>
      <c r="M18" s="212">
        <f t="shared" si="7"/>
        <v>12896.584926984448</v>
      </c>
      <c r="N18" s="212">
        <f t="shared" si="7"/>
        <v>3362.0325843264</v>
      </c>
      <c r="O18" s="151">
        <f t="shared" ref="O18:Q18" si="8">O13+O17</f>
        <v>3418.9592785969144</v>
      </c>
      <c r="P18" s="151">
        <f>P13+P17</f>
        <v>3604.7943257500374</v>
      </c>
      <c r="Q18" s="211">
        <f t="shared" si="8"/>
        <v>3644.1476079415697</v>
      </c>
      <c r="R18" s="157">
        <f>R13+R17</f>
        <v>14029.933796614903</v>
      </c>
    </row>
    <row r="19" spans="1:20" s="47" customFormat="1" x14ac:dyDescent="0.3">
      <c r="B19" s="114" t="s">
        <v>107</v>
      </c>
      <c r="C19" s="117"/>
      <c r="D19" s="146">
        <v>79</v>
      </c>
      <c r="E19" s="147">
        <v>50</v>
      </c>
      <c r="F19" s="147">
        <v>78</v>
      </c>
      <c r="G19" s="148">
        <v>67</v>
      </c>
      <c r="H19" s="207">
        <f t="shared" si="2"/>
        <v>274</v>
      </c>
      <c r="I19" s="207">
        <v>54</v>
      </c>
      <c r="J19" s="147">
        <v>97</v>
      </c>
      <c r="K19" s="147">
        <f>K82</f>
        <v>75.5</v>
      </c>
      <c r="L19" s="148">
        <f>L82</f>
        <v>75.5</v>
      </c>
      <c r="M19" s="171">
        <f>SUM(I19:L19)</f>
        <v>302</v>
      </c>
      <c r="N19" s="147">
        <f t="shared" ref="N19:Q19" si="9">N82</f>
        <v>75.5</v>
      </c>
      <c r="O19" s="147">
        <f t="shared" si="9"/>
        <v>75.5</v>
      </c>
      <c r="P19" s="147">
        <f t="shared" si="9"/>
        <v>75.5</v>
      </c>
      <c r="Q19" s="148">
        <f t="shared" si="9"/>
        <v>75.5</v>
      </c>
      <c r="R19" s="171">
        <f t="shared" ref="R19:R21" si="10">SUM(N19:Q19)</f>
        <v>302</v>
      </c>
    </row>
    <row r="20" spans="1:20" x14ac:dyDescent="0.3">
      <c r="B20" s="312" t="s">
        <v>32</v>
      </c>
      <c r="C20" s="313"/>
      <c r="D20" s="146">
        <v>-945</v>
      </c>
      <c r="E20" s="147">
        <v>-760</v>
      </c>
      <c r="F20" s="147">
        <v>-889</v>
      </c>
      <c r="G20" s="148">
        <v>-931</v>
      </c>
      <c r="H20" s="207">
        <f t="shared" si="2"/>
        <v>-3525</v>
      </c>
      <c r="I20" s="207">
        <v>-888</v>
      </c>
      <c r="J20" s="147">
        <v>-806</v>
      </c>
      <c r="K20" s="147">
        <f t="shared" ref="K20" si="11">(J20/(J23-J19-J22))*(K23-K19-K22)</f>
        <v>-347.35682058718953</v>
      </c>
      <c r="L20" s="144">
        <f>(K20/(K23-K19-K22))*(L23-L19-L22)</f>
        <v>-365.21169231162685</v>
      </c>
      <c r="M20" s="171">
        <f>SUM(I20:L20)</f>
        <v>-2406.5685128988162</v>
      </c>
      <c r="N20" s="147">
        <f>(L20/(L23-L19-L22))*(N23-N19-N22)</f>
        <v>-387.33898179442565</v>
      </c>
      <c r="O20" s="147">
        <f t="shared" ref="O20:P20" si="12">(N20/(N23-N19-N22))*(O23-O19-O22)</f>
        <v>-375.61519370393438</v>
      </c>
      <c r="P20" s="147">
        <f t="shared" si="12"/>
        <v>-396.21049966986982</v>
      </c>
      <c r="Q20" s="144">
        <f>(P20/(P23-P19-P22))*(Q23-Q19-Q22)</f>
        <v>-394.05155126574169</v>
      </c>
      <c r="R20" s="171">
        <f t="shared" si="10"/>
        <v>-1553.2162264339713</v>
      </c>
      <c r="T20" s="47"/>
    </row>
    <row r="21" spans="1:20" s="47" customFormat="1" x14ac:dyDescent="0.3">
      <c r="B21" s="114" t="s">
        <v>44</v>
      </c>
      <c r="C21" s="115"/>
      <c r="D21" s="146">
        <v>-769</v>
      </c>
      <c r="E21" s="147">
        <v>-800</v>
      </c>
      <c r="F21" s="147">
        <v>-857</v>
      </c>
      <c r="G21" s="148">
        <v>-905</v>
      </c>
      <c r="H21" s="207">
        <f t="shared" si="2"/>
        <v>-3331</v>
      </c>
      <c r="I21" s="207">
        <v>-917</v>
      </c>
      <c r="J21" s="147">
        <v>-2127</v>
      </c>
      <c r="K21" s="147">
        <f t="shared" ref="K21:L21" si="13">(J21/(J23-J22-J19))*(K23-K19-K22)</f>
        <v>-916.65999676048648</v>
      </c>
      <c r="L21" s="148">
        <f t="shared" si="13"/>
        <v>-963.77825005810212</v>
      </c>
      <c r="M21" s="304">
        <f>SUM(I21:L21)</f>
        <v>-4924.4382468185886</v>
      </c>
      <c r="N21" s="147">
        <f>(L21/(L23-L22-L19))*(N23-N19-N22)</f>
        <v>-1022.1712335939744</v>
      </c>
      <c r="O21" s="147">
        <f t="shared" ref="O21:Q21" si="14">(N21/(N23-N22-N19))*(O23-O19-O22)</f>
        <v>-991.23265137502278</v>
      </c>
      <c r="P21" s="147">
        <f t="shared" si="14"/>
        <v>-1045.5827950345076</v>
      </c>
      <c r="Q21" s="148">
        <f t="shared" si="14"/>
        <v>-1039.8854212682786</v>
      </c>
      <c r="R21" s="171">
        <f t="shared" si="10"/>
        <v>-4098.8721012717833</v>
      </c>
    </row>
    <row r="22" spans="1:20" s="47" customFormat="1" ht="16.2" x14ac:dyDescent="0.45">
      <c r="B22" s="64" t="s">
        <v>108</v>
      </c>
      <c r="C22" s="54"/>
      <c r="D22" s="152">
        <v>1</v>
      </c>
      <c r="E22" s="217">
        <v>0</v>
      </c>
      <c r="F22" s="210">
        <v>-1</v>
      </c>
      <c r="G22" s="209">
        <v>-1</v>
      </c>
      <c r="H22" s="149">
        <f t="shared" ref="H22" si="15">SUM(D22:G22)</f>
        <v>-1</v>
      </c>
      <c r="I22" s="208">
        <v>4</v>
      </c>
      <c r="J22" s="210">
        <v>-13</v>
      </c>
      <c r="K22" s="283">
        <v>0</v>
      </c>
      <c r="L22" s="284">
        <v>0</v>
      </c>
      <c r="M22" s="170">
        <f>SUM(I22:L22)</f>
        <v>-9</v>
      </c>
      <c r="N22" s="285">
        <v>0</v>
      </c>
      <c r="O22" s="283">
        <v>0</v>
      </c>
      <c r="P22" s="283">
        <v>0</v>
      </c>
      <c r="Q22" s="284">
        <v>0</v>
      </c>
      <c r="R22" s="170">
        <f>SUM(N22:Q22)</f>
        <v>0</v>
      </c>
    </row>
    <row r="23" spans="1:20" s="16" customFormat="1" ht="16.2" x14ac:dyDescent="0.45">
      <c r="B23" s="23" t="s">
        <v>39</v>
      </c>
      <c r="C23" s="24"/>
      <c r="D23" s="218">
        <f t="shared" ref="D23:J23" si="16">SUM(D19:D22)</f>
        <v>-1634</v>
      </c>
      <c r="E23" s="218">
        <f>SUM(E19:E22)</f>
        <v>-1510</v>
      </c>
      <c r="F23" s="218">
        <f>SUM(F19:F22)</f>
        <v>-1669</v>
      </c>
      <c r="G23" s="219">
        <f t="shared" si="16"/>
        <v>-1770</v>
      </c>
      <c r="H23" s="220">
        <f t="shared" si="16"/>
        <v>-6583</v>
      </c>
      <c r="I23" s="221">
        <f t="shared" si="16"/>
        <v>-1747</v>
      </c>
      <c r="J23" s="218">
        <f>SUM(J19:J22)</f>
        <v>-2849</v>
      </c>
      <c r="K23" s="218">
        <f>K24-K18</f>
        <v>-1188.5168173476759</v>
      </c>
      <c r="L23" s="219">
        <f>L24-L18</f>
        <v>-1253.4899423697289</v>
      </c>
      <c r="M23" s="218">
        <f t="shared" ref="M23" si="17">SUM(M19:M22)</f>
        <v>-7038.0067597174047</v>
      </c>
      <c r="N23" s="221">
        <f t="shared" ref="N23:Q23" si="18">N24-N18</f>
        <v>-1334.0102153884</v>
      </c>
      <c r="O23" s="218">
        <f t="shared" si="18"/>
        <v>-1291.3478450789571</v>
      </c>
      <c r="P23" s="218">
        <f t="shared" si="18"/>
        <v>-1366.2932947043773</v>
      </c>
      <c r="Q23" s="219">
        <f t="shared" si="18"/>
        <v>-1358.4369725340202</v>
      </c>
      <c r="R23" s="218">
        <f t="shared" ref="R23" si="19">SUM(R19:R22)</f>
        <v>-5350.0883277057546</v>
      </c>
    </row>
    <row r="24" spans="1:20" x14ac:dyDescent="0.3">
      <c r="B24" s="314" t="s">
        <v>35</v>
      </c>
      <c r="C24" s="315"/>
      <c r="D24" s="212">
        <f t="shared" ref="D24:R24" si="20">D18+D23</f>
        <v>2019</v>
      </c>
      <c r="E24" s="151">
        <f t="shared" si="20"/>
        <v>1683</v>
      </c>
      <c r="F24" s="151">
        <f t="shared" si="20"/>
        <v>2580</v>
      </c>
      <c r="G24" s="211">
        <f t="shared" si="20"/>
        <v>1161</v>
      </c>
      <c r="H24" s="212">
        <f t="shared" si="20"/>
        <v>7443</v>
      </c>
      <c r="I24" s="212">
        <f t="shared" si="20"/>
        <v>1788</v>
      </c>
      <c r="J24" s="151">
        <f t="shared" si="20"/>
        <v>-419</v>
      </c>
      <c r="K24" s="151">
        <f>+K47+K63+K68+K72</f>
        <v>2317.5683950000002</v>
      </c>
      <c r="L24" s="151">
        <f>+L47+L63+L68+L72</f>
        <v>2172.0097722670462</v>
      </c>
      <c r="M24" s="157">
        <f t="shared" si="20"/>
        <v>5858.5781672670428</v>
      </c>
      <c r="N24" s="151">
        <f t="shared" ref="N24:Q24" si="21">+N47+N63+N68+N72</f>
        <v>2028.022368938</v>
      </c>
      <c r="O24" s="151">
        <f t="shared" si="21"/>
        <v>2127.6114335179573</v>
      </c>
      <c r="P24" s="151">
        <f t="shared" si="21"/>
        <v>2238.5010310456601</v>
      </c>
      <c r="Q24" s="211">
        <f t="shared" si="21"/>
        <v>2285.7106354075495</v>
      </c>
      <c r="R24" s="168">
        <f t="shared" si="20"/>
        <v>8679.8454689091486</v>
      </c>
    </row>
    <row r="25" spans="1:20" s="48" customFormat="1" ht="16.2" x14ac:dyDescent="0.45">
      <c r="B25" s="61" t="s">
        <v>47</v>
      </c>
      <c r="C25" s="62"/>
      <c r="D25" s="149">
        <f>+D89</f>
        <v>113</v>
      </c>
      <c r="E25" s="210">
        <f t="shared" ref="E25:G25" si="22">+E89</f>
        <v>30</v>
      </c>
      <c r="F25" s="210">
        <f t="shared" si="22"/>
        <v>57</v>
      </c>
      <c r="G25" s="209">
        <f t="shared" si="22"/>
        <v>98</v>
      </c>
      <c r="H25" s="170">
        <f>SUM(D25:G25)</f>
        <v>298</v>
      </c>
      <c r="I25" s="208">
        <f>+I89</f>
        <v>-94</v>
      </c>
      <c r="J25" s="210">
        <f>+J89</f>
        <v>-69</v>
      </c>
      <c r="K25" s="210">
        <f>+K89</f>
        <v>-68</v>
      </c>
      <c r="L25" s="210">
        <f>+L89</f>
        <v>-69</v>
      </c>
      <c r="M25" s="170">
        <f>SUM(I25:L25)</f>
        <v>-300</v>
      </c>
      <c r="N25" s="210">
        <f t="shared" ref="N25:Q25" si="23">+N89</f>
        <v>-68.5</v>
      </c>
      <c r="O25" s="210">
        <f t="shared" si="23"/>
        <v>-68.75</v>
      </c>
      <c r="P25" s="210">
        <f t="shared" si="23"/>
        <v>-68.625</v>
      </c>
      <c r="Q25" s="210">
        <f t="shared" si="23"/>
        <v>-68.6875</v>
      </c>
      <c r="R25" s="170">
        <f>SUM(N25:Q25)</f>
        <v>-274.5625</v>
      </c>
    </row>
    <row r="26" spans="1:20" s="42" customFormat="1" x14ac:dyDescent="0.3">
      <c r="B26" s="314" t="s">
        <v>36</v>
      </c>
      <c r="C26" s="315"/>
      <c r="D26" s="151">
        <f>D24+D25</f>
        <v>2132</v>
      </c>
      <c r="E26" s="151">
        <f t="shared" ref="E26" si="24">E24+E25</f>
        <v>1713</v>
      </c>
      <c r="F26" s="151">
        <f t="shared" ref="F26:J26" si="25">F24+F25</f>
        <v>2637</v>
      </c>
      <c r="G26" s="211">
        <f t="shared" si="25"/>
        <v>1259</v>
      </c>
      <c r="H26" s="157">
        <f t="shared" si="25"/>
        <v>7741</v>
      </c>
      <c r="I26" s="212">
        <f t="shared" si="25"/>
        <v>1694</v>
      </c>
      <c r="J26" s="151">
        <f t="shared" si="25"/>
        <v>-488</v>
      </c>
      <c r="K26" s="151">
        <f>K24+K25</f>
        <v>2249.5683950000002</v>
      </c>
      <c r="L26" s="151">
        <f t="shared" ref="L26:R26" si="26">L24+L25</f>
        <v>2103.0097722670462</v>
      </c>
      <c r="M26" s="157">
        <f t="shared" si="26"/>
        <v>5558.5781672670428</v>
      </c>
      <c r="N26" s="151">
        <f t="shared" si="26"/>
        <v>1959.522368938</v>
      </c>
      <c r="O26" s="151">
        <f t="shared" si="26"/>
        <v>2058.8614335179573</v>
      </c>
      <c r="P26" s="151">
        <f t="shared" si="26"/>
        <v>2169.8760310456601</v>
      </c>
      <c r="Q26" s="151">
        <f t="shared" si="26"/>
        <v>2217.0231354075495</v>
      </c>
      <c r="R26" s="157">
        <f t="shared" si="26"/>
        <v>8405.2829689091486</v>
      </c>
    </row>
    <row r="27" spans="1:20" s="47" customFormat="1" x14ac:dyDescent="0.3">
      <c r="B27" s="59" t="s">
        <v>152</v>
      </c>
      <c r="C27" s="60"/>
      <c r="D27" s="146">
        <v>-12</v>
      </c>
      <c r="E27" s="147">
        <v>15</v>
      </c>
      <c r="F27" s="147">
        <v>-26</v>
      </c>
      <c r="G27" s="148">
        <v>10</v>
      </c>
      <c r="H27" s="207">
        <f>SUM(D27:G27)</f>
        <v>-13</v>
      </c>
      <c r="I27" s="207">
        <v>26</v>
      </c>
      <c r="J27" s="147">
        <v>13</v>
      </c>
      <c r="K27" s="147">
        <f>K73</f>
        <v>25</v>
      </c>
      <c r="L27" s="148">
        <f>L73</f>
        <v>25</v>
      </c>
      <c r="M27" s="171">
        <f>SUM(I27:L27)</f>
        <v>89</v>
      </c>
      <c r="N27" s="147">
        <f t="shared" ref="N27:Q27" si="27">N73</f>
        <v>25</v>
      </c>
      <c r="O27" s="147">
        <f t="shared" si="27"/>
        <v>25</v>
      </c>
      <c r="P27" s="147">
        <f t="shared" si="27"/>
        <v>25</v>
      </c>
      <c r="Q27" s="147">
        <f t="shared" si="27"/>
        <v>25</v>
      </c>
      <c r="R27" s="171">
        <f>SUM(N27:Q27)</f>
        <v>100</v>
      </c>
    </row>
    <row r="28" spans="1:20" ht="16.2" x14ac:dyDescent="0.45">
      <c r="B28" s="312" t="s">
        <v>109</v>
      </c>
      <c r="C28" s="313"/>
      <c r="D28" s="149">
        <v>-61</v>
      </c>
      <c r="E28" s="210">
        <v>-75</v>
      </c>
      <c r="F28" s="210">
        <v>-67</v>
      </c>
      <c r="G28" s="209">
        <v>-72</v>
      </c>
      <c r="H28" s="208">
        <f>SUM(D28:G28)</f>
        <v>-275</v>
      </c>
      <c r="I28" s="208">
        <v>-73</v>
      </c>
      <c r="J28" s="210">
        <v>-73</v>
      </c>
      <c r="K28" s="214">
        <f>K86</f>
        <v>-73</v>
      </c>
      <c r="L28" s="216">
        <f>L86</f>
        <v>-73</v>
      </c>
      <c r="M28" s="215">
        <f>SUM(I28:L28)</f>
        <v>-292</v>
      </c>
      <c r="N28" s="214">
        <f t="shared" ref="N28:Q28" si="28">N86</f>
        <v>-73</v>
      </c>
      <c r="O28" s="214">
        <f t="shared" si="28"/>
        <v>-73</v>
      </c>
      <c r="P28" s="214">
        <f t="shared" si="28"/>
        <v>-73</v>
      </c>
      <c r="Q28" s="214">
        <f t="shared" si="28"/>
        <v>-73</v>
      </c>
      <c r="R28" s="170">
        <f>SUM(N28:Q28)</f>
        <v>-292</v>
      </c>
    </row>
    <row r="29" spans="1:20" x14ac:dyDescent="0.3">
      <c r="B29" s="314" t="s">
        <v>33</v>
      </c>
      <c r="C29" s="315"/>
      <c r="D29" s="150">
        <f>D24+D28+D27</f>
        <v>1946</v>
      </c>
      <c r="E29" s="151">
        <f t="shared" ref="E29:F29" si="29">E24+E28+E27</f>
        <v>1623</v>
      </c>
      <c r="F29" s="151">
        <f t="shared" si="29"/>
        <v>2487</v>
      </c>
      <c r="G29" s="211">
        <f t="shared" ref="G29:R29" si="30">G24+G28+G27</f>
        <v>1099</v>
      </c>
      <c r="H29" s="150">
        <f t="shared" ref="H29:P29" si="31">H24+H28+H27</f>
        <v>7155</v>
      </c>
      <c r="I29" s="212">
        <f t="shared" si="31"/>
        <v>1741</v>
      </c>
      <c r="J29" s="151">
        <f>J24+J28+J27</f>
        <v>-479</v>
      </c>
      <c r="K29" s="151">
        <f>K24+K28+K27</f>
        <v>2269.5683950000002</v>
      </c>
      <c r="L29" s="211">
        <f t="shared" si="31"/>
        <v>2124.0097722670462</v>
      </c>
      <c r="M29" s="168">
        <f t="shared" si="31"/>
        <v>5655.5781672670428</v>
      </c>
      <c r="N29" s="151">
        <f t="shared" si="31"/>
        <v>1980.022368938</v>
      </c>
      <c r="O29" s="151">
        <f t="shared" si="31"/>
        <v>2079.6114335179573</v>
      </c>
      <c r="P29" s="151">
        <f t="shared" si="31"/>
        <v>2190.5010310456601</v>
      </c>
      <c r="Q29" s="151">
        <f t="shared" si="30"/>
        <v>2237.7106354075495</v>
      </c>
      <c r="R29" s="168">
        <f t="shared" si="30"/>
        <v>8487.8454689091486</v>
      </c>
    </row>
    <row r="30" spans="1:20" ht="16.2" x14ac:dyDescent="0.45">
      <c r="A30" s="63"/>
      <c r="B30" s="320" t="s">
        <v>161</v>
      </c>
      <c r="C30" s="321"/>
      <c r="D30" s="149">
        <v>-610</v>
      </c>
      <c r="E30" s="210">
        <v>-513</v>
      </c>
      <c r="F30" s="210">
        <v>-783</v>
      </c>
      <c r="G30" s="209">
        <v>-73</v>
      </c>
      <c r="H30" s="149">
        <f>SUM(D30:G30)</f>
        <v>-1979</v>
      </c>
      <c r="I30" s="208">
        <v>-522</v>
      </c>
      <c r="J30" s="210">
        <v>245</v>
      </c>
      <c r="K30" s="210">
        <f>-K29*K87</f>
        <v>-526.53986764000012</v>
      </c>
      <c r="L30" s="209">
        <f>-L29*L87</f>
        <v>-494.89427693822176</v>
      </c>
      <c r="M30" s="170">
        <f>SUM(I30:L30)</f>
        <v>-1298.434144578222</v>
      </c>
      <c r="N30" s="210">
        <f>-N29*N87</f>
        <v>-455.40514485574005</v>
      </c>
      <c r="O30" s="210">
        <f>-O29*O87</f>
        <v>-478.31062970913018</v>
      </c>
      <c r="P30" s="210">
        <f>-P29*P87</f>
        <v>-503.81523714050184</v>
      </c>
      <c r="Q30" s="210">
        <f>-Q29*Q87</f>
        <v>-514.67344614373644</v>
      </c>
      <c r="R30" s="170">
        <f>SUM(N30:Q30)</f>
        <v>-1952.2044578491086</v>
      </c>
    </row>
    <row r="31" spans="1:20" x14ac:dyDescent="0.3">
      <c r="A31" s="63"/>
      <c r="B31" s="338" t="s">
        <v>40</v>
      </c>
      <c r="C31" s="339"/>
      <c r="D31" s="212">
        <f t="shared" ref="D31:I31" si="32">D29+D30</f>
        <v>1336</v>
      </c>
      <c r="E31" s="151">
        <f t="shared" si="32"/>
        <v>1110</v>
      </c>
      <c r="F31" s="151">
        <f>F29+F30</f>
        <v>1704</v>
      </c>
      <c r="G31" s="211">
        <f t="shared" si="32"/>
        <v>1026</v>
      </c>
      <c r="H31" s="150">
        <f t="shared" si="32"/>
        <v>5176</v>
      </c>
      <c r="I31" s="212">
        <f t="shared" si="32"/>
        <v>1219</v>
      </c>
      <c r="J31" s="151">
        <f>J29+J30</f>
        <v>-234</v>
      </c>
      <c r="K31" s="151">
        <f t="shared" ref="K31:R31" si="33">K29+K30</f>
        <v>1743.0285273600002</v>
      </c>
      <c r="L31" s="211">
        <f t="shared" si="33"/>
        <v>1629.1154953288244</v>
      </c>
      <c r="M31" s="168">
        <f t="shared" si="33"/>
        <v>4357.1440226888208</v>
      </c>
      <c r="N31" s="151">
        <f t="shared" si="33"/>
        <v>1524.61722408226</v>
      </c>
      <c r="O31" s="151">
        <f t="shared" si="33"/>
        <v>1601.3008038088271</v>
      </c>
      <c r="P31" s="151">
        <f t="shared" si="33"/>
        <v>1686.6857939051583</v>
      </c>
      <c r="Q31" s="151">
        <f t="shared" si="33"/>
        <v>1723.0371892638132</v>
      </c>
      <c r="R31" s="168">
        <f t="shared" si="33"/>
        <v>6535.64101106004</v>
      </c>
    </row>
    <row r="32" spans="1:20" s="48" customFormat="1" ht="16.2" x14ac:dyDescent="0.45">
      <c r="A32" s="87"/>
      <c r="B32" s="222" t="s">
        <v>160</v>
      </c>
      <c r="C32" s="223"/>
      <c r="D32" s="208">
        <f t="shared" ref="D32:G32" si="34">D90</f>
        <v>-39.549999999999997</v>
      </c>
      <c r="E32" s="210">
        <f t="shared" si="34"/>
        <v>-10.5</v>
      </c>
      <c r="F32" s="210">
        <f t="shared" si="34"/>
        <v>-24.719999999999935</v>
      </c>
      <c r="G32" s="209">
        <f t="shared" si="34"/>
        <v>-34.299999999999997</v>
      </c>
      <c r="H32" s="149">
        <f>SUM(D32:G32)</f>
        <v>-109.06999999999992</v>
      </c>
      <c r="I32" s="208">
        <f>I90</f>
        <v>32.9</v>
      </c>
      <c r="J32" s="210">
        <f>J90</f>
        <v>24.15</v>
      </c>
      <c r="K32" s="210">
        <f>K90</f>
        <v>23.799999999999997</v>
      </c>
      <c r="L32" s="209">
        <f>L90</f>
        <v>24.15</v>
      </c>
      <c r="M32" s="170">
        <f>SUM(I32:L32)</f>
        <v>105</v>
      </c>
      <c r="N32" s="210">
        <f t="shared" ref="N32:Q32" si="35">N90</f>
        <v>23.974999999999998</v>
      </c>
      <c r="O32" s="210">
        <f t="shared" si="35"/>
        <v>24.0625</v>
      </c>
      <c r="P32" s="210">
        <f t="shared" si="35"/>
        <v>24.018749999999997</v>
      </c>
      <c r="Q32" s="210">
        <f t="shared" si="35"/>
        <v>24.040624999999999</v>
      </c>
      <c r="R32" s="170">
        <f>SUM(N32:Q32)</f>
        <v>96.096874999999983</v>
      </c>
    </row>
    <row r="33" spans="1:20" s="47" customFormat="1" x14ac:dyDescent="0.3">
      <c r="A33" s="63"/>
      <c r="B33" s="338" t="s">
        <v>159</v>
      </c>
      <c r="C33" s="339"/>
      <c r="D33" s="212">
        <f t="shared" ref="D33:I33" si="36">D26+D27+D28+D30+D32</f>
        <v>1409.45</v>
      </c>
      <c r="E33" s="151">
        <f t="shared" si="36"/>
        <v>1129.5</v>
      </c>
      <c r="F33" s="151">
        <f>F26+F27+F28+F30+F32</f>
        <v>1736.28</v>
      </c>
      <c r="G33" s="211">
        <f t="shared" si="36"/>
        <v>1089.7</v>
      </c>
      <c r="H33" s="150">
        <f t="shared" si="36"/>
        <v>5364.93</v>
      </c>
      <c r="I33" s="212">
        <f t="shared" si="36"/>
        <v>1157.9000000000001</v>
      </c>
      <c r="J33" s="151">
        <f>J26+J27+J28+J30+J32</f>
        <v>-278.85000000000002</v>
      </c>
      <c r="K33" s="151">
        <f t="shared" ref="K33:R33" si="37">K26+K27+K28+K30+K32</f>
        <v>1698.8285273600002</v>
      </c>
      <c r="L33" s="211">
        <f t="shared" si="37"/>
        <v>1584.2654953288245</v>
      </c>
      <c r="M33" s="168">
        <f t="shared" si="37"/>
        <v>4162.1440226888208</v>
      </c>
      <c r="N33" s="151">
        <f t="shared" si="37"/>
        <v>1480.0922240822599</v>
      </c>
      <c r="O33" s="151">
        <f t="shared" si="37"/>
        <v>1556.6133038088271</v>
      </c>
      <c r="P33" s="151">
        <f t="shared" si="37"/>
        <v>1642.0795439051583</v>
      </c>
      <c r="Q33" s="151">
        <f t="shared" si="37"/>
        <v>1678.3903142638133</v>
      </c>
      <c r="R33" s="168">
        <f t="shared" si="37"/>
        <v>6357.1753860600402</v>
      </c>
    </row>
    <row r="34" spans="1:20" x14ac:dyDescent="0.3">
      <c r="B34" s="320" t="s">
        <v>6</v>
      </c>
      <c r="C34" s="321"/>
      <c r="D34" s="142">
        <v>705.7</v>
      </c>
      <c r="E34" s="143">
        <v>691.2</v>
      </c>
      <c r="F34" s="143">
        <v>681.3</v>
      </c>
      <c r="G34" s="144">
        <v>675</v>
      </c>
      <c r="H34" s="142">
        <v>688</v>
      </c>
      <c r="I34" s="145">
        <v>659.6</v>
      </c>
      <c r="J34" s="143">
        <v>636.29999999999995</v>
      </c>
      <c r="K34" s="143">
        <f>J34*(1+K93)-K97</f>
        <v>645.938890811183</v>
      </c>
      <c r="L34" s="144">
        <f>K34*(1+L93)-L97</f>
        <v>651.96110918881664</v>
      </c>
      <c r="M34" s="164">
        <f>AVERAGE(I34:L34)</f>
        <v>648.44999999999993</v>
      </c>
      <c r="N34" s="143">
        <f>L34*(1+N93)-N97</f>
        <v>651.37476088860683</v>
      </c>
      <c r="O34" s="143">
        <f>N34*(1+O93)-O97</f>
        <v>650.78548084689601</v>
      </c>
      <c r="P34" s="143">
        <f>O34*(1+P93)-P97</f>
        <v>650.19325440497664</v>
      </c>
      <c r="Q34" s="143">
        <f>P34*(1+Q93)-Q97</f>
        <v>649.59806683084764</v>
      </c>
      <c r="R34" s="164">
        <f>AVERAGE(N34:Q34)</f>
        <v>650.48789074283184</v>
      </c>
    </row>
    <row r="35" spans="1:20" x14ac:dyDescent="0.3">
      <c r="B35" s="320" t="s">
        <v>7</v>
      </c>
      <c r="C35" s="321"/>
      <c r="D35" s="142">
        <v>714.2</v>
      </c>
      <c r="E35" s="143">
        <v>698.9</v>
      </c>
      <c r="F35" s="143">
        <v>689</v>
      </c>
      <c r="G35" s="144">
        <v>681.2</v>
      </c>
      <c r="H35" s="142">
        <v>696.1</v>
      </c>
      <c r="I35" s="145">
        <v>665.8</v>
      </c>
      <c r="J35" s="143">
        <v>636.29999999999995</v>
      </c>
      <c r="K35" s="143">
        <f>J35*(1+K94)-K97</f>
        <v>645.938890811183</v>
      </c>
      <c r="L35" s="144">
        <f>K35*(1+L94)-L97</f>
        <v>651.96110918881664</v>
      </c>
      <c r="M35" s="306">
        <f>AVERAGE(I35:L35)</f>
        <v>649.99999999999989</v>
      </c>
      <c r="N35" s="143">
        <f>L35*(1+N94)-N97</f>
        <v>651.37476088860683</v>
      </c>
      <c r="O35" s="143">
        <f>N35*(1+O94)-O97</f>
        <v>650.78548084689601</v>
      </c>
      <c r="P35" s="143">
        <f>O35*(1+P94)-P97</f>
        <v>650.19325440497664</v>
      </c>
      <c r="Q35" s="143">
        <f>P35*(1+Q94)-Q97</f>
        <v>649.59806683084764</v>
      </c>
      <c r="R35" s="164">
        <f>AVERAGE(N35:Q35)</f>
        <v>650.48789074283184</v>
      </c>
    </row>
    <row r="36" spans="1:20" s="48" customFormat="1" ht="15.75" customHeight="1" x14ac:dyDescent="0.3">
      <c r="B36" s="320" t="s">
        <v>4</v>
      </c>
      <c r="C36" s="321"/>
      <c r="D36" s="130">
        <f t="shared" ref="D36:R36" si="38">D31/D34</f>
        <v>1.8931557318974066</v>
      </c>
      <c r="E36" s="32">
        <f t="shared" si="38"/>
        <v>1.6059027777777777</v>
      </c>
      <c r="F36" s="32">
        <f t="shared" si="38"/>
        <v>2.5011008366358434</v>
      </c>
      <c r="G36" s="125">
        <f t="shared" si="38"/>
        <v>1.52</v>
      </c>
      <c r="H36" s="130">
        <f t="shared" si="38"/>
        <v>7.5232558139534884</v>
      </c>
      <c r="I36" s="130">
        <f t="shared" si="38"/>
        <v>1.8480897513644632</v>
      </c>
      <c r="J36" s="32">
        <f t="shared" si="38"/>
        <v>-0.36775106082036779</v>
      </c>
      <c r="K36" s="32">
        <f t="shared" si="38"/>
        <v>2.6984418373866141</v>
      </c>
      <c r="L36" s="125">
        <f t="shared" si="38"/>
        <v>2.4987924469234111</v>
      </c>
      <c r="M36" s="33">
        <f t="shared" si="38"/>
        <v>6.7193214938527586</v>
      </c>
      <c r="N36" s="32">
        <f t="shared" si="38"/>
        <v>2.3406145212049267</v>
      </c>
      <c r="O36" s="32">
        <f t="shared" si="38"/>
        <v>2.4605662709699416</v>
      </c>
      <c r="P36" s="32">
        <f t="shared" si="38"/>
        <v>2.5941299490237348</v>
      </c>
      <c r="Q36" s="32">
        <f t="shared" si="38"/>
        <v>2.6524666208904901</v>
      </c>
      <c r="R36" s="33">
        <f t="shared" si="38"/>
        <v>10.047290816738483</v>
      </c>
    </row>
    <row r="37" spans="1:20" s="48" customFormat="1" x14ac:dyDescent="0.3">
      <c r="B37" s="320" t="s">
        <v>5</v>
      </c>
      <c r="C37" s="321"/>
      <c r="D37" s="66">
        <f t="shared" ref="D37:R37" si="39">D31/D35</f>
        <v>1.8706244749369922</v>
      </c>
      <c r="E37" s="229">
        <f t="shared" si="39"/>
        <v>1.5882100443554157</v>
      </c>
      <c r="F37" s="229">
        <f t="shared" si="39"/>
        <v>2.4731494920174164</v>
      </c>
      <c r="G37" s="230">
        <f t="shared" si="39"/>
        <v>1.5061655901350557</v>
      </c>
      <c r="H37" s="66">
        <f t="shared" si="39"/>
        <v>7.4357132595891393</v>
      </c>
      <c r="I37" s="66">
        <f t="shared" si="39"/>
        <v>1.8308801441874438</v>
      </c>
      <c r="J37" s="229">
        <f t="shared" si="39"/>
        <v>-0.36775106082036779</v>
      </c>
      <c r="K37" s="32">
        <f t="shared" si="39"/>
        <v>2.6984418373866141</v>
      </c>
      <c r="L37" s="125">
        <f t="shared" si="39"/>
        <v>2.4987924469234111</v>
      </c>
      <c r="M37" s="357">
        <f t="shared" si="39"/>
        <v>6.7032984964443409</v>
      </c>
      <c r="N37" s="32">
        <f t="shared" si="39"/>
        <v>2.3406145212049267</v>
      </c>
      <c r="O37" s="32">
        <f t="shared" si="39"/>
        <v>2.4605662709699416</v>
      </c>
      <c r="P37" s="32">
        <f t="shared" si="39"/>
        <v>2.5941299490237348</v>
      </c>
      <c r="Q37" s="32">
        <f t="shared" si="39"/>
        <v>2.6524666208904901</v>
      </c>
      <c r="R37" s="33">
        <f t="shared" si="39"/>
        <v>10.047290816738483</v>
      </c>
    </row>
    <row r="38" spans="1:20" s="16" customFormat="1" x14ac:dyDescent="0.3">
      <c r="B38" s="338" t="s">
        <v>8</v>
      </c>
      <c r="C38" s="339"/>
      <c r="D38" s="235">
        <f>D33/D35</f>
        <v>1.9734668160179221</v>
      </c>
      <c r="E38" s="231">
        <f>E33/E35</f>
        <v>1.6161110316211189</v>
      </c>
      <c r="F38" s="231">
        <f>F33/F35</f>
        <v>2.52</v>
      </c>
      <c r="G38" s="232">
        <f>G33/G35</f>
        <v>1.5996770405167351</v>
      </c>
      <c r="H38" s="67">
        <v>7.72</v>
      </c>
      <c r="I38" s="233">
        <f t="shared" ref="I38:R38" si="40">I33/I35</f>
        <v>1.7391108440973269</v>
      </c>
      <c r="J38" s="231">
        <f t="shared" si="40"/>
        <v>-0.43823668081093831</v>
      </c>
      <c r="K38" s="355">
        <f>K33/K35</f>
        <v>2.6300143117665158</v>
      </c>
      <c r="L38" s="356">
        <f t="shared" si="40"/>
        <v>2.4300000000000002</v>
      </c>
      <c r="M38" s="234">
        <f t="shared" si="40"/>
        <v>6.4032984964443411</v>
      </c>
      <c r="N38" s="355">
        <f t="shared" si="40"/>
        <v>2.2722590940783691</v>
      </c>
      <c r="O38" s="355">
        <f t="shared" si="40"/>
        <v>2.3918992503998973</v>
      </c>
      <c r="P38" s="231">
        <f t="shared" si="40"/>
        <v>2.5255253461648182</v>
      </c>
      <c r="Q38" s="231">
        <f t="shared" si="40"/>
        <v>2.5837366210956696</v>
      </c>
      <c r="R38" s="192">
        <f t="shared" si="40"/>
        <v>9.7729342490916995</v>
      </c>
    </row>
    <row r="39" spans="1:20" s="9" customFormat="1" x14ac:dyDescent="0.3">
      <c r="B39" s="30" t="s">
        <v>16</v>
      </c>
      <c r="C39" s="31"/>
      <c r="D39" s="126">
        <v>0.91</v>
      </c>
      <c r="E39" s="127">
        <v>0.91</v>
      </c>
      <c r="F39" s="127">
        <v>0.91</v>
      </c>
      <c r="G39" s="129">
        <v>0.91</v>
      </c>
      <c r="H39" s="126">
        <f>SUM(D39:G39)</f>
        <v>3.64</v>
      </c>
      <c r="I39" s="131">
        <v>1.0900000000000001</v>
      </c>
      <c r="J39" s="127">
        <v>1.0900000000000001</v>
      </c>
      <c r="K39" s="266">
        <f>J39</f>
        <v>1.0900000000000001</v>
      </c>
      <c r="L39" s="267">
        <f>K39</f>
        <v>1.0900000000000001</v>
      </c>
      <c r="M39" s="128">
        <f>SUM(I39:L39)</f>
        <v>4.3600000000000003</v>
      </c>
      <c r="N39" s="226">
        <f>L39</f>
        <v>1.0900000000000001</v>
      </c>
      <c r="O39" s="226">
        <f>N39</f>
        <v>1.0900000000000001</v>
      </c>
      <c r="P39" s="226">
        <f>O39</f>
        <v>1.0900000000000001</v>
      </c>
      <c r="Q39" s="226">
        <f>P39</f>
        <v>1.0900000000000001</v>
      </c>
      <c r="R39" s="128">
        <f>SUM(N39:Q39)</f>
        <v>4.3600000000000003</v>
      </c>
    </row>
    <row r="40" spans="1:20" x14ac:dyDescent="0.3">
      <c r="B40" s="18"/>
      <c r="C40" s="21"/>
      <c r="D40" s="56">
        <f>ROUND((D13-(D62+D44+D66+D71)+(D24-(D47+D63+D68+D72))),0)</f>
        <v>0</v>
      </c>
      <c r="E40" s="56">
        <f>ROUND((E13-(E62+E44+E66+E71)+(E24-(E47+E63+E68+E72))),0)</f>
        <v>0</v>
      </c>
      <c r="F40" s="56">
        <f>ROUND((F13-(F62+F44+F66+F71)+(F24-(F47+F63+F68+F72))),0)</f>
        <v>0</v>
      </c>
      <c r="G40" s="56">
        <f>ROUND((G13-(G62+G44+G66+G71)+(G24-(G47+G63+G68+G72))),0)</f>
        <v>0</v>
      </c>
      <c r="H40" s="56"/>
      <c r="I40" s="56">
        <f>ROUND((I13-(I62+I44+I66+I71)+(I24-(I47+I63+I68+I72))),0)</f>
        <v>0</v>
      </c>
      <c r="J40" s="56">
        <f>ROUND((J13-(J62+J44+J66+J71)+(J24-(J47+J63+J68+J72))),0)</f>
        <v>0</v>
      </c>
      <c r="K40" s="56">
        <f>ROUND((K13-(K62+K44+K66+K71)+(K24-(K47+K63+K68+K72))),0)</f>
        <v>0</v>
      </c>
      <c r="L40" s="56">
        <f>ROUND((L13-(L62+L44+L66+L71)+(L24-(L47+L63+L68+L72))),0)</f>
        <v>0</v>
      </c>
      <c r="M40" s="56"/>
      <c r="N40" s="56">
        <f>ROUND((N13-(N62+N44+N66+N71)+(N24-(N47+N63+N68+N72))),0)</f>
        <v>0</v>
      </c>
      <c r="O40" s="56">
        <f>ROUND((O13-(O62+O44+O66+O71)+(O24-(O47+O63+O68+O72))),0)</f>
        <v>0</v>
      </c>
      <c r="P40" s="56">
        <f>ROUND((P13-(P62+P44+P66+P71)+(P24-(P47+P63+P68+P72))),0)</f>
        <v>0</v>
      </c>
      <c r="Q40" s="56">
        <f>ROUND((Q13-(Q62+Q44+Q66+Q71)+(Q24-(Q47+Q63+Q68+Q72))),0)</f>
        <v>0</v>
      </c>
      <c r="R40" s="56"/>
    </row>
    <row r="41" spans="1:20" ht="15.6" x14ac:dyDescent="0.3">
      <c r="B41" s="336" t="s">
        <v>3</v>
      </c>
      <c r="C41" s="337"/>
      <c r="D41" s="49" t="s">
        <v>141</v>
      </c>
      <c r="E41" s="49" t="s">
        <v>142</v>
      </c>
      <c r="F41" s="49" t="s">
        <v>140</v>
      </c>
      <c r="G41" s="49" t="s">
        <v>143</v>
      </c>
      <c r="H41" s="49" t="s">
        <v>143</v>
      </c>
      <c r="I41" s="49" t="s">
        <v>141</v>
      </c>
      <c r="J41" s="49" t="s">
        <v>142</v>
      </c>
      <c r="K41" s="123" t="s">
        <v>140</v>
      </c>
      <c r="L41" s="51" t="s">
        <v>143</v>
      </c>
      <c r="M41" s="51" t="s">
        <v>143</v>
      </c>
      <c r="N41" s="51" t="s">
        <v>141</v>
      </c>
      <c r="O41" s="51" t="s">
        <v>142</v>
      </c>
      <c r="P41" s="51" t="s">
        <v>140</v>
      </c>
      <c r="Q41" s="51" t="s">
        <v>143</v>
      </c>
      <c r="R41" s="57" t="s">
        <v>143</v>
      </c>
    </row>
    <row r="42" spans="1:20" ht="16.2" x14ac:dyDescent="0.45">
      <c r="B42" s="324" t="s">
        <v>41</v>
      </c>
      <c r="C42" s="325"/>
      <c r="D42" s="50" t="s">
        <v>23</v>
      </c>
      <c r="E42" s="50" t="s">
        <v>24</v>
      </c>
      <c r="F42" s="50" t="s">
        <v>31</v>
      </c>
      <c r="G42" s="50" t="s">
        <v>50</v>
      </c>
      <c r="H42" s="50" t="s">
        <v>51</v>
      </c>
      <c r="I42" s="50" t="s">
        <v>144</v>
      </c>
      <c r="J42" s="50" t="s">
        <v>145</v>
      </c>
      <c r="K42" s="124" t="s">
        <v>25</v>
      </c>
      <c r="L42" s="52" t="s">
        <v>26</v>
      </c>
      <c r="M42" s="52" t="s">
        <v>12</v>
      </c>
      <c r="N42" s="52" t="s">
        <v>27</v>
      </c>
      <c r="O42" s="52" t="s">
        <v>28</v>
      </c>
      <c r="P42" s="52" t="s">
        <v>29</v>
      </c>
      <c r="Q42" s="52" t="s">
        <v>30</v>
      </c>
      <c r="R42" s="58" t="s">
        <v>13</v>
      </c>
    </row>
    <row r="43" spans="1:20" s="63" customFormat="1" ht="14.55" customHeight="1" x14ac:dyDescent="0.3">
      <c r="B43" s="340" t="s">
        <v>165</v>
      </c>
      <c r="C43" s="341"/>
      <c r="D43" s="37"/>
      <c r="E43" s="37"/>
      <c r="F43" s="37"/>
      <c r="G43" s="37"/>
      <c r="H43" s="28"/>
      <c r="I43" s="37"/>
      <c r="J43" s="37"/>
      <c r="K43" s="36"/>
      <c r="L43" s="36"/>
      <c r="M43" s="28"/>
      <c r="N43" s="36"/>
      <c r="O43" s="36"/>
      <c r="P43" s="36"/>
      <c r="Q43" s="36"/>
      <c r="R43" s="28"/>
      <c r="T43" s="204"/>
    </row>
    <row r="44" spans="1:20" s="63" customFormat="1" ht="14.55" hidden="1" customHeight="1" outlineLevel="1" x14ac:dyDescent="0.3">
      <c r="B44" s="320" t="s">
        <v>164</v>
      </c>
      <c r="C44" s="321"/>
      <c r="D44" s="37">
        <v>15381</v>
      </c>
      <c r="E44" s="37">
        <v>16877</v>
      </c>
      <c r="F44" s="37">
        <v>17692</v>
      </c>
      <c r="G44" s="37">
        <v>16098</v>
      </c>
      <c r="H44" s="28">
        <f>SUM(D44:G44)</f>
        <v>66048</v>
      </c>
      <c r="I44" s="37">
        <v>14399</v>
      </c>
      <c r="J44" s="37">
        <v>17456</v>
      </c>
      <c r="K44" s="36">
        <f>K45*K46</f>
        <v>16526.800000000003</v>
      </c>
      <c r="L44" s="36">
        <f>L45*L46</f>
        <v>16240.370475000005</v>
      </c>
      <c r="M44" s="302">
        <f>SUM(I44:L44)</f>
        <v>64622.170475000006</v>
      </c>
      <c r="N44" s="36">
        <f t="shared" ref="N44:Q44" si="41">N45*N46</f>
        <v>15962.306404125005</v>
      </c>
      <c r="O44" s="36">
        <f t="shared" si="41"/>
        <v>16569.271585169379</v>
      </c>
      <c r="P44" s="36">
        <f t="shared" si="41"/>
        <v>18000</v>
      </c>
      <c r="Q44" s="36">
        <f t="shared" si="41"/>
        <v>18450</v>
      </c>
      <c r="R44" s="28">
        <f>SUM(N44:Q44)</f>
        <v>68981.577989294383</v>
      </c>
      <c r="T44" s="204"/>
    </row>
    <row r="45" spans="1:20" s="63" customFormat="1" ht="14.55" hidden="1" customHeight="1" outlineLevel="1" x14ac:dyDescent="0.45">
      <c r="B45" s="222" t="s">
        <v>166</v>
      </c>
      <c r="C45" s="223"/>
      <c r="D45" s="241">
        <v>184</v>
      </c>
      <c r="E45" s="241">
        <v>197</v>
      </c>
      <c r="F45" s="241">
        <v>199</v>
      </c>
      <c r="G45" s="241">
        <v>182</v>
      </c>
      <c r="H45" s="242">
        <f>SUM(D45:G45)</f>
        <v>762</v>
      </c>
      <c r="I45" s="241">
        <v>176</v>
      </c>
      <c r="J45" s="241">
        <v>199</v>
      </c>
      <c r="K45" s="243">
        <v>183</v>
      </c>
      <c r="L45" s="243">
        <v>184</v>
      </c>
      <c r="M45" s="300">
        <f>SUM(I45:L45)</f>
        <v>742</v>
      </c>
      <c r="N45" s="243">
        <v>180</v>
      </c>
      <c r="O45" s="243">
        <v>185</v>
      </c>
      <c r="P45" s="243">
        <v>200</v>
      </c>
      <c r="Q45" s="243">
        <v>205</v>
      </c>
      <c r="R45" s="242">
        <f>SUM(N45:Q45)</f>
        <v>770</v>
      </c>
      <c r="T45" s="204"/>
    </row>
    <row r="46" spans="1:20" s="63" customFormat="1" ht="14.55" hidden="1" customHeight="1" outlineLevel="1" x14ac:dyDescent="0.3">
      <c r="B46" s="320" t="s">
        <v>169</v>
      </c>
      <c r="C46" s="321"/>
      <c r="D46" s="37">
        <f t="shared" ref="D46:I46" si="42">D44/D45</f>
        <v>83.592391304347828</v>
      </c>
      <c r="E46" s="37">
        <f t="shared" si="42"/>
        <v>85.670050761421322</v>
      </c>
      <c r="F46" s="37">
        <f t="shared" si="42"/>
        <v>88.904522613065325</v>
      </c>
      <c r="G46" s="37">
        <f t="shared" si="42"/>
        <v>88.450549450549445</v>
      </c>
      <c r="H46" s="28">
        <f t="shared" si="42"/>
        <v>86.677165354330711</v>
      </c>
      <c r="I46" s="37">
        <f t="shared" si="42"/>
        <v>81.8125</v>
      </c>
      <c r="J46" s="37">
        <f>J44/J45</f>
        <v>87.718592964824126</v>
      </c>
      <c r="K46" s="191">
        <v>90.310382513661224</v>
      </c>
      <c r="L46" s="191">
        <v>88.262883016304372</v>
      </c>
      <c r="M46" s="28">
        <f t="shared" ref="M46" si="43">M44/M45</f>
        <v>87.091873955525614</v>
      </c>
      <c r="N46" s="191">
        <v>88.679480022916692</v>
      </c>
      <c r="O46" s="191">
        <v>89.563630190104746</v>
      </c>
      <c r="P46" s="191">
        <v>90</v>
      </c>
      <c r="Q46" s="191">
        <v>90</v>
      </c>
      <c r="R46" s="28">
        <f t="shared" ref="R46" si="44">R44/R45</f>
        <v>89.586464921161536</v>
      </c>
      <c r="T46" s="204"/>
    </row>
    <row r="47" spans="1:20" s="63" customFormat="1" ht="14.55" hidden="1" customHeight="1" outlineLevel="1" x14ac:dyDescent="0.3">
      <c r="B47" s="222" t="s">
        <v>167</v>
      </c>
      <c r="C47" s="223"/>
      <c r="D47" s="37">
        <v>1617</v>
      </c>
      <c r="E47" s="37">
        <v>1206</v>
      </c>
      <c r="F47" s="37">
        <v>1768</v>
      </c>
      <c r="G47" s="37">
        <v>566</v>
      </c>
      <c r="H47" s="28">
        <f>SUM(D47:G47)</f>
        <v>5157</v>
      </c>
      <c r="I47" s="37">
        <v>1033</v>
      </c>
      <c r="J47" s="37">
        <v>-973</v>
      </c>
      <c r="K47" s="36">
        <f>K44*K48</f>
        <v>1586.5728000000004</v>
      </c>
      <c r="L47" s="36">
        <f>L44*L48</f>
        <v>1451.5970245170465</v>
      </c>
      <c r="M47" s="28">
        <f>SUM(I47:L47)</f>
        <v>3098.1698245170469</v>
      </c>
      <c r="N47" s="36">
        <f t="shared" ref="N47:Q47" si="45">N44*N48</f>
        <v>1404.6829635630004</v>
      </c>
      <c r="O47" s="36">
        <f t="shared" si="45"/>
        <v>1524.3729858355828</v>
      </c>
      <c r="P47" s="36">
        <f t="shared" si="45"/>
        <v>1656</v>
      </c>
      <c r="Q47" s="36">
        <f t="shared" si="45"/>
        <v>1697.3999999999999</v>
      </c>
      <c r="R47" s="28">
        <f>SUM(N47:Q47)</f>
        <v>6282.4559493985826</v>
      </c>
      <c r="T47" s="204"/>
    </row>
    <row r="48" spans="1:20" s="63" customFormat="1" ht="14.55" hidden="1" customHeight="1" outlineLevel="1" x14ac:dyDescent="0.3">
      <c r="B48" s="247" t="s">
        <v>168</v>
      </c>
      <c r="C48" s="248"/>
      <c r="D48" s="45">
        <f t="shared" ref="D48:I48" si="46">D47/D44</f>
        <v>0.10512970548078798</v>
      </c>
      <c r="E48" s="45">
        <f t="shared" si="46"/>
        <v>7.1458197546957397E-2</v>
      </c>
      <c r="F48" s="45">
        <f t="shared" si="46"/>
        <v>9.9932172733438837E-2</v>
      </c>
      <c r="G48" s="45">
        <f t="shared" si="46"/>
        <v>3.5159647161138029E-2</v>
      </c>
      <c r="H48" s="72">
        <f t="shared" si="46"/>
        <v>7.8079578488372089E-2</v>
      </c>
      <c r="I48" s="45">
        <f t="shared" si="46"/>
        <v>7.1741093131467468E-2</v>
      </c>
      <c r="J48" s="45">
        <f>J47/J44</f>
        <v>-5.574014665444546E-2</v>
      </c>
      <c r="K48" s="249">
        <v>9.6000000000000002E-2</v>
      </c>
      <c r="L48" s="249">
        <v>8.938201420660917E-2</v>
      </c>
      <c r="M48" s="301">
        <f t="shared" ref="M48" si="47">M47/M44</f>
        <v>4.7942831411328365E-2</v>
      </c>
      <c r="N48" s="249">
        <v>8.7999999999999995E-2</v>
      </c>
      <c r="O48" s="249">
        <v>9.1999999999999998E-2</v>
      </c>
      <c r="P48" s="249">
        <v>9.1999999999999998E-2</v>
      </c>
      <c r="Q48" s="249">
        <v>9.1999999999999998E-2</v>
      </c>
      <c r="R48" s="72">
        <f t="shared" ref="R48" si="48">R47/R44</f>
        <v>9.1074401782655509E-2</v>
      </c>
      <c r="T48" s="204"/>
    </row>
    <row r="49" spans="2:20" s="63" customFormat="1" ht="14.55" customHeight="1" collapsed="1" x14ac:dyDescent="0.3">
      <c r="B49" s="340" t="s">
        <v>170</v>
      </c>
      <c r="C49" s="341"/>
      <c r="D49" s="37"/>
      <c r="E49" s="37"/>
      <c r="F49" s="37"/>
      <c r="G49" s="37"/>
      <c r="H49" s="28"/>
      <c r="I49" s="37"/>
      <c r="J49" s="37"/>
      <c r="K49" s="36"/>
      <c r="L49" s="36"/>
      <c r="M49" s="28"/>
      <c r="N49" s="36"/>
      <c r="O49" s="36"/>
      <c r="P49" s="36"/>
      <c r="Q49" s="36"/>
      <c r="R49" s="28"/>
      <c r="T49" s="204"/>
    </row>
    <row r="50" spans="2:20" s="63" customFormat="1" ht="14.55" hidden="1" customHeight="1" outlineLevel="1" x14ac:dyDescent="0.3">
      <c r="B50" s="119" t="s">
        <v>175</v>
      </c>
      <c r="C50" s="84"/>
      <c r="D50" s="37">
        <v>2726</v>
      </c>
      <c r="E50" s="37">
        <v>3474</v>
      </c>
      <c r="F50" s="37">
        <v>4051</v>
      </c>
      <c r="G50" s="138">
        <v>3199</v>
      </c>
      <c r="H50" s="28">
        <v>13482</v>
      </c>
      <c r="I50" s="37">
        <v>3659</v>
      </c>
      <c r="J50" s="37">
        <f>2979</f>
        <v>2979</v>
      </c>
      <c r="K50" s="37">
        <f>J50*(1+K51)</f>
        <v>2874.7350000000001</v>
      </c>
      <c r="L50" s="37">
        <f>K50*(1+L51)</f>
        <v>2787.2650000000003</v>
      </c>
      <c r="M50" s="302">
        <f>SUM(I50:L50)</f>
        <v>12300</v>
      </c>
      <c r="N50" s="37">
        <f>L50*(1+N51)</f>
        <v>2703.64705</v>
      </c>
      <c r="O50" s="37">
        <f>N50*(1+O51)</f>
        <v>2622.5376385</v>
      </c>
      <c r="P50" s="37">
        <f>O50*(1+P51)</f>
        <v>2543.8615093449998</v>
      </c>
      <c r="Q50" s="37">
        <f>P50*(1+Q51)</f>
        <v>2467.5456640646498</v>
      </c>
      <c r="R50" s="28">
        <f>SUM(N50:Q50)</f>
        <v>10337.591861909648</v>
      </c>
      <c r="T50" s="200"/>
    </row>
    <row r="51" spans="2:20" s="63" customFormat="1" ht="14.55" hidden="1" customHeight="1" outlineLevel="1" x14ac:dyDescent="0.3">
      <c r="B51" s="180" t="s">
        <v>171</v>
      </c>
      <c r="C51" s="181"/>
      <c r="D51" s="37"/>
      <c r="E51" s="244">
        <f>(E50/D50)-1</f>
        <v>0.27439471753484956</v>
      </c>
      <c r="F51" s="244">
        <f t="shared" ref="F51:G51" si="49">(F50/E50)-1</f>
        <v>0.16609096142774904</v>
      </c>
      <c r="G51" s="245">
        <f t="shared" si="49"/>
        <v>-0.21031843989138488</v>
      </c>
      <c r="H51" s="246"/>
      <c r="I51" s="244">
        <f>(I50/G50)-1</f>
        <v>0.14379493591747416</v>
      </c>
      <c r="J51" s="244">
        <f>(J50/I50)-1</f>
        <v>-0.18584312653730528</v>
      </c>
      <c r="K51" s="254">
        <v>-3.5000000000000003E-2</v>
      </c>
      <c r="L51" s="254">
        <v>-3.0427152415787903E-2</v>
      </c>
      <c r="M51" s="246"/>
      <c r="N51" s="308">
        <v>-0.03</v>
      </c>
      <c r="O51" s="254">
        <v>-0.03</v>
      </c>
      <c r="P51" s="254">
        <v>-0.03</v>
      </c>
      <c r="Q51" s="254">
        <v>-0.03</v>
      </c>
      <c r="R51" s="246"/>
      <c r="T51" s="200"/>
    </row>
    <row r="52" spans="2:20" s="63" customFormat="1" ht="14.55" hidden="1" customHeight="1" outlineLevel="1" x14ac:dyDescent="0.3">
      <c r="B52" s="222" t="s">
        <v>174</v>
      </c>
      <c r="C52" s="223"/>
      <c r="D52" s="37">
        <v>259</v>
      </c>
      <c r="E52" s="37">
        <v>121</v>
      </c>
      <c r="F52" s="37">
        <v>496</v>
      </c>
      <c r="G52" s="138">
        <v>438</v>
      </c>
      <c r="H52" s="28">
        <v>1318</v>
      </c>
      <c r="I52" s="37">
        <v>334</v>
      </c>
      <c r="J52" s="37">
        <v>175</v>
      </c>
      <c r="K52" s="37">
        <f>K50*K53</f>
        <v>336.34399500000001</v>
      </c>
      <c r="L52" s="37">
        <f>L50*L53</f>
        <v>328.89727000000005</v>
      </c>
      <c r="M52" s="28">
        <f>SUM(I52:L52)</f>
        <v>1174.2412650000001</v>
      </c>
      <c r="N52" s="37">
        <f t="shared" ref="N52:Q52" si="50">N50*N53</f>
        <v>256.84646974999998</v>
      </c>
      <c r="O52" s="37">
        <f t="shared" si="50"/>
        <v>249.14107565750001</v>
      </c>
      <c r="P52" s="37">
        <f t="shared" si="50"/>
        <v>241.66684338777497</v>
      </c>
      <c r="Q52" s="37">
        <f t="shared" si="50"/>
        <v>234.41683808614172</v>
      </c>
      <c r="R52" s="28">
        <f>SUM(N52:Q52)</f>
        <v>982.07122688141669</v>
      </c>
      <c r="T52" s="200"/>
    </row>
    <row r="53" spans="2:20" s="63" customFormat="1" ht="14.55" hidden="1" customHeight="1" outlineLevel="1" x14ac:dyDescent="0.3">
      <c r="B53" s="247" t="s">
        <v>178</v>
      </c>
      <c r="C53" s="248"/>
      <c r="D53" s="45">
        <f>D52/D50</f>
        <v>9.5011005135730006E-2</v>
      </c>
      <c r="E53" s="250">
        <f t="shared" ref="E53:J53" si="51">E52/E50</f>
        <v>3.4830166954519286E-2</v>
      </c>
      <c r="F53" s="250">
        <f t="shared" si="51"/>
        <v>0.12243890397432733</v>
      </c>
      <c r="G53" s="251">
        <f t="shared" si="51"/>
        <v>0.13691778680837763</v>
      </c>
      <c r="H53" s="252">
        <f t="shared" si="51"/>
        <v>9.7759976264649162E-2</v>
      </c>
      <c r="I53" s="250">
        <f t="shared" si="51"/>
        <v>9.1281770975676413E-2</v>
      </c>
      <c r="J53" s="250">
        <f t="shared" si="51"/>
        <v>5.8744545149378984E-2</v>
      </c>
      <c r="K53" s="253">
        <v>0.11700000000000001</v>
      </c>
      <c r="L53" s="253">
        <v>0.11799999999999999</v>
      </c>
      <c r="M53" s="303">
        <f>M52/M50</f>
        <v>9.5466769512195127E-2</v>
      </c>
      <c r="N53" s="253">
        <v>9.5000000000000001E-2</v>
      </c>
      <c r="O53" s="253">
        <v>9.5000000000000001E-2</v>
      </c>
      <c r="P53" s="253">
        <v>9.5000000000000001E-2</v>
      </c>
      <c r="Q53" s="253">
        <v>9.5000000000000001E-2</v>
      </c>
      <c r="R53" s="252">
        <f>R52/R50</f>
        <v>9.5000000000000015E-2</v>
      </c>
      <c r="T53" s="200"/>
    </row>
    <row r="54" spans="2:20" s="63" customFormat="1" ht="14.55" hidden="1" customHeight="1" outlineLevel="1" x14ac:dyDescent="0.3">
      <c r="B54" s="222" t="s">
        <v>180</v>
      </c>
      <c r="C54" s="223"/>
      <c r="D54" s="37">
        <v>1732</v>
      </c>
      <c r="E54" s="37">
        <v>1938</v>
      </c>
      <c r="F54" s="37">
        <v>2127</v>
      </c>
      <c r="G54" s="138">
        <v>1954</v>
      </c>
      <c r="H54" s="28">
        <f>SUM(D54:G54)</f>
        <v>7751</v>
      </c>
      <c r="I54" s="37">
        <v>1735</v>
      </c>
      <c r="J54" s="37">
        <v>1810</v>
      </c>
      <c r="K54" s="37">
        <f>J54*(1+K55)</f>
        <v>1855.2499999999998</v>
      </c>
      <c r="L54" s="37">
        <f>K54*(1+L55)</f>
        <v>1899.749999999997</v>
      </c>
      <c r="M54" s="302">
        <f>SUM(I54:L54)</f>
        <v>7299.9999999999973</v>
      </c>
      <c r="N54" s="37">
        <f>L54*(1+N55)</f>
        <v>1880.7524999999971</v>
      </c>
      <c r="O54" s="37">
        <f>N54*(1+O55)</f>
        <v>1861.9449749999972</v>
      </c>
      <c r="P54" s="37">
        <f>O54*(1+P55)</f>
        <v>1843.3255252499971</v>
      </c>
      <c r="Q54" s="37">
        <f>P54*(1+Q55)</f>
        <v>1824.8922699974971</v>
      </c>
      <c r="R54" s="28">
        <f>SUM(N54:Q54)</f>
        <v>7410.9152702474894</v>
      </c>
      <c r="T54" s="200"/>
    </row>
    <row r="55" spans="2:20" s="63" customFormat="1" ht="14.55" hidden="1" customHeight="1" outlineLevel="1" x14ac:dyDescent="0.3">
      <c r="B55" s="222" t="s">
        <v>172</v>
      </c>
      <c r="C55" s="223"/>
      <c r="D55" s="37"/>
      <c r="E55" s="244">
        <f>(E54/D54)-1</f>
        <v>0.11893764434180132</v>
      </c>
      <c r="F55" s="244">
        <f t="shared" ref="F55" si="52">(F54/E54)-1</f>
        <v>9.7523219814241502E-2</v>
      </c>
      <c r="G55" s="245">
        <f t="shared" ref="G55" si="53">(G54/F54)-1</f>
        <v>-8.1335213916314042E-2</v>
      </c>
      <c r="H55" s="246"/>
      <c r="I55" s="244">
        <f>(I54/G54)-1</f>
        <v>-0.11207778915046063</v>
      </c>
      <c r="J55" s="244">
        <f>(J54/I54)-1</f>
        <v>4.3227665706051965E-2</v>
      </c>
      <c r="K55" s="254">
        <v>2.5000000000000001E-2</v>
      </c>
      <c r="L55" s="254">
        <v>2.3985985716209347E-2</v>
      </c>
      <c r="M55" s="246"/>
      <c r="N55" s="254">
        <v>-0.01</v>
      </c>
      <c r="O55" s="254">
        <v>-0.01</v>
      </c>
      <c r="P55" s="254">
        <v>-0.01</v>
      </c>
      <c r="Q55" s="254">
        <v>-0.01</v>
      </c>
      <c r="R55" s="246"/>
      <c r="T55" s="200"/>
    </row>
    <row r="56" spans="2:20" s="63" customFormat="1" ht="14.55" hidden="1" customHeight="1" outlineLevel="1" x14ac:dyDescent="0.3">
      <c r="B56" s="222" t="s">
        <v>176</v>
      </c>
      <c r="C56" s="223"/>
      <c r="D56" s="37">
        <v>167</v>
      </c>
      <c r="E56" s="37">
        <v>151</v>
      </c>
      <c r="F56" s="37">
        <v>245</v>
      </c>
      <c r="G56" s="138">
        <v>163</v>
      </c>
      <c r="H56" s="28">
        <f>SUM(D56:G56)</f>
        <v>726</v>
      </c>
      <c r="I56" s="37">
        <v>148</v>
      </c>
      <c r="J56" s="37">
        <v>153</v>
      </c>
      <c r="K56" s="37">
        <f>K54*K57</f>
        <v>176.24874999999997</v>
      </c>
      <c r="L56" s="37">
        <f>L54*L57</f>
        <v>182.37599999999972</v>
      </c>
      <c r="M56" s="28">
        <f>SUM(I56:L56)</f>
        <v>659.62474999999972</v>
      </c>
      <c r="N56" s="37">
        <f t="shared" ref="N56" si="54">N54*N57</f>
        <v>169.26772499999973</v>
      </c>
      <c r="O56" s="37">
        <f t="shared" ref="O56" si="55">O54*O57</f>
        <v>167.57504774999973</v>
      </c>
      <c r="P56" s="37">
        <f t="shared" ref="P56" si="56">P54*P57</f>
        <v>165.89929727249972</v>
      </c>
      <c r="Q56" s="37">
        <f t="shared" ref="Q56" si="57">Q54*Q57</f>
        <v>164.24030429977475</v>
      </c>
      <c r="R56" s="28">
        <f>SUM(N56:Q56)</f>
        <v>666.98237432227393</v>
      </c>
      <c r="T56" s="200"/>
    </row>
    <row r="57" spans="2:20" s="63" customFormat="1" ht="14.55" hidden="1" customHeight="1" outlineLevel="1" x14ac:dyDescent="0.3">
      <c r="B57" s="247" t="s">
        <v>177</v>
      </c>
      <c r="C57" s="248"/>
      <c r="D57" s="45">
        <f>D56/D54</f>
        <v>9.6420323325635104E-2</v>
      </c>
      <c r="E57" s="250">
        <f t="shared" ref="E57" si="58">E56/E54</f>
        <v>7.7915376676986586E-2</v>
      </c>
      <c r="F57" s="250">
        <f t="shared" ref="F57" si="59">F56/F54</f>
        <v>0.1151857075693465</v>
      </c>
      <c r="G57" s="251">
        <f t="shared" ref="G57" si="60">G56/G54</f>
        <v>8.3418628454452401E-2</v>
      </c>
      <c r="H57" s="252">
        <f t="shared" ref="H57" si="61">H56/H54</f>
        <v>9.3665333505354151E-2</v>
      </c>
      <c r="I57" s="250">
        <f t="shared" ref="I57" si="62">I56/I54</f>
        <v>8.5302593659942361E-2</v>
      </c>
      <c r="J57" s="250">
        <f t="shared" ref="J57" si="63">J56/J54</f>
        <v>8.453038674033149E-2</v>
      </c>
      <c r="K57" s="253">
        <v>9.5000000000000001E-2</v>
      </c>
      <c r="L57" s="253">
        <v>9.6000000000000002E-2</v>
      </c>
      <c r="M57" s="303">
        <f>M56/M54</f>
        <v>9.0359554794520541E-2</v>
      </c>
      <c r="N57" s="253">
        <v>0.09</v>
      </c>
      <c r="O57" s="253">
        <v>0.09</v>
      </c>
      <c r="P57" s="253">
        <v>0.09</v>
      </c>
      <c r="Q57" s="253">
        <v>0.09</v>
      </c>
      <c r="R57" s="252">
        <f>R56/R54</f>
        <v>8.9999999999999983E-2</v>
      </c>
      <c r="T57" s="200"/>
    </row>
    <row r="58" spans="2:20" s="63" customFormat="1" ht="14.55" hidden="1" customHeight="1" outlineLevel="1" x14ac:dyDescent="0.3">
      <c r="B58" s="222" t="s">
        <v>179</v>
      </c>
      <c r="C58" s="223"/>
      <c r="D58" s="37">
        <v>2251</v>
      </c>
      <c r="E58" s="37">
        <v>2132</v>
      </c>
      <c r="F58" s="37">
        <v>2172</v>
      </c>
      <c r="G58" s="138">
        <v>2632</v>
      </c>
      <c r="H58" s="28">
        <v>9155</v>
      </c>
      <c r="I58" s="37">
        <v>2562</v>
      </c>
      <c r="J58" s="37">
        <v>2385</v>
      </c>
      <c r="K58" s="37">
        <f>J58*(1+K59)</f>
        <v>2277.6749999999997</v>
      </c>
      <c r="L58" s="37">
        <f>K58*(1+L59)</f>
        <v>2175.1796249999998</v>
      </c>
      <c r="M58" s="302">
        <f>SUM(I58:L58)</f>
        <v>9399.8546249999999</v>
      </c>
      <c r="N58" s="37">
        <f>L58*(1+N59)</f>
        <v>2077.2965418749995</v>
      </c>
      <c r="O58" s="37">
        <f>N58*(1+O59)</f>
        <v>1983.8181974906245</v>
      </c>
      <c r="P58" s="37">
        <f>O58*(1+P59)</f>
        <v>1894.5463786035464</v>
      </c>
      <c r="Q58" s="37">
        <f>P58*(1+Q59)</f>
        <v>1809.2917915663868</v>
      </c>
      <c r="R58" s="28">
        <f>SUM(N58:Q58)</f>
        <v>7764.9529095355565</v>
      </c>
      <c r="T58" s="200"/>
    </row>
    <row r="59" spans="2:20" s="63" customFormat="1" ht="14.55" hidden="1" customHeight="1" outlineLevel="1" x14ac:dyDescent="0.3">
      <c r="B59" s="222" t="s">
        <v>173</v>
      </c>
      <c r="C59" s="223"/>
      <c r="D59" s="37"/>
      <c r="E59" s="244">
        <f>(E58/D58)-1</f>
        <v>-5.2865393158596174E-2</v>
      </c>
      <c r="F59" s="244">
        <f t="shared" ref="F59" si="64">(F58/E58)-1</f>
        <v>1.8761726078799335E-2</v>
      </c>
      <c r="G59" s="245">
        <f t="shared" ref="G59" si="65">(G58/F58)-1</f>
        <v>0.2117863720073665</v>
      </c>
      <c r="H59" s="246"/>
      <c r="I59" s="244">
        <f>(I58/G58)-1</f>
        <v>-2.6595744680851019E-2</v>
      </c>
      <c r="J59" s="244">
        <f>(J58/I58)-1</f>
        <v>-6.9086651053864134E-2</v>
      </c>
      <c r="K59" s="254">
        <v>-4.4999999999999998E-2</v>
      </c>
      <c r="L59" s="254">
        <v>-4.4999999999999998E-2</v>
      </c>
      <c r="M59" s="246"/>
      <c r="N59" s="254">
        <v>-4.4999999999999998E-2</v>
      </c>
      <c r="O59" s="254">
        <v>-4.4999999999999998E-2</v>
      </c>
      <c r="P59" s="254">
        <v>-4.4999999999999998E-2</v>
      </c>
      <c r="Q59" s="254">
        <v>-4.4999999999999998E-2</v>
      </c>
      <c r="R59" s="246"/>
      <c r="T59" s="200"/>
    </row>
    <row r="60" spans="2:20" s="63" customFormat="1" ht="14.55" hidden="1" customHeight="1" outlineLevel="1" x14ac:dyDescent="0.3">
      <c r="B60" s="222" t="s">
        <v>181</v>
      </c>
      <c r="C60" s="223"/>
      <c r="D60" s="37">
        <v>317</v>
      </c>
      <c r="E60" s="37">
        <v>274</v>
      </c>
      <c r="F60" s="37">
        <v>281</v>
      </c>
      <c r="G60" s="138">
        <v>362</v>
      </c>
      <c r="H60" s="28">
        <v>1230</v>
      </c>
      <c r="I60" s="37">
        <v>340</v>
      </c>
      <c r="J60" s="37">
        <v>265</v>
      </c>
      <c r="K60" s="37">
        <f>K58*K61</f>
        <v>268.76564999999994</v>
      </c>
      <c r="L60" s="37">
        <f>L58*L61</f>
        <v>256.67119574999998</v>
      </c>
      <c r="M60" s="28">
        <f>SUM(I60:L60)</f>
        <v>1130.43684575</v>
      </c>
      <c r="N60" s="37">
        <f t="shared" ref="N60" si="66">N58*N61</f>
        <v>249.27558502499994</v>
      </c>
      <c r="O60" s="37">
        <f t="shared" ref="O60" si="67">O58*O61</f>
        <v>238.05818369887493</v>
      </c>
      <c r="P60" s="37">
        <f t="shared" ref="P60" si="68">P58*P61</f>
        <v>227.34556543242556</v>
      </c>
      <c r="Q60" s="37">
        <f t="shared" ref="Q60" si="69">Q58*Q61</f>
        <v>217.11501498796642</v>
      </c>
      <c r="R60" s="28">
        <f>SUM(N60:Q60)</f>
        <v>931.7943491442669</v>
      </c>
      <c r="T60" s="200"/>
    </row>
    <row r="61" spans="2:20" s="63" customFormat="1" ht="14.55" hidden="1" customHeight="1" outlineLevel="1" x14ac:dyDescent="0.3">
      <c r="B61" s="247" t="s">
        <v>182</v>
      </c>
      <c r="C61" s="248"/>
      <c r="D61" s="45">
        <f>D60/D58</f>
        <v>0.1408262994224789</v>
      </c>
      <c r="E61" s="250">
        <f t="shared" ref="E61" si="70">E60/E58</f>
        <v>0.12851782363977485</v>
      </c>
      <c r="F61" s="250">
        <f t="shared" ref="F61" si="71">F60/F58</f>
        <v>0.12937384898710866</v>
      </c>
      <c r="G61" s="251">
        <f t="shared" ref="G61" si="72">G60/G58</f>
        <v>0.13753799392097266</v>
      </c>
      <c r="H61" s="252">
        <f t="shared" ref="H61" si="73">H60/H58</f>
        <v>0.13435281267067176</v>
      </c>
      <c r="I61" s="250">
        <f t="shared" ref="I61" si="74">I60/I58</f>
        <v>0.13270882123341141</v>
      </c>
      <c r="J61" s="250">
        <f t="shared" ref="J61" si="75">J60/J58</f>
        <v>0.1111111111111111</v>
      </c>
      <c r="K61" s="253">
        <v>0.11799999999999999</v>
      </c>
      <c r="L61" s="253">
        <v>0.11799999999999999</v>
      </c>
      <c r="M61" s="303">
        <f>M60/M58</f>
        <v>0.12026109879864233</v>
      </c>
      <c r="N61" s="253">
        <v>0.12</v>
      </c>
      <c r="O61" s="253">
        <v>0.12</v>
      </c>
      <c r="P61" s="253">
        <v>0.12</v>
      </c>
      <c r="Q61" s="253">
        <v>0.12</v>
      </c>
      <c r="R61" s="252">
        <f>R60/R58</f>
        <v>0.12000000000000001</v>
      </c>
      <c r="T61" s="200"/>
    </row>
    <row r="62" spans="2:20" s="63" customFormat="1" ht="14.55" hidden="1" customHeight="1" outlineLevel="1" x14ac:dyDescent="0.3">
      <c r="B62" s="255" t="s">
        <v>183</v>
      </c>
      <c r="C62" s="256"/>
      <c r="D62" s="257">
        <f>D50+D54+D58</f>
        <v>6709</v>
      </c>
      <c r="E62" s="257">
        <f t="shared" ref="E62:R62" si="76">E50+E54+E58</f>
        <v>7544</v>
      </c>
      <c r="F62" s="257">
        <f t="shared" si="76"/>
        <v>8350</v>
      </c>
      <c r="G62" s="258">
        <f t="shared" si="76"/>
        <v>7785</v>
      </c>
      <c r="H62" s="258">
        <f t="shared" si="76"/>
        <v>30388</v>
      </c>
      <c r="I62" s="257">
        <f t="shared" si="76"/>
        <v>7956</v>
      </c>
      <c r="J62" s="257">
        <f t="shared" si="76"/>
        <v>7174</v>
      </c>
      <c r="K62" s="257">
        <f t="shared" si="76"/>
        <v>7007.66</v>
      </c>
      <c r="L62" s="257">
        <f t="shared" si="76"/>
        <v>6862.1946249999974</v>
      </c>
      <c r="M62" s="259">
        <f t="shared" si="76"/>
        <v>28999.854624999996</v>
      </c>
      <c r="N62" s="257">
        <f t="shared" si="76"/>
        <v>6661.6960918749974</v>
      </c>
      <c r="O62" s="257">
        <f t="shared" si="76"/>
        <v>6468.3008109906214</v>
      </c>
      <c r="P62" s="257">
        <f t="shared" si="76"/>
        <v>6281.7334131985435</v>
      </c>
      <c r="Q62" s="257">
        <f t="shared" si="76"/>
        <v>6101.7297256285337</v>
      </c>
      <c r="R62" s="259">
        <f t="shared" si="76"/>
        <v>25513.460041692695</v>
      </c>
    </row>
    <row r="63" spans="2:20" s="63" customFormat="1" ht="14.55" hidden="1" customHeight="1" outlineLevel="1" x14ac:dyDescent="0.3">
      <c r="B63" s="222" t="s">
        <v>184</v>
      </c>
      <c r="C63" s="223"/>
      <c r="D63" s="37">
        <f>+D52+D56+D60</f>
        <v>743</v>
      </c>
      <c r="E63" s="37">
        <f t="shared" ref="E63:R63" si="77">+E52+E56+E60</f>
        <v>546</v>
      </c>
      <c r="F63" s="37">
        <f t="shared" si="77"/>
        <v>1022</v>
      </c>
      <c r="G63" s="138">
        <f t="shared" si="77"/>
        <v>963</v>
      </c>
      <c r="H63" s="138">
        <f t="shared" si="77"/>
        <v>3274</v>
      </c>
      <c r="I63" s="37">
        <f t="shared" si="77"/>
        <v>822</v>
      </c>
      <c r="J63" s="37">
        <f t="shared" si="77"/>
        <v>593</v>
      </c>
      <c r="K63" s="37">
        <f t="shared" si="77"/>
        <v>781.35839499999986</v>
      </c>
      <c r="L63" s="37">
        <f t="shared" si="77"/>
        <v>767.94446574999984</v>
      </c>
      <c r="M63" s="28">
        <f t="shared" si="77"/>
        <v>2964.30286075</v>
      </c>
      <c r="N63" s="37">
        <f t="shared" si="77"/>
        <v>675.38977977499962</v>
      </c>
      <c r="O63" s="37">
        <f t="shared" si="77"/>
        <v>654.77430710637464</v>
      </c>
      <c r="P63" s="37">
        <f t="shared" si="77"/>
        <v>634.91170609270023</v>
      </c>
      <c r="Q63" s="37">
        <f t="shared" si="77"/>
        <v>615.77215737388292</v>
      </c>
      <c r="R63" s="28">
        <f t="shared" si="77"/>
        <v>2580.8479503479575</v>
      </c>
    </row>
    <row r="64" spans="2:20" s="63" customFormat="1" ht="14.55" hidden="1" customHeight="1" outlineLevel="1" x14ac:dyDescent="0.3">
      <c r="B64" s="247" t="s">
        <v>185</v>
      </c>
      <c r="C64" s="248"/>
      <c r="D64" s="45">
        <f>D63/D62</f>
        <v>0.11074675808615293</v>
      </c>
      <c r="E64" s="45">
        <f t="shared" ref="E64:R64" si="78">E63/E62</f>
        <v>7.2375397667020142E-2</v>
      </c>
      <c r="F64" s="45">
        <f t="shared" si="78"/>
        <v>0.12239520958083833</v>
      </c>
      <c r="G64" s="261">
        <f t="shared" si="78"/>
        <v>0.12369942196531791</v>
      </c>
      <c r="H64" s="261">
        <f t="shared" si="78"/>
        <v>0.10773989732789259</v>
      </c>
      <c r="I64" s="45">
        <f t="shared" si="78"/>
        <v>0.1033182503770739</v>
      </c>
      <c r="J64" s="45">
        <f t="shared" si="78"/>
        <v>8.2659604126010588E-2</v>
      </c>
      <c r="K64" s="45">
        <f t="shared" si="78"/>
        <v>0.11150061432774991</v>
      </c>
      <c r="L64" s="45">
        <f t="shared" si="78"/>
        <v>0.11190945575228423</v>
      </c>
      <c r="M64" s="301">
        <f t="shared" si="78"/>
        <v>0.10221785243690684</v>
      </c>
      <c r="N64" s="45">
        <f t="shared" si="78"/>
        <v>0.1013840575223396</v>
      </c>
      <c r="O64" s="45">
        <f t="shared" si="78"/>
        <v>0.10122817819384869</v>
      </c>
      <c r="P64" s="45">
        <f t="shared" si="78"/>
        <v>0.10107269193542787</v>
      </c>
      <c r="Q64" s="45">
        <f t="shared" si="78"/>
        <v>0.10091763894220221</v>
      </c>
      <c r="R64" s="72">
        <f t="shared" si="78"/>
        <v>0.1011563287037696</v>
      </c>
    </row>
    <row r="65" spans="2:20" s="88" customFormat="1" ht="14.55" customHeight="1" collapsed="1" x14ac:dyDescent="0.3">
      <c r="B65" s="340" t="s">
        <v>186</v>
      </c>
      <c r="C65" s="341"/>
      <c r="D65" s="37"/>
      <c r="E65" s="37"/>
      <c r="F65" s="37"/>
      <c r="G65" s="138"/>
      <c r="H65" s="138"/>
      <c r="I65" s="37"/>
      <c r="J65" s="37"/>
      <c r="K65" s="37"/>
      <c r="L65" s="37"/>
      <c r="M65" s="28"/>
      <c r="N65" s="37"/>
      <c r="O65" s="37"/>
      <c r="P65" s="37"/>
      <c r="Q65" s="37"/>
      <c r="R65" s="28"/>
    </row>
    <row r="66" spans="2:20" s="63" customFormat="1" ht="14.55" hidden="1" customHeight="1" outlineLevel="1" x14ac:dyDescent="0.3">
      <c r="B66" s="222" t="s">
        <v>187</v>
      </c>
      <c r="C66" s="223"/>
      <c r="D66" s="37">
        <v>86</v>
      </c>
      <c r="E66" s="37">
        <v>115</v>
      </c>
      <c r="F66" s="37">
        <v>114</v>
      </c>
      <c r="G66" s="138">
        <v>98</v>
      </c>
      <c r="H66" s="28">
        <f>SUM(D66:G66)</f>
        <v>413</v>
      </c>
      <c r="I66" s="37">
        <v>64</v>
      </c>
      <c r="J66" s="37">
        <v>84</v>
      </c>
      <c r="K66" s="37">
        <f>J66*(1+K67)</f>
        <v>78.540000000000006</v>
      </c>
      <c r="L66" s="37">
        <f>K66*(1+L67)</f>
        <v>73.434900000000013</v>
      </c>
      <c r="M66" s="302">
        <f>SUM(I66:L66)</f>
        <v>299.97490000000005</v>
      </c>
      <c r="N66" s="37">
        <f>L66*(1+N67)</f>
        <v>70.497504000000006</v>
      </c>
      <c r="O66" s="37">
        <f>N66*(1+O67)</f>
        <v>67.677603840000003</v>
      </c>
      <c r="P66" s="37">
        <f>O66*(1+P67)</f>
        <v>64.970499686400004</v>
      </c>
      <c r="Q66" s="37">
        <f>P66*(1+Q67)</f>
        <v>67.569319673856</v>
      </c>
      <c r="R66" s="28">
        <f>SUM(N66:Q66)</f>
        <v>270.714927200256</v>
      </c>
      <c r="T66" s="200"/>
    </row>
    <row r="67" spans="2:20" s="63" customFormat="1" ht="14.55" hidden="1" customHeight="1" outlineLevel="1" x14ac:dyDescent="0.3">
      <c r="B67" s="222" t="s">
        <v>188</v>
      </c>
      <c r="C67" s="223"/>
      <c r="D67" s="37"/>
      <c r="E67" s="244">
        <f>(E66/D66)-1</f>
        <v>0.33720930232558133</v>
      </c>
      <c r="F67" s="244">
        <f t="shared" ref="F67" si="79">(F66/E66)-1</f>
        <v>-8.6956521739129933E-3</v>
      </c>
      <c r="G67" s="245">
        <f t="shared" ref="G67" si="80">(G66/F66)-1</f>
        <v>-0.14035087719298245</v>
      </c>
      <c r="H67" s="246"/>
      <c r="I67" s="244">
        <f>(I66/G66)-1</f>
        <v>-0.34693877551020413</v>
      </c>
      <c r="J67" s="244">
        <f>(J66/I66)-1</f>
        <v>0.3125</v>
      </c>
      <c r="K67" s="254">
        <v>-6.5000000000000002E-2</v>
      </c>
      <c r="L67" s="254">
        <v>-6.5000000000000002E-2</v>
      </c>
      <c r="M67" s="246"/>
      <c r="N67" s="254">
        <v>-0.04</v>
      </c>
      <c r="O67" s="254">
        <v>-0.04</v>
      </c>
      <c r="P67" s="254">
        <v>-0.04</v>
      </c>
      <c r="Q67" s="254">
        <v>0.04</v>
      </c>
      <c r="R67" s="246"/>
      <c r="T67" s="200"/>
    </row>
    <row r="68" spans="2:20" s="63" customFormat="1" ht="14.55" hidden="1" customHeight="1" outlineLevel="1" x14ac:dyDescent="0.3">
      <c r="B68" s="222" t="s">
        <v>189</v>
      </c>
      <c r="C68" s="223"/>
      <c r="D68" s="37">
        <v>20</v>
      </c>
      <c r="E68" s="37">
        <v>11</v>
      </c>
      <c r="F68" s="37">
        <v>10</v>
      </c>
      <c r="G68" s="138">
        <v>9</v>
      </c>
      <c r="H68" s="28">
        <f>SUM(D68:G68)</f>
        <v>50</v>
      </c>
      <c r="I68" s="37">
        <v>5</v>
      </c>
      <c r="J68" s="37">
        <v>18</v>
      </c>
      <c r="K68" s="37">
        <f>K66*K69</f>
        <v>14.1372</v>
      </c>
      <c r="L68" s="37">
        <f>L66*L69</f>
        <v>13.218282000000002</v>
      </c>
      <c r="M68" s="302">
        <f>SUM(I68:L68)</f>
        <v>50.355482000000002</v>
      </c>
      <c r="N68" s="37">
        <f t="shared" ref="N68" si="81">N66*N69</f>
        <v>10.574625600000001</v>
      </c>
      <c r="O68" s="37">
        <f t="shared" ref="O68" si="82">O66*O69</f>
        <v>10.151640576</v>
      </c>
      <c r="P68" s="37">
        <f t="shared" ref="P68" si="83">P66*P69</f>
        <v>9.7455749529600002</v>
      </c>
      <c r="Q68" s="37">
        <f t="shared" ref="Q68" si="84">Q66*Q69</f>
        <v>34.460353033666564</v>
      </c>
      <c r="R68" s="28">
        <f>SUM(N68:Q68)</f>
        <v>64.932194162626558</v>
      </c>
      <c r="T68" s="200"/>
    </row>
    <row r="69" spans="2:20" s="63" customFormat="1" ht="14.55" hidden="1" customHeight="1" outlineLevel="1" x14ac:dyDescent="0.3">
      <c r="B69" s="247" t="s">
        <v>190</v>
      </c>
      <c r="C69" s="248"/>
      <c r="D69" s="45">
        <f>D68/D66</f>
        <v>0.23255813953488372</v>
      </c>
      <c r="E69" s="250">
        <f t="shared" ref="E69" si="85">E68/E66</f>
        <v>9.5652173913043481E-2</v>
      </c>
      <c r="F69" s="250">
        <f t="shared" ref="F69" si="86">F68/F66</f>
        <v>8.771929824561403E-2</v>
      </c>
      <c r="G69" s="251">
        <f t="shared" ref="G69" si="87">G68/G66</f>
        <v>9.1836734693877556E-2</v>
      </c>
      <c r="H69" s="252">
        <f t="shared" ref="H69" si="88">H68/H66</f>
        <v>0.12106537530266344</v>
      </c>
      <c r="I69" s="250">
        <f t="shared" ref="I69" si="89">I68/I66</f>
        <v>7.8125E-2</v>
      </c>
      <c r="J69" s="250">
        <f t="shared" ref="J69" si="90">J68/J66</f>
        <v>0.21428571428571427</v>
      </c>
      <c r="K69" s="253">
        <v>0.18</v>
      </c>
      <c r="L69" s="253">
        <v>0.18</v>
      </c>
      <c r="M69" s="252">
        <f>M68/M66</f>
        <v>0.1678656514261693</v>
      </c>
      <c r="N69" s="253">
        <v>0.15</v>
      </c>
      <c r="O69" s="253">
        <v>0.15</v>
      </c>
      <c r="P69" s="253">
        <v>0.15</v>
      </c>
      <c r="Q69" s="253">
        <v>0.51</v>
      </c>
      <c r="R69" s="252">
        <f>R68/R66</f>
        <v>0.23985450242495956</v>
      </c>
      <c r="T69" s="200"/>
    </row>
    <row r="70" spans="2:20" s="63" customFormat="1" ht="14.55" customHeight="1" collapsed="1" x14ac:dyDescent="0.3">
      <c r="B70" s="340" t="s">
        <v>194</v>
      </c>
      <c r="C70" s="341"/>
      <c r="D70" s="263"/>
      <c r="E70" s="264"/>
      <c r="F70" s="264"/>
      <c r="G70" s="264"/>
      <c r="H70" s="265"/>
      <c r="I70" s="264"/>
      <c r="J70" s="264"/>
      <c r="K70" s="264"/>
      <c r="L70" s="264"/>
      <c r="M70" s="265"/>
      <c r="N70" s="264"/>
      <c r="O70" s="264"/>
      <c r="P70" s="264"/>
      <c r="Q70" s="264"/>
      <c r="R70" s="265"/>
      <c r="T70" s="200"/>
    </row>
    <row r="71" spans="2:20" s="63" customFormat="1" hidden="1" outlineLevel="1" x14ac:dyDescent="0.3">
      <c r="B71" s="222" t="s">
        <v>191</v>
      </c>
      <c r="C71" s="223"/>
      <c r="D71" s="37">
        <v>-27</v>
      </c>
      <c r="E71" s="37">
        <v>7</v>
      </c>
      <c r="F71" s="37">
        <v>-307</v>
      </c>
      <c r="G71" s="37">
        <v>-408</v>
      </c>
      <c r="H71" s="65"/>
      <c r="I71" s="37">
        <v>213</v>
      </c>
      <c r="J71" s="37">
        <v>41</v>
      </c>
      <c r="K71" s="109">
        <f>AVERAGE(J71,I71)</f>
        <v>127</v>
      </c>
      <c r="L71" s="109">
        <f>AVERAGE(K71,J71)</f>
        <v>84</v>
      </c>
      <c r="M71" s="65"/>
      <c r="N71" s="109">
        <f>AVERAGE(L71,K71)</f>
        <v>105.5</v>
      </c>
      <c r="O71" s="109">
        <f>AVERAGE(N71,L71)</f>
        <v>94.75</v>
      </c>
      <c r="P71" s="109">
        <f>AVERAGE(O71,N71)</f>
        <v>100.125</v>
      </c>
      <c r="Q71" s="109">
        <f>AVERAGE(P71,O71)</f>
        <v>97.4375</v>
      </c>
      <c r="R71" s="65"/>
      <c r="T71" s="200"/>
    </row>
    <row r="72" spans="2:20" s="63" customFormat="1" hidden="1" outlineLevel="1" x14ac:dyDescent="0.3">
      <c r="B72" s="222" t="s">
        <v>192</v>
      </c>
      <c r="C72" s="223"/>
      <c r="D72" s="37">
        <f>-113-248</f>
        <v>-361</v>
      </c>
      <c r="E72" s="37">
        <f>-30-50</f>
        <v>-80</v>
      </c>
      <c r="F72" s="37">
        <f>-57-163</f>
        <v>-220</v>
      </c>
      <c r="G72" s="37">
        <f>-98-279</f>
        <v>-377</v>
      </c>
      <c r="H72" s="65"/>
      <c r="I72" s="37">
        <f>94-166</f>
        <v>-72</v>
      </c>
      <c r="J72" s="37">
        <f>69-126</f>
        <v>-57</v>
      </c>
      <c r="K72" s="109">
        <f t="shared" ref="K72:L72" si="91">AVERAGE(J72,I72)</f>
        <v>-64.5</v>
      </c>
      <c r="L72" s="109">
        <f t="shared" si="91"/>
        <v>-60.75</v>
      </c>
      <c r="M72" s="65"/>
      <c r="N72" s="109">
        <f t="shared" ref="N72:N73" si="92">AVERAGE(L72,K72)</f>
        <v>-62.625</v>
      </c>
      <c r="O72" s="109">
        <f t="shared" ref="O72:O73" si="93">AVERAGE(N72,L72)</f>
        <v>-61.6875</v>
      </c>
      <c r="P72" s="109">
        <f t="shared" ref="P72:Q72" si="94">AVERAGE(O72,N72)</f>
        <v>-62.15625</v>
      </c>
      <c r="Q72" s="109">
        <f t="shared" si="94"/>
        <v>-61.921875</v>
      </c>
      <c r="R72" s="65"/>
      <c r="T72" s="200"/>
    </row>
    <row r="73" spans="2:20" s="63" customFormat="1" hidden="1" outlineLevel="1" x14ac:dyDescent="0.3">
      <c r="B73" s="247" t="s">
        <v>193</v>
      </c>
      <c r="C73" s="248"/>
      <c r="D73" s="44">
        <v>-12</v>
      </c>
      <c r="E73" s="44">
        <v>15</v>
      </c>
      <c r="F73" s="44">
        <v>-26</v>
      </c>
      <c r="G73" s="44">
        <v>10</v>
      </c>
      <c r="H73" s="260"/>
      <c r="I73" s="44">
        <v>26</v>
      </c>
      <c r="J73" s="44">
        <v>13</v>
      </c>
      <c r="K73" s="262">
        <v>25</v>
      </c>
      <c r="L73" s="262">
        <v>25</v>
      </c>
      <c r="M73" s="260"/>
      <c r="N73" s="262">
        <f t="shared" si="92"/>
        <v>25</v>
      </c>
      <c r="O73" s="262">
        <f t="shared" si="93"/>
        <v>25</v>
      </c>
      <c r="P73" s="262">
        <f t="shared" ref="P73:Q73" si="95">AVERAGE(O73,N73)</f>
        <v>25</v>
      </c>
      <c r="Q73" s="262">
        <f t="shared" si="95"/>
        <v>25</v>
      </c>
      <c r="R73" s="260"/>
      <c r="T73" s="200"/>
    </row>
    <row r="74" spans="2:20" s="63" customFormat="1" collapsed="1" x14ac:dyDescent="0.3">
      <c r="B74" s="340" t="s">
        <v>45</v>
      </c>
      <c r="C74" s="341"/>
      <c r="D74" s="37"/>
      <c r="E74" s="37"/>
      <c r="F74" s="37"/>
      <c r="G74" s="37"/>
      <c r="H74" s="65"/>
      <c r="I74" s="37"/>
      <c r="J74" s="37"/>
      <c r="K74" s="37"/>
      <c r="L74" s="37"/>
      <c r="M74" s="65"/>
      <c r="N74" s="37"/>
      <c r="O74" s="37"/>
      <c r="P74" s="37"/>
      <c r="Q74" s="37"/>
      <c r="R74" s="65"/>
      <c r="T74" s="200"/>
    </row>
    <row r="75" spans="2:20" s="63" customFormat="1" hidden="1" outlineLevel="1" x14ac:dyDescent="0.3">
      <c r="B75" s="180" t="s">
        <v>195</v>
      </c>
      <c r="C75" s="182"/>
      <c r="D75" s="280">
        <f t="shared" ref="D75:J75" si="96">D11/D13</f>
        <v>0.87972368955709057</v>
      </c>
      <c r="E75" s="280">
        <f t="shared" si="96"/>
        <v>0.89324858411767105</v>
      </c>
      <c r="F75" s="280">
        <f t="shared" si="96"/>
        <v>0.88978297032767228</v>
      </c>
      <c r="G75" s="280">
        <f t="shared" si="96"/>
        <v>0.88435922453654603</v>
      </c>
      <c r="H75" s="281">
        <f t="shared" si="96"/>
        <v>0.88701958091433086</v>
      </c>
      <c r="I75" s="280">
        <f t="shared" si="96"/>
        <v>0.87862318840579712</v>
      </c>
      <c r="J75" s="280">
        <f t="shared" si="96"/>
        <v>0.89614219349626334</v>
      </c>
      <c r="K75" s="282">
        <f>AVERAGE(J75,I75)</f>
        <v>0.88738269095103028</v>
      </c>
      <c r="L75" s="282">
        <f>AVERAGE(K75,J75)</f>
        <v>0.89176244222364676</v>
      </c>
      <c r="M75" s="281">
        <f>M11/M13</f>
        <v>0.8886590260237055</v>
      </c>
      <c r="N75" s="282">
        <f>AVERAGE(L75,K75)</f>
        <v>0.88957256658733852</v>
      </c>
      <c r="O75" s="282">
        <f>AVERAGE(N75,L75)</f>
        <v>0.89066750440549258</v>
      </c>
      <c r="P75" s="282">
        <f>AVERAGE(O75,N75)</f>
        <v>0.89012003549641561</v>
      </c>
      <c r="Q75" s="282">
        <f>AVERAGE(P75,O75)</f>
        <v>0.89039376995095409</v>
      </c>
      <c r="R75" s="281">
        <f>R11/R13</f>
        <v>0.89019343343948554</v>
      </c>
      <c r="T75" s="200"/>
    </row>
    <row r="76" spans="2:20" s="63" customFormat="1" hidden="1" outlineLevel="1" x14ac:dyDescent="0.3">
      <c r="B76" s="222" t="s">
        <v>196</v>
      </c>
      <c r="C76" s="182"/>
      <c r="D76" s="280">
        <f t="shared" ref="D76:J76" si="97">D12/D13</f>
        <v>0.12027631044290939</v>
      </c>
      <c r="E76" s="280">
        <f t="shared" si="97"/>
        <v>0.10675141588232898</v>
      </c>
      <c r="F76" s="280">
        <f t="shared" si="97"/>
        <v>0.11021702967232774</v>
      </c>
      <c r="G76" s="280">
        <f t="shared" si="97"/>
        <v>0.11564077546345396</v>
      </c>
      <c r="H76" s="281">
        <f t="shared" si="97"/>
        <v>0.1129804190856691</v>
      </c>
      <c r="I76" s="280">
        <f t="shared" si="97"/>
        <v>0.1213768115942029</v>
      </c>
      <c r="J76" s="280">
        <f t="shared" si="97"/>
        <v>0.10385780650373662</v>
      </c>
      <c r="K76" s="282">
        <f>AVERAGE(J76,I76)</f>
        <v>0.11261730904896976</v>
      </c>
      <c r="L76" s="282">
        <f>AVERAGE(K76,J76)</f>
        <v>0.10823755777635319</v>
      </c>
      <c r="M76" s="281">
        <f>M12/M13</f>
        <v>0.11134097397629457</v>
      </c>
      <c r="N76" s="282">
        <f>AVERAGE(L76,K76)</f>
        <v>0.11042743341266148</v>
      </c>
      <c r="O76" s="282">
        <f>AVERAGE(N76,L76)</f>
        <v>0.10933249559450733</v>
      </c>
      <c r="P76" s="282">
        <f>AVERAGE(O76,N76)</f>
        <v>0.10987996450358441</v>
      </c>
      <c r="Q76" s="282">
        <f>AVERAGE(P76,O76)</f>
        <v>0.10960623004904588</v>
      </c>
      <c r="R76" s="281">
        <f>R12/R13</f>
        <v>0.10980656656051449</v>
      </c>
      <c r="T76" s="200"/>
    </row>
    <row r="77" spans="2:20" s="63" customFormat="1" hidden="1" outlineLevel="1" x14ac:dyDescent="0.3">
      <c r="B77" s="222" t="s">
        <v>197</v>
      </c>
      <c r="C77" s="225"/>
      <c r="D77" s="280">
        <f t="shared" ref="D77:J78" si="98">(D11+D14)/D11</f>
        <v>0.15935334872979215</v>
      </c>
      <c r="E77" s="280">
        <f t="shared" si="98"/>
        <v>0.12206358618802171</v>
      </c>
      <c r="F77" s="280">
        <f t="shared" si="98"/>
        <v>0.15682608695652173</v>
      </c>
      <c r="G77" s="280">
        <f t="shared" si="98"/>
        <v>0.11613181752770182</v>
      </c>
      <c r="H77" s="281">
        <f t="shared" si="98"/>
        <v>0.13851387015424316</v>
      </c>
      <c r="I77" s="280">
        <f t="shared" si="98"/>
        <v>0.14785013829519739</v>
      </c>
      <c r="J77" s="280">
        <f t="shared" si="98"/>
        <v>8.6503786512802022E-2</v>
      </c>
      <c r="K77" s="282">
        <v>0.13800000000000001</v>
      </c>
      <c r="L77" s="282">
        <v>0.13800000000000001</v>
      </c>
      <c r="M77" s="281">
        <f>(M11+M14)/M11</f>
        <v>0.12671547264363905</v>
      </c>
      <c r="N77" s="282">
        <f t="shared" ref="N77:N78" si="99">AVERAGE(L77,K77)</f>
        <v>0.13800000000000001</v>
      </c>
      <c r="O77" s="282">
        <f t="shared" ref="O77:O78" si="100">AVERAGE(N77,L77)</f>
        <v>0.13800000000000001</v>
      </c>
      <c r="P77" s="282">
        <f t="shared" ref="P77:Q77" si="101">AVERAGE(O77,N77)</f>
        <v>0.13800000000000001</v>
      </c>
      <c r="Q77" s="282">
        <f t="shared" si="101"/>
        <v>0.13800000000000001</v>
      </c>
      <c r="R77" s="281">
        <f>(R11+R14)/R11</f>
        <v>0.1379999999999999</v>
      </c>
      <c r="T77" s="200"/>
    </row>
    <row r="78" spans="2:20" s="63" customFormat="1" hidden="1" outlineLevel="1" x14ac:dyDescent="0.3">
      <c r="B78" s="222" t="s">
        <v>198</v>
      </c>
      <c r="C78" s="225"/>
      <c r="D78" s="280">
        <f t="shared" si="98"/>
        <v>0.21171171171171171</v>
      </c>
      <c r="E78" s="280">
        <f t="shared" si="98"/>
        <v>0.20381679389312976</v>
      </c>
      <c r="F78" s="280">
        <f t="shared" si="98"/>
        <v>0.23095823095823095</v>
      </c>
      <c r="G78" s="280">
        <f t="shared" si="98"/>
        <v>0.23477622890682318</v>
      </c>
      <c r="H78" s="281">
        <f t="shared" si="98"/>
        <v>0.22064646836725296</v>
      </c>
      <c r="I78" s="280">
        <f t="shared" si="98"/>
        <v>0.22242446305060065</v>
      </c>
      <c r="J78" s="280">
        <f t="shared" si="98"/>
        <v>0.20497860754570207</v>
      </c>
      <c r="K78" s="282">
        <v>0.23</v>
      </c>
      <c r="L78" s="282">
        <v>0.23</v>
      </c>
      <c r="M78" s="281">
        <f>(M12+M15)/M12</f>
        <v>0.22189848114474153</v>
      </c>
      <c r="N78" s="282">
        <f t="shared" si="99"/>
        <v>0.23</v>
      </c>
      <c r="O78" s="282">
        <f t="shared" si="100"/>
        <v>0.23</v>
      </c>
      <c r="P78" s="282">
        <f t="shared" ref="P78:Q78" si="102">AVERAGE(O78,N78)</f>
        <v>0.23</v>
      </c>
      <c r="Q78" s="282">
        <f t="shared" si="102"/>
        <v>0.23</v>
      </c>
      <c r="R78" s="281">
        <f>(R12+R15)/R12</f>
        <v>0.23000000000000004</v>
      </c>
      <c r="T78" s="200"/>
    </row>
    <row r="79" spans="2:20" s="43" customFormat="1" hidden="1" outlineLevel="1" x14ac:dyDescent="0.3">
      <c r="B79" s="53" t="s">
        <v>37</v>
      </c>
      <c r="C79" s="54"/>
      <c r="D79" s="121">
        <f t="shared" ref="D79:R79" si="103">D24/D13</f>
        <v>9.1155356900988763E-2</v>
      </c>
      <c r="E79" s="121">
        <f t="shared" si="103"/>
        <v>6.8573524019068577E-2</v>
      </c>
      <c r="F79" s="121">
        <f t="shared" si="103"/>
        <v>9.9810437541104108E-2</v>
      </c>
      <c r="G79" s="121">
        <f t="shared" si="103"/>
        <v>4.9251262037076318E-2</v>
      </c>
      <c r="H79" s="176">
        <f t="shared" si="103"/>
        <v>7.7439290842124975E-2</v>
      </c>
      <c r="I79" s="121">
        <f t="shared" si="103"/>
        <v>7.9003181336161188E-2</v>
      </c>
      <c r="J79" s="121">
        <f t="shared" si="103"/>
        <v>-1.6925873560896788E-2</v>
      </c>
      <c r="K79" s="121">
        <f t="shared" si="103"/>
        <v>9.7622931550126357E-2</v>
      </c>
      <c r="L79" s="121">
        <f t="shared" si="103"/>
        <v>9.3379611877345045E-2</v>
      </c>
      <c r="M79" s="35">
        <f t="shared" si="103"/>
        <v>6.2069757140994448E-2</v>
      </c>
      <c r="N79" s="121">
        <f t="shared" si="103"/>
        <v>8.8948349514824568E-2</v>
      </c>
      <c r="O79" s="121">
        <f t="shared" si="103"/>
        <v>9.1707389375774023E-2</v>
      </c>
      <c r="P79" s="121">
        <f t="shared" si="103"/>
        <v>9.1566110231410661E-2</v>
      </c>
      <c r="Q79" s="121">
        <f t="shared" si="103"/>
        <v>9.247623088178146E-2</v>
      </c>
      <c r="R79" s="35">
        <f t="shared" si="103"/>
        <v>9.1209754774508447E-2</v>
      </c>
      <c r="T79" s="200"/>
    </row>
    <row r="80" spans="2:20" s="47" customFormat="1" hidden="1" outlineLevel="1" x14ac:dyDescent="0.3">
      <c r="B80" s="180" t="s">
        <v>38</v>
      </c>
      <c r="C80" s="54"/>
      <c r="D80" s="121">
        <f t="shared" ref="D80:R80" si="104">D26/D13</f>
        <v>9.6257167366472524E-2</v>
      </c>
      <c r="E80" s="121">
        <f t="shared" si="104"/>
        <v>6.9795868475736461E-2</v>
      </c>
      <c r="F80" s="121">
        <f t="shared" si="104"/>
        <v>0.10201555185887268</v>
      </c>
      <c r="G80" s="121">
        <f t="shared" si="104"/>
        <v>5.3408560641411786E-2</v>
      </c>
      <c r="H80" s="176">
        <f t="shared" si="104"/>
        <v>8.0539775683043047E-2</v>
      </c>
      <c r="I80" s="121">
        <f t="shared" si="104"/>
        <v>7.4849770236832799E-2</v>
      </c>
      <c r="J80" s="121">
        <f t="shared" si="104"/>
        <v>-1.971318925469602E-2</v>
      </c>
      <c r="K80" s="121">
        <f t="shared" si="104"/>
        <v>9.4758567607413649E-2</v>
      </c>
      <c r="L80" s="134">
        <f t="shared" si="104"/>
        <v>9.0413145841231543E-2</v>
      </c>
      <c r="M80" s="35">
        <f t="shared" si="104"/>
        <v>5.8891353335385623E-2</v>
      </c>
      <c r="N80" s="121">
        <f t="shared" si="104"/>
        <v>8.5943963549912281E-2</v>
      </c>
      <c r="O80" s="121">
        <f t="shared" si="104"/>
        <v>8.8744027306808498E-2</v>
      </c>
      <c r="P80" s="121">
        <f t="shared" si="104"/>
        <v>8.8758997691598576E-2</v>
      </c>
      <c r="Q80" s="121">
        <f t="shared" si="104"/>
        <v>8.9697243458660078E-2</v>
      </c>
      <c r="R80" s="35">
        <f t="shared" si="104"/>
        <v>8.8324590702754155E-2</v>
      </c>
      <c r="T80" s="200"/>
    </row>
    <row r="81" spans="2:23" s="63" customFormat="1" hidden="1" outlineLevel="1" x14ac:dyDescent="0.3">
      <c r="B81" s="180" t="s">
        <v>199</v>
      </c>
      <c r="C81" s="182"/>
      <c r="D81" s="134"/>
      <c r="E81" s="37">
        <f>AVERAGE(D16:E16)</f>
        <v>-16.5</v>
      </c>
      <c r="F81" s="37">
        <f>AVERAGE(E16:F16)</f>
        <v>-16.5</v>
      </c>
      <c r="G81" s="37">
        <f>AVERAGE(F16:G16)</f>
        <v>-15.5</v>
      </c>
      <c r="H81" s="185"/>
      <c r="I81" s="37">
        <f>AVERAGE(F16,G16)</f>
        <v>-15.5</v>
      </c>
      <c r="J81" s="37">
        <f>AVERAGE(I16,J16)</f>
        <v>-16</v>
      </c>
      <c r="K81" s="109">
        <f>J81</f>
        <v>-16</v>
      </c>
      <c r="L81" s="109">
        <f>K81</f>
        <v>-16</v>
      </c>
      <c r="M81" s="28"/>
      <c r="N81" s="109">
        <f>L81</f>
        <v>-16</v>
      </c>
      <c r="O81" s="109">
        <f t="shared" ref="O81:Q82" si="105">N81</f>
        <v>-16</v>
      </c>
      <c r="P81" s="109">
        <f t="shared" si="105"/>
        <v>-16</v>
      </c>
      <c r="Q81" s="109">
        <f t="shared" si="105"/>
        <v>-16</v>
      </c>
      <c r="R81" s="28"/>
      <c r="T81" s="200"/>
    </row>
    <row r="82" spans="2:23" s="63" customFormat="1" hidden="1" outlineLevel="1" x14ac:dyDescent="0.3">
      <c r="B82" s="180" t="s">
        <v>200</v>
      </c>
      <c r="C82" s="182"/>
      <c r="D82" s="134"/>
      <c r="E82" s="37">
        <f>AVERAGE(D19:E19)</f>
        <v>64.5</v>
      </c>
      <c r="F82" s="37">
        <f>AVERAGE(E19:F19)</f>
        <v>64</v>
      </c>
      <c r="G82" s="37">
        <f>AVERAGE(F19:G19)</f>
        <v>72.5</v>
      </c>
      <c r="H82" s="185"/>
      <c r="I82" s="37">
        <f>AVERAGE(F19,G19)</f>
        <v>72.5</v>
      </c>
      <c r="J82" s="37">
        <f>AVERAGE(I19,J19)</f>
        <v>75.5</v>
      </c>
      <c r="K82" s="109">
        <f>J82</f>
        <v>75.5</v>
      </c>
      <c r="L82" s="109">
        <f>K82</f>
        <v>75.5</v>
      </c>
      <c r="M82" s="28"/>
      <c r="N82" s="109">
        <f>L82</f>
        <v>75.5</v>
      </c>
      <c r="O82" s="109">
        <f t="shared" si="105"/>
        <v>75.5</v>
      </c>
      <c r="P82" s="109">
        <f t="shared" si="105"/>
        <v>75.5</v>
      </c>
      <c r="Q82" s="109">
        <f t="shared" si="105"/>
        <v>75.5</v>
      </c>
      <c r="R82" s="28"/>
      <c r="T82" s="200"/>
    </row>
    <row r="83" spans="2:23" s="63" customFormat="1" hidden="1" outlineLevel="1" x14ac:dyDescent="0.3">
      <c r="B83" s="180" t="s">
        <v>154</v>
      </c>
      <c r="C83" s="181"/>
      <c r="D83" s="27">
        <f t="shared" ref="D83:J83" si="106">-D20/D13</f>
        <v>4.2665583096302313E-2</v>
      </c>
      <c r="E83" s="27">
        <f t="shared" si="106"/>
        <v>3.0966059568919856E-2</v>
      </c>
      <c r="F83" s="27">
        <f t="shared" si="106"/>
        <v>3.4392046113969593E-2</v>
      </c>
      <c r="G83" s="27">
        <f t="shared" si="106"/>
        <v>3.949433674118695E-2</v>
      </c>
      <c r="H83" s="35">
        <f t="shared" si="106"/>
        <v>3.6675198202134968E-2</v>
      </c>
      <c r="I83" s="27">
        <f t="shared" si="106"/>
        <v>3.9236479321314952E-2</v>
      </c>
      <c r="J83" s="27">
        <f t="shared" si="106"/>
        <v>3.2559078973944659E-2</v>
      </c>
      <c r="K83" s="244">
        <f t="shared" ref="K83:Q83" si="107">-K20/K13</f>
        <v>1.4631711060959961E-2</v>
      </c>
      <c r="L83" s="244">
        <f t="shared" si="107"/>
        <v>1.5701276539622819E-2</v>
      </c>
      <c r="M83" s="35"/>
      <c r="N83" s="244">
        <f t="shared" si="107"/>
        <v>1.6988551833088845E-2</v>
      </c>
      <c r="O83" s="244">
        <f t="shared" si="107"/>
        <v>1.6190310073445447E-2</v>
      </c>
      <c r="P83" s="244">
        <f t="shared" si="107"/>
        <v>1.6207030412072918E-2</v>
      </c>
      <c r="Q83" s="244">
        <f t="shared" si="107"/>
        <v>1.594270143809233E-2</v>
      </c>
      <c r="R83" s="35"/>
      <c r="T83" s="200"/>
    </row>
    <row r="84" spans="2:23" s="87" customFormat="1" hidden="1" outlineLevel="1" x14ac:dyDescent="0.3">
      <c r="B84" s="320" t="s">
        <v>155</v>
      </c>
      <c r="C84" s="321"/>
      <c r="D84" s="27">
        <f t="shared" ref="D84:J84" si="108">-D21/D13</f>
        <v>3.4719400424398396E-2</v>
      </c>
      <c r="E84" s="27">
        <f t="shared" si="108"/>
        <v>3.2595852177810372E-2</v>
      </c>
      <c r="F84" s="27">
        <f t="shared" si="108"/>
        <v>3.3154087198731093E-2</v>
      </c>
      <c r="G84" s="27">
        <f t="shared" si="108"/>
        <v>3.8391379968608155E-2</v>
      </c>
      <c r="H84" s="35">
        <f t="shared" si="108"/>
        <v>3.4656761762074204E-2</v>
      </c>
      <c r="I84" s="27">
        <f t="shared" si="108"/>
        <v>4.0517850830682219E-2</v>
      </c>
      <c r="J84" s="27">
        <f t="shared" si="108"/>
        <v>8.5922035952332859E-2</v>
      </c>
      <c r="K84" s="244">
        <f t="shared" ref="K84:Q84" si="109">-K21/K13</f>
        <v>3.8612468271292603E-2</v>
      </c>
      <c r="L84" s="244">
        <f t="shared" si="109"/>
        <v>4.1435006451337145E-2</v>
      </c>
      <c r="M84" s="35"/>
      <c r="N84" s="244">
        <f t="shared" si="109"/>
        <v>4.4832071648858531E-2</v>
      </c>
      <c r="O84" s="244">
        <f t="shared" si="109"/>
        <v>4.2725545317888913E-2</v>
      </c>
      <c r="P84" s="244">
        <f t="shared" si="109"/>
        <v>4.2769669586202361E-2</v>
      </c>
      <c r="Q84" s="244">
        <f t="shared" si="109"/>
        <v>4.2072116574221323E-2</v>
      </c>
      <c r="R84" s="35"/>
      <c r="T84" s="205"/>
    </row>
    <row r="85" spans="2:23" s="43" customFormat="1" hidden="1" outlineLevel="1" x14ac:dyDescent="0.3">
      <c r="B85" s="180" t="s">
        <v>201</v>
      </c>
      <c r="C85" s="182"/>
      <c r="D85" s="37"/>
      <c r="E85" s="37">
        <f>AVERAGE(D22:E22)</f>
        <v>0.5</v>
      </c>
      <c r="F85" s="37">
        <f>AVERAGE(E22:F22)</f>
        <v>-0.5</v>
      </c>
      <c r="G85" s="37">
        <f>AVERAGE(F22:G22)</f>
        <v>-1</v>
      </c>
      <c r="H85" s="185"/>
      <c r="I85" s="37">
        <f>AVERAGE(F22,G22)</f>
        <v>-1</v>
      </c>
      <c r="J85" s="37">
        <f>AVERAGE(I22,J22)</f>
        <v>-4.5</v>
      </c>
      <c r="K85" s="109">
        <f>J85</f>
        <v>-4.5</v>
      </c>
      <c r="L85" s="109">
        <f>K85</f>
        <v>-4.5</v>
      </c>
      <c r="M85" s="28"/>
      <c r="N85" s="109">
        <f>L85</f>
        <v>-4.5</v>
      </c>
      <c r="O85" s="109">
        <f t="shared" ref="O85:Q86" si="110">N85</f>
        <v>-4.5</v>
      </c>
      <c r="P85" s="109">
        <f t="shared" si="110"/>
        <v>-4.5</v>
      </c>
      <c r="Q85" s="109">
        <f t="shared" si="110"/>
        <v>-4.5</v>
      </c>
      <c r="R85" s="28"/>
      <c r="T85" s="200"/>
    </row>
    <row r="86" spans="2:23" s="47" customFormat="1" hidden="1" outlineLevel="1" x14ac:dyDescent="0.3">
      <c r="B86" s="180" t="s">
        <v>42</v>
      </c>
      <c r="C86" s="181"/>
      <c r="D86" s="186"/>
      <c r="E86" s="37">
        <f>AVERAGE(D28:E28)</f>
        <v>-68</v>
      </c>
      <c r="F86" s="37">
        <f>AVERAGE(E28:F28)</f>
        <v>-71</v>
      </c>
      <c r="G86" s="37">
        <f>AVERAGE(F28:G28)</f>
        <v>-69.5</v>
      </c>
      <c r="H86" s="185"/>
      <c r="I86" s="37">
        <f>AVERAGE(F28,G28)</f>
        <v>-69.5</v>
      </c>
      <c r="J86" s="37">
        <f>AVERAGE(I28,J28)</f>
        <v>-73</v>
      </c>
      <c r="K86" s="109">
        <f>J86</f>
        <v>-73</v>
      </c>
      <c r="L86" s="109">
        <f>K86</f>
        <v>-73</v>
      </c>
      <c r="M86" s="28"/>
      <c r="N86" s="109">
        <f>L86</f>
        <v>-73</v>
      </c>
      <c r="O86" s="109">
        <f t="shared" si="110"/>
        <v>-73</v>
      </c>
      <c r="P86" s="109">
        <f t="shared" si="110"/>
        <v>-73</v>
      </c>
      <c r="Q86" s="109">
        <f t="shared" si="110"/>
        <v>-73</v>
      </c>
      <c r="R86" s="28"/>
      <c r="T86" s="200"/>
    </row>
    <row r="87" spans="2:23" s="47" customFormat="1" hidden="1" outlineLevel="1" x14ac:dyDescent="0.3">
      <c r="B87" s="320" t="s">
        <v>34</v>
      </c>
      <c r="C87" s="321"/>
      <c r="D87" s="27">
        <f t="shared" ref="D87:J87" si="111">-D30/D29</f>
        <v>0.31346351490236385</v>
      </c>
      <c r="E87" s="27">
        <f t="shared" si="111"/>
        <v>0.31608133086876156</v>
      </c>
      <c r="F87" s="27">
        <f t="shared" si="111"/>
        <v>0.31483715319662242</v>
      </c>
      <c r="G87" s="27">
        <f t="shared" si="111"/>
        <v>6.6424021838034572E-2</v>
      </c>
      <c r="H87" s="35">
        <f t="shared" si="111"/>
        <v>0.27658979734451433</v>
      </c>
      <c r="I87" s="27">
        <f t="shared" si="111"/>
        <v>0.29982768523836878</v>
      </c>
      <c r="J87" s="27">
        <f t="shared" si="111"/>
        <v>0.51148225469728603</v>
      </c>
      <c r="K87" s="254">
        <v>0.23200000000000001</v>
      </c>
      <c r="L87" s="254">
        <v>0.23300000000000001</v>
      </c>
      <c r="M87" s="305">
        <f>-M30/M29</f>
        <v>0.22958468721963879</v>
      </c>
      <c r="N87" s="254">
        <v>0.23</v>
      </c>
      <c r="O87" s="254">
        <v>0.23</v>
      </c>
      <c r="P87" s="254">
        <v>0.23</v>
      </c>
      <c r="Q87" s="254">
        <v>0.23</v>
      </c>
      <c r="R87" s="35">
        <f>-R30/R29</f>
        <v>0.23000000000000051</v>
      </c>
      <c r="S87" s="74"/>
      <c r="T87" s="206"/>
    </row>
    <row r="88" spans="2:23" s="47" customFormat="1" collapsed="1" x14ac:dyDescent="0.3">
      <c r="B88" s="344" t="s">
        <v>48</v>
      </c>
      <c r="C88" s="345"/>
      <c r="D88" s="263"/>
      <c r="E88" s="263"/>
      <c r="F88" s="263"/>
      <c r="G88" s="263"/>
      <c r="H88" s="268"/>
      <c r="I88" s="268"/>
      <c r="J88" s="263"/>
      <c r="K88" s="263"/>
      <c r="L88" s="263"/>
      <c r="M88" s="269"/>
      <c r="N88" s="263"/>
      <c r="O88" s="263"/>
      <c r="P88" s="263"/>
      <c r="Q88" s="263"/>
      <c r="R88" s="269"/>
      <c r="T88" s="200"/>
    </row>
    <row r="89" spans="2:23" s="47" customFormat="1" hidden="1" outlineLevel="1" x14ac:dyDescent="0.3">
      <c r="B89" s="222" t="s">
        <v>202</v>
      </c>
      <c r="C89" s="224"/>
      <c r="D89" s="227">
        <v>113</v>
      </c>
      <c r="E89" s="37">
        <v>30</v>
      </c>
      <c r="F89" s="37">
        <v>57</v>
      </c>
      <c r="G89" s="138">
        <v>98</v>
      </c>
      <c r="H89" s="28"/>
      <c r="I89" s="227">
        <v>-94</v>
      </c>
      <c r="J89" s="37">
        <v>-69</v>
      </c>
      <c r="K89" s="109">
        <v>-68</v>
      </c>
      <c r="L89" s="109">
        <v>-69</v>
      </c>
      <c r="M89" s="302">
        <f>SUM(I89:L89)</f>
        <v>-300</v>
      </c>
      <c r="N89" s="239">
        <f>AVERAGE(K89,L89)</f>
        <v>-68.5</v>
      </c>
      <c r="O89" s="109">
        <f>AVERAGE(N89,L89)</f>
        <v>-68.75</v>
      </c>
      <c r="P89" s="109">
        <f>AVERAGE(N89,O89)</f>
        <v>-68.625</v>
      </c>
      <c r="Q89" s="240">
        <f t="shared" ref="Q89" si="112">AVERAGE(O89,P89)</f>
        <v>-68.6875</v>
      </c>
      <c r="R89" s="28"/>
      <c r="S89" s="68"/>
      <c r="T89" s="228"/>
      <c r="U89" s="68"/>
      <c r="V89" s="68"/>
      <c r="W89" s="68"/>
    </row>
    <row r="90" spans="2:23" s="25" customFormat="1" hidden="1" outlineLevel="1" x14ac:dyDescent="0.3">
      <c r="B90" s="222" t="s">
        <v>162</v>
      </c>
      <c r="C90" s="224"/>
      <c r="D90" s="37">
        <f>-D89*D91</f>
        <v>-39.549999999999997</v>
      </c>
      <c r="E90" s="37">
        <f>-E89*E91</f>
        <v>-10.5</v>
      </c>
      <c r="F90" s="37">
        <f>-F89*F91</f>
        <v>-24.719999999999935</v>
      </c>
      <c r="G90" s="138">
        <f>-G89*G91</f>
        <v>-34.299999999999997</v>
      </c>
      <c r="H90" s="73"/>
      <c r="I90" s="227">
        <f>-I89*I91</f>
        <v>32.9</v>
      </c>
      <c r="J90" s="37">
        <f>-J89*J91</f>
        <v>24.15</v>
      </c>
      <c r="K90" s="37">
        <f t="shared" ref="K90:L90" si="113">-K89*K91</f>
        <v>23.799999999999997</v>
      </c>
      <c r="L90" s="138">
        <f t="shared" si="113"/>
        <v>24.15</v>
      </c>
      <c r="M90" s="28"/>
      <c r="N90" s="227">
        <f t="shared" ref="N90:Q90" si="114">-N89*N91</f>
        <v>23.974999999999998</v>
      </c>
      <c r="O90" s="37">
        <f t="shared" si="114"/>
        <v>24.0625</v>
      </c>
      <c r="P90" s="37">
        <f t="shared" si="114"/>
        <v>24.018749999999997</v>
      </c>
      <c r="Q90" s="138">
        <f t="shared" si="114"/>
        <v>24.040624999999999</v>
      </c>
      <c r="R90" s="73"/>
      <c r="S90" s="38"/>
      <c r="T90" s="200"/>
    </row>
    <row r="91" spans="2:23" s="47" customFormat="1" hidden="1" outlineLevel="1" x14ac:dyDescent="0.3">
      <c r="B91" s="247" t="s">
        <v>163</v>
      </c>
      <c r="C91" s="270"/>
      <c r="D91" s="271">
        <v>0.35</v>
      </c>
      <c r="E91" s="272">
        <v>0.35</v>
      </c>
      <c r="F91" s="272">
        <v>0.43368421052631467</v>
      </c>
      <c r="G91" s="273">
        <v>0.35</v>
      </c>
      <c r="H91" s="274"/>
      <c r="I91" s="271">
        <v>0.35</v>
      </c>
      <c r="J91" s="272">
        <v>0.35</v>
      </c>
      <c r="K91" s="275">
        <v>0.35</v>
      </c>
      <c r="L91" s="276">
        <v>0.35</v>
      </c>
      <c r="M91" s="274"/>
      <c r="N91" s="277">
        <v>0.35</v>
      </c>
      <c r="O91" s="275">
        <v>0.35</v>
      </c>
      <c r="P91" s="275">
        <v>0.35</v>
      </c>
      <c r="Q91" s="276">
        <v>0.35</v>
      </c>
      <c r="R91" s="274"/>
      <c r="S91" s="38"/>
      <c r="T91" s="200"/>
    </row>
    <row r="92" spans="2:23" s="47" customFormat="1" collapsed="1" x14ac:dyDescent="0.3">
      <c r="B92" s="344" t="s">
        <v>17</v>
      </c>
      <c r="C92" s="345"/>
      <c r="D92" s="236"/>
      <c r="E92" s="236"/>
      <c r="F92" s="236"/>
      <c r="G92" s="236"/>
      <c r="H92" s="237"/>
      <c r="I92" s="236"/>
      <c r="J92" s="236"/>
      <c r="K92" s="238"/>
      <c r="L92" s="238"/>
      <c r="M92" s="237"/>
      <c r="N92" s="238"/>
      <c r="O92" s="238"/>
      <c r="P92" s="238"/>
      <c r="Q92" s="238"/>
      <c r="R92" s="237"/>
      <c r="S92" s="38"/>
      <c r="T92" s="200"/>
    </row>
    <row r="93" spans="2:23" s="47" customFormat="1" ht="16.2" hidden="1" outlineLevel="1" x14ac:dyDescent="0.45">
      <c r="B93" s="320" t="s">
        <v>18</v>
      </c>
      <c r="C93" s="321"/>
      <c r="D93" s="121"/>
      <c r="E93" s="121">
        <f>(E34+E97)/D34-1</f>
        <v>-1.27539606064897E-3</v>
      </c>
      <c r="F93" s="121">
        <f>(F34+F97)/E34-1</f>
        <v>1.4875115740740075E-3</v>
      </c>
      <c r="G93" s="121">
        <f>(G34+G97)/F34-1</f>
        <v>-1.4516468516070358E-3</v>
      </c>
      <c r="H93" s="8"/>
      <c r="I93" s="121">
        <f>(I34+I97)/G34-1</f>
        <v>2.0438159999999872E-2</v>
      </c>
      <c r="J93" s="121">
        <f>(J34+J97)/I34-1</f>
        <v>-1.2097506064281505E-2</v>
      </c>
      <c r="K93" s="177">
        <v>2.1192903751904444E-2</v>
      </c>
      <c r="L93" s="177">
        <v>1.5277563193934023E-2</v>
      </c>
      <c r="M93" s="203"/>
      <c r="N93" s="177">
        <v>5.0000000000000001E-3</v>
      </c>
      <c r="O93" s="177">
        <f t="shared" ref="O93:Q94" si="115">N93</f>
        <v>5.0000000000000001E-3</v>
      </c>
      <c r="P93" s="177">
        <f t="shared" si="115"/>
        <v>5.0000000000000001E-3</v>
      </c>
      <c r="Q93" s="177">
        <f t="shared" si="115"/>
        <v>5.0000000000000001E-3</v>
      </c>
      <c r="R93" s="8"/>
      <c r="T93" s="200"/>
    </row>
    <row r="94" spans="2:23" s="47" customFormat="1" ht="16.2" hidden="1" outlineLevel="1" x14ac:dyDescent="0.45">
      <c r="B94" s="320" t="s">
        <v>19</v>
      </c>
      <c r="C94" s="321"/>
      <c r="D94" s="121"/>
      <c r="E94" s="121">
        <f>(E35+E97)/D35-1</f>
        <v>-2.3803514421730787E-3</v>
      </c>
      <c r="F94" s="121">
        <f>(F35+F97)/E35-1</f>
        <v>1.471123193589996E-3</v>
      </c>
      <c r="G94" s="121">
        <f>(G35+G97)/F35-1</f>
        <v>-3.6124920174164243E-3</v>
      </c>
      <c r="H94" s="8"/>
      <c r="I94" s="121">
        <f>(I35+I97)/G35-1</f>
        <v>2.025214034057532E-2</v>
      </c>
      <c r="J94" s="121">
        <f>(J35+J97)/I35-1</f>
        <v>-2.1296958546110023E-2</v>
      </c>
      <c r="K94" s="177">
        <v>2.1192903751904444E-2</v>
      </c>
      <c r="L94" s="177">
        <v>1.5277563193934023E-2</v>
      </c>
      <c r="M94" s="203"/>
      <c r="N94" s="177">
        <v>5.0000000000000001E-3</v>
      </c>
      <c r="O94" s="177">
        <f t="shared" si="115"/>
        <v>5.0000000000000001E-3</v>
      </c>
      <c r="P94" s="177">
        <f t="shared" si="115"/>
        <v>5.0000000000000001E-3</v>
      </c>
      <c r="Q94" s="177">
        <f t="shared" si="115"/>
        <v>5.0000000000000001E-3</v>
      </c>
      <c r="R94" s="8"/>
      <c r="T94" s="200"/>
    </row>
    <row r="95" spans="2:23" s="25" customFormat="1" ht="16.2" hidden="1" outlineLevel="1" x14ac:dyDescent="0.45">
      <c r="B95" s="320" t="s">
        <v>20</v>
      </c>
      <c r="C95" s="321"/>
      <c r="D95" s="37">
        <v>147.32</v>
      </c>
      <c r="E95" s="37">
        <v>147.38999999999999</v>
      </c>
      <c r="F95" s="37">
        <v>137.6</v>
      </c>
      <c r="G95" s="37">
        <v>141.74</v>
      </c>
      <c r="H95" s="34"/>
      <c r="I95" s="37">
        <v>122.49</v>
      </c>
      <c r="J95" s="37">
        <v>130.75</v>
      </c>
      <c r="K95" s="109">
        <v>130</v>
      </c>
      <c r="L95" s="109">
        <v>130</v>
      </c>
      <c r="M95" s="34"/>
      <c r="N95" s="109">
        <v>130</v>
      </c>
      <c r="O95" s="109">
        <v>130</v>
      </c>
      <c r="P95" s="109">
        <v>130</v>
      </c>
      <c r="Q95" s="109">
        <v>130</v>
      </c>
      <c r="R95" s="34"/>
      <c r="S95" s="63"/>
      <c r="T95" s="63"/>
    </row>
    <row r="96" spans="2:23" s="47" customFormat="1" hidden="1" outlineLevel="1" x14ac:dyDescent="0.3">
      <c r="B96" s="320" t="s">
        <v>21</v>
      </c>
      <c r="C96" s="321"/>
      <c r="D96" s="37">
        <v>2585.87068804</v>
      </c>
      <c r="E96" s="36">
        <v>2004.4970726699999</v>
      </c>
      <c r="F96" s="37">
        <v>1503.7159167999998</v>
      </c>
      <c r="G96" s="37">
        <v>752.78014782000002</v>
      </c>
      <c r="H96" s="28"/>
      <c r="I96" s="37">
        <v>3576.18839742</v>
      </c>
      <c r="J96" s="36">
        <v>2003.1534137500003</v>
      </c>
      <c r="K96" s="109">
        <v>500</v>
      </c>
      <c r="L96" s="109">
        <v>500</v>
      </c>
      <c r="M96" s="28"/>
      <c r="N96" s="109">
        <v>500</v>
      </c>
      <c r="O96" s="109">
        <v>500</v>
      </c>
      <c r="P96" s="109">
        <v>500</v>
      </c>
      <c r="Q96" s="109">
        <v>500</v>
      </c>
      <c r="R96" s="28"/>
      <c r="S96" s="63"/>
      <c r="T96" s="63"/>
    </row>
    <row r="97" spans="2:33" s="63" customFormat="1" ht="16.2" hidden="1" outlineLevel="1" x14ac:dyDescent="0.45">
      <c r="B97" s="342" t="s">
        <v>22</v>
      </c>
      <c r="C97" s="343"/>
      <c r="D97" s="278">
        <f>IF((D96)&gt;0,(D96/D95),0)</f>
        <v>17.552747</v>
      </c>
      <c r="E97" s="278">
        <f t="shared" ref="E97" si="116">IF((E96)&gt;0,(E96/E95),0)</f>
        <v>13.599953000000001</v>
      </c>
      <c r="F97" s="278">
        <f t="shared" ref="F97" si="117">IF((F96)&gt;0,(F96/F95),0)</f>
        <v>10.928167999999999</v>
      </c>
      <c r="G97" s="278">
        <f t="shared" ref="G97" si="118">IF((G96)&gt;0,(G96/G95),0)</f>
        <v>5.3109929999999999</v>
      </c>
      <c r="H97" s="279"/>
      <c r="I97" s="278">
        <f t="shared" ref="I97" si="119">IF((I96)&gt;0,(I96/I95),0)</f>
        <v>29.195758000000001</v>
      </c>
      <c r="J97" s="278">
        <f t="shared" ref="J97:Q97" si="120">IF((J96)&gt;0,(J96/J95),0)</f>
        <v>15.320485000000001</v>
      </c>
      <c r="K97" s="278">
        <f t="shared" si="120"/>
        <v>3.8461538461538463</v>
      </c>
      <c r="L97" s="278">
        <f t="shared" si="120"/>
        <v>3.8461538461538463</v>
      </c>
      <c r="M97" s="279"/>
      <c r="N97" s="278">
        <f t="shared" si="120"/>
        <v>3.8461538461538463</v>
      </c>
      <c r="O97" s="278">
        <f t="shared" si="120"/>
        <v>3.8461538461538463</v>
      </c>
      <c r="P97" s="278">
        <f t="shared" si="120"/>
        <v>3.8461538461538463</v>
      </c>
      <c r="Q97" s="278">
        <f t="shared" si="120"/>
        <v>3.8461538461538463</v>
      </c>
      <c r="R97" s="279"/>
      <c r="S97" s="14"/>
    </row>
    <row r="98" spans="2:33" s="63" customFormat="1" collapsed="1" x14ac:dyDescent="0.3">
      <c r="B98" s="21"/>
      <c r="C98" s="89"/>
      <c r="D98" s="37"/>
      <c r="E98" s="37"/>
      <c r="F98" s="37"/>
      <c r="G98" s="37"/>
      <c r="H98" s="37"/>
      <c r="I98" s="37"/>
      <c r="J98" s="37"/>
      <c r="K98" s="37"/>
      <c r="L98" s="37"/>
      <c r="M98" s="37"/>
      <c r="N98" s="37"/>
      <c r="O98" s="37"/>
      <c r="P98" s="37"/>
      <c r="Q98" s="37"/>
      <c r="R98" s="37"/>
      <c r="S98" s="14"/>
    </row>
    <row r="99" spans="2:33" s="25" customFormat="1" ht="15" customHeight="1" x14ac:dyDescent="0.3">
      <c r="B99" s="322" t="s">
        <v>61</v>
      </c>
      <c r="C99" s="323"/>
      <c r="D99" s="90"/>
      <c r="E99" s="90"/>
      <c r="F99" s="90"/>
      <c r="G99" s="90"/>
      <c r="H99" s="90"/>
      <c r="I99" s="90"/>
      <c r="J99" s="90"/>
      <c r="K99" s="90"/>
      <c r="L99" s="90"/>
      <c r="M99" s="90"/>
      <c r="N99" s="90"/>
      <c r="O99" s="90"/>
      <c r="P99" s="90"/>
      <c r="Q99" s="90"/>
      <c r="R99" s="90"/>
    </row>
    <row r="100" spans="2:33" s="47" customFormat="1" ht="15" hidden="1" customHeight="1" outlineLevel="1" x14ac:dyDescent="0.3">
      <c r="B100" s="324" t="s">
        <v>0</v>
      </c>
      <c r="C100" s="325"/>
      <c r="D100" s="49" t="s">
        <v>141</v>
      </c>
      <c r="E100" s="49" t="s">
        <v>142</v>
      </c>
      <c r="F100" s="49" t="s">
        <v>140</v>
      </c>
      <c r="G100" s="49" t="s">
        <v>143</v>
      </c>
      <c r="H100" s="49" t="s">
        <v>143</v>
      </c>
      <c r="I100" s="49" t="s">
        <v>141</v>
      </c>
      <c r="J100" s="49" t="s">
        <v>142</v>
      </c>
      <c r="S100" s="68"/>
    </row>
    <row r="101" spans="2:33" s="47" customFormat="1" ht="16.2" hidden="1" outlineLevel="1" x14ac:dyDescent="0.45">
      <c r="B101" s="324"/>
      <c r="C101" s="325"/>
      <c r="D101" s="50" t="s">
        <v>23</v>
      </c>
      <c r="E101" s="50" t="s">
        <v>24</v>
      </c>
      <c r="F101" s="50" t="s">
        <v>31</v>
      </c>
      <c r="G101" s="50" t="s">
        <v>50</v>
      </c>
      <c r="H101" s="50" t="s">
        <v>51</v>
      </c>
      <c r="I101" s="50" t="s">
        <v>144</v>
      </c>
      <c r="J101" s="50" t="s">
        <v>145</v>
      </c>
      <c r="S101" s="90"/>
      <c r="T101" s="90"/>
      <c r="U101" s="90"/>
      <c r="V101" s="90"/>
      <c r="W101" s="90"/>
      <c r="X101" s="90"/>
      <c r="Y101" s="90"/>
      <c r="Z101" s="90"/>
      <c r="AA101" s="90"/>
      <c r="AB101" s="90"/>
      <c r="AC101" s="90"/>
      <c r="AD101" s="90"/>
      <c r="AE101" s="90"/>
      <c r="AF101" s="90"/>
      <c r="AG101" s="90"/>
    </row>
    <row r="102" spans="2:33" s="47" customFormat="1" hidden="1" outlineLevel="1" x14ac:dyDescent="0.3">
      <c r="B102" s="318" t="s">
        <v>62</v>
      </c>
      <c r="C102" s="319"/>
      <c r="D102" s="91"/>
      <c r="E102" s="92"/>
      <c r="F102" s="93"/>
      <c r="G102" s="93"/>
      <c r="H102" s="94"/>
      <c r="I102" s="288"/>
      <c r="J102" s="292"/>
    </row>
    <row r="103" spans="2:33" s="47" customFormat="1" hidden="1" outlineLevel="1" x14ac:dyDescent="0.3">
      <c r="B103" s="320" t="s">
        <v>63</v>
      </c>
      <c r="C103" s="321"/>
      <c r="D103" s="147">
        <v>8655</v>
      </c>
      <c r="E103" s="147">
        <v>9157</v>
      </c>
      <c r="F103" s="154">
        <v>9383</v>
      </c>
      <c r="G103" s="147">
        <v>11302</v>
      </c>
      <c r="H103" s="104">
        <v>11302</v>
      </c>
      <c r="I103" s="167">
        <v>7886</v>
      </c>
      <c r="J103" s="103">
        <v>8605</v>
      </c>
    </row>
    <row r="104" spans="2:33" s="47" customFormat="1" hidden="1" outlineLevel="1" x14ac:dyDescent="0.3">
      <c r="B104" s="320" t="s">
        <v>90</v>
      </c>
      <c r="C104" s="321"/>
      <c r="D104" s="147">
        <v>976</v>
      </c>
      <c r="E104" s="147">
        <v>468</v>
      </c>
      <c r="F104" s="147">
        <v>474</v>
      </c>
      <c r="G104" s="147">
        <v>750</v>
      </c>
      <c r="H104" s="104">
        <v>750</v>
      </c>
      <c r="I104" s="167">
        <v>466</v>
      </c>
      <c r="J104" s="103">
        <v>660</v>
      </c>
    </row>
    <row r="105" spans="2:33" s="47" customFormat="1" hidden="1" outlineLevel="1" x14ac:dyDescent="0.3">
      <c r="B105" s="320" t="s">
        <v>64</v>
      </c>
      <c r="C105" s="321"/>
      <c r="D105" s="147">
        <v>8087</v>
      </c>
      <c r="E105" s="147">
        <v>7927</v>
      </c>
      <c r="F105" s="147">
        <v>8854</v>
      </c>
      <c r="G105" s="147">
        <v>8713</v>
      </c>
      <c r="H105" s="104">
        <v>8713</v>
      </c>
      <c r="I105" s="167">
        <v>9711</v>
      </c>
      <c r="J105" s="103">
        <v>9809</v>
      </c>
    </row>
    <row r="106" spans="2:33" s="47" customFormat="1" hidden="1" outlineLevel="1" x14ac:dyDescent="0.3">
      <c r="B106" s="320" t="s">
        <v>110</v>
      </c>
      <c r="C106" s="321"/>
      <c r="D106" s="147">
        <v>184</v>
      </c>
      <c r="E106" s="147">
        <v>209</v>
      </c>
      <c r="F106" s="147">
        <v>227</v>
      </c>
      <c r="G106" s="147">
        <v>212</v>
      </c>
      <c r="H106" s="104">
        <v>212</v>
      </c>
      <c r="I106" s="167">
        <v>258</v>
      </c>
      <c r="J106" s="103">
        <v>251</v>
      </c>
    </row>
    <row r="107" spans="2:33" s="47" customFormat="1" hidden="1" outlineLevel="1" x14ac:dyDescent="0.3">
      <c r="B107" s="119" t="s">
        <v>97</v>
      </c>
      <c r="C107" s="120"/>
      <c r="D107" s="147">
        <v>17</v>
      </c>
      <c r="E107" s="147">
        <v>17</v>
      </c>
      <c r="F107" s="147">
        <v>14</v>
      </c>
      <c r="G107" s="147">
        <v>-48</v>
      </c>
      <c r="H107" s="104">
        <v>0</v>
      </c>
      <c r="I107" s="167">
        <v>0</v>
      </c>
      <c r="J107" s="103">
        <v>0</v>
      </c>
    </row>
    <row r="108" spans="2:33" s="47" customFormat="1" ht="16.2" hidden="1" outlineLevel="1" x14ac:dyDescent="0.45">
      <c r="B108" s="320" t="s">
        <v>111</v>
      </c>
      <c r="C108" s="321"/>
      <c r="D108" s="210">
        <v>48502</v>
      </c>
      <c r="E108" s="210">
        <v>49028</v>
      </c>
      <c r="F108" s="210">
        <v>48624</v>
      </c>
      <c r="G108" s="210">
        <v>47257</v>
      </c>
      <c r="H108" s="287">
        <v>47257</v>
      </c>
      <c r="I108" s="289">
        <v>47266</v>
      </c>
      <c r="J108" s="293">
        <v>44182</v>
      </c>
    </row>
    <row r="109" spans="2:33" s="47" customFormat="1" hidden="1" outlineLevel="1" x14ac:dyDescent="0.3">
      <c r="B109" s="314" t="s">
        <v>65</v>
      </c>
      <c r="C109" s="315"/>
      <c r="D109" s="151">
        <f t="shared" ref="D109:J109" si="121">SUM(D103:D108)</f>
        <v>66421</v>
      </c>
      <c r="E109" s="151">
        <f t="shared" si="121"/>
        <v>66806</v>
      </c>
      <c r="F109" s="151">
        <f>SUM(F103:F108)</f>
        <v>67576</v>
      </c>
      <c r="G109" s="151">
        <v>68234</v>
      </c>
      <c r="H109" s="155">
        <v>68234</v>
      </c>
      <c r="I109" s="151">
        <f>SUM(I103:I108)</f>
        <v>65587</v>
      </c>
      <c r="J109" s="173">
        <f t="shared" si="121"/>
        <v>63507</v>
      </c>
    </row>
    <row r="110" spans="2:33" s="47" customFormat="1" hidden="1" outlineLevel="1" x14ac:dyDescent="0.3">
      <c r="B110" s="114" t="s">
        <v>112</v>
      </c>
      <c r="C110" s="117"/>
      <c r="D110" s="147">
        <v>3301</v>
      </c>
      <c r="E110" s="147">
        <v>3175</v>
      </c>
      <c r="F110" s="147">
        <v>3231</v>
      </c>
      <c r="G110" s="147">
        <v>3358</v>
      </c>
      <c r="H110" s="156">
        <v>3358</v>
      </c>
      <c r="I110" s="174">
        <v>2980</v>
      </c>
      <c r="J110" s="178">
        <v>2909</v>
      </c>
    </row>
    <row r="111" spans="2:33" s="47" customFormat="1" hidden="1" outlineLevel="1" x14ac:dyDescent="0.3">
      <c r="B111" s="320" t="s">
        <v>66</v>
      </c>
      <c r="C111" s="321"/>
      <c r="D111" s="147">
        <v>11172</v>
      </c>
      <c r="E111" s="147">
        <v>11338</v>
      </c>
      <c r="F111" s="147">
        <v>11614</v>
      </c>
      <c r="G111" s="147">
        <v>12076</v>
      </c>
      <c r="H111" s="156">
        <v>12076</v>
      </c>
      <c r="I111" s="167">
        <v>12269</v>
      </c>
      <c r="J111" s="103">
        <v>12533</v>
      </c>
    </row>
    <row r="112" spans="2:33" s="47" customFormat="1" hidden="1" outlineLevel="1" x14ac:dyDescent="0.3">
      <c r="B112" s="83" t="s">
        <v>92</v>
      </c>
      <c r="C112" s="84"/>
      <c r="D112" s="147">
        <v>5105</v>
      </c>
      <c r="E112" s="147">
        <v>5126</v>
      </c>
      <c r="F112" s="147">
        <v>5122</v>
      </c>
      <c r="G112" s="147">
        <v>5126</v>
      </c>
      <c r="H112" s="156">
        <v>5126</v>
      </c>
      <c r="I112" s="167">
        <v>5132</v>
      </c>
      <c r="J112" s="103">
        <v>5128</v>
      </c>
    </row>
    <row r="113" spans="2:18" s="47" customFormat="1" hidden="1" outlineLevel="1" x14ac:dyDescent="0.3">
      <c r="B113" s="110" t="s">
        <v>91</v>
      </c>
      <c r="C113" s="111"/>
      <c r="D113" s="147">
        <v>2809</v>
      </c>
      <c r="E113" s="147">
        <v>2763</v>
      </c>
      <c r="F113" s="147">
        <v>2706</v>
      </c>
      <c r="G113" s="147">
        <v>2657</v>
      </c>
      <c r="H113" s="156">
        <v>2657</v>
      </c>
      <c r="I113" s="167">
        <v>2594</v>
      </c>
      <c r="J113" s="103">
        <v>2544</v>
      </c>
    </row>
    <row r="114" spans="2:18" s="47" customFormat="1" hidden="1" outlineLevel="1" x14ac:dyDescent="0.3">
      <c r="B114" s="119" t="s">
        <v>97</v>
      </c>
      <c r="C114" s="120"/>
      <c r="D114" s="147">
        <v>6485</v>
      </c>
      <c r="E114" s="147">
        <v>6264</v>
      </c>
      <c r="F114" s="147">
        <v>6146</v>
      </c>
      <c r="G114" s="147">
        <v>265</v>
      </c>
      <c r="H114" s="156">
        <v>265</v>
      </c>
      <c r="I114" s="167">
        <v>267</v>
      </c>
      <c r="J114" s="103">
        <v>267</v>
      </c>
    </row>
    <row r="115" spans="2:18" s="47" customFormat="1" hidden="1" outlineLevel="1" x14ac:dyDescent="0.3">
      <c r="B115" s="119" t="s">
        <v>151</v>
      </c>
      <c r="C115" s="120"/>
      <c r="D115" s="147">
        <v>1154</v>
      </c>
      <c r="E115" s="147">
        <v>1256</v>
      </c>
      <c r="F115" s="147">
        <v>1277</v>
      </c>
      <c r="G115" s="147">
        <v>1284</v>
      </c>
      <c r="H115" s="156">
        <v>1284</v>
      </c>
      <c r="I115" s="167">
        <v>1297</v>
      </c>
      <c r="J115" s="103">
        <v>1312</v>
      </c>
    </row>
    <row r="116" spans="2:18" s="47" customFormat="1" ht="16.2" hidden="1" outlineLevel="1" x14ac:dyDescent="0.45">
      <c r="B116" s="320" t="s">
        <v>93</v>
      </c>
      <c r="C116" s="321"/>
      <c r="D116" s="210">
        <v>1328</v>
      </c>
      <c r="E116" s="210">
        <v>1374</v>
      </c>
      <c r="F116" s="210">
        <v>1326</v>
      </c>
      <c r="G116" s="210">
        <v>1408</v>
      </c>
      <c r="H116" s="287">
        <v>1408</v>
      </c>
      <c r="I116" s="289">
        <v>1421</v>
      </c>
      <c r="J116" s="293">
        <v>1409</v>
      </c>
    </row>
    <row r="117" spans="2:18" s="47" customFormat="1" hidden="1" outlineLevel="1" x14ac:dyDescent="0.3">
      <c r="B117" s="314" t="s">
        <v>67</v>
      </c>
      <c r="C117" s="315"/>
      <c r="D117" s="151">
        <f t="shared" ref="D117" si="122">SUM(D109:D116)</f>
        <v>97775</v>
      </c>
      <c r="E117" s="151">
        <f t="shared" ref="E117:F117" si="123">SUM(E109:E116)</f>
        <v>98102</v>
      </c>
      <c r="F117" s="151">
        <f t="shared" si="123"/>
        <v>98998</v>
      </c>
      <c r="G117" s="151">
        <v>94408</v>
      </c>
      <c r="H117" s="155">
        <v>94408</v>
      </c>
      <c r="I117" s="175">
        <f t="shared" ref="I117:J117" si="124">SUM(I109:I116)</f>
        <v>91547</v>
      </c>
      <c r="J117" s="173">
        <f t="shared" si="124"/>
        <v>89609</v>
      </c>
    </row>
    <row r="118" spans="2:18" s="47" customFormat="1" hidden="1" outlineLevel="1" x14ac:dyDescent="0.3">
      <c r="B118" s="318" t="s">
        <v>68</v>
      </c>
      <c r="C118" s="319"/>
      <c r="D118" s="147"/>
      <c r="E118" s="147"/>
      <c r="F118" s="147"/>
      <c r="G118" s="147"/>
      <c r="H118" s="104"/>
      <c r="I118" s="167"/>
      <c r="J118" s="103"/>
      <c r="L118" s="132"/>
      <c r="M118" s="132"/>
      <c r="N118" s="132"/>
    </row>
    <row r="119" spans="2:18" s="47" customFormat="1" hidden="1" outlineLevel="1" x14ac:dyDescent="0.3">
      <c r="B119" s="320" t="s">
        <v>69</v>
      </c>
      <c r="C119" s="321"/>
      <c r="D119" s="147">
        <v>11497</v>
      </c>
      <c r="E119" s="147">
        <v>11531</v>
      </c>
      <c r="F119" s="147">
        <v>11777</v>
      </c>
      <c r="G119" s="103">
        <v>10800</v>
      </c>
      <c r="H119" s="104">
        <v>10800</v>
      </c>
      <c r="I119" s="167">
        <v>11558</v>
      </c>
      <c r="J119" s="103">
        <v>11748</v>
      </c>
      <c r="K119" s="135"/>
      <c r="L119" s="132"/>
      <c r="M119" s="26"/>
      <c r="N119" s="132"/>
    </row>
    <row r="120" spans="2:18" s="47" customFormat="1" hidden="1" outlineLevel="1" x14ac:dyDescent="0.3">
      <c r="B120" s="312" t="s">
        <v>131</v>
      </c>
      <c r="C120" s="313"/>
      <c r="D120" s="147">
        <v>11958</v>
      </c>
      <c r="E120" s="147">
        <v>13226</v>
      </c>
      <c r="F120" s="147">
        <v>12770</v>
      </c>
      <c r="G120" s="103">
        <v>14014</v>
      </c>
      <c r="H120" s="104">
        <v>14014</v>
      </c>
      <c r="I120" s="167">
        <v>12790</v>
      </c>
      <c r="J120" s="103">
        <v>13534</v>
      </c>
      <c r="K120" s="135"/>
      <c r="L120" s="132"/>
      <c r="M120" s="26"/>
      <c r="N120" s="132"/>
    </row>
    <row r="121" spans="2:18" s="47" customFormat="1" hidden="1" outlineLevel="1" x14ac:dyDescent="0.3">
      <c r="B121" s="312" t="s">
        <v>113</v>
      </c>
      <c r="C121" s="313"/>
      <c r="D121" s="147">
        <v>22752</v>
      </c>
      <c r="E121" s="147">
        <v>23373</v>
      </c>
      <c r="F121" s="147">
        <v>23442</v>
      </c>
      <c r="G121" s="103">
        <v>24364</v>
      </c>
      <c r="H121" s="104">
        <v>24364</v>
      </c>
      <c r="I121" s="167">
        <v>23926</v>
      </c>
      <c r="J121" s="103">
        <v>23409</v>
      </c>
      <c r="K121" s="135"/>
      <c r="L121" s="132"/>
      <c r="M121" s="26"/>
      <c r="N121" s="132"/>
    </row>
    <row r="122" spans="2:18" s="47" customFormat="1" hidden="1" outlineLevel="1" x14ac:dyDescent="0.3">
      <c r="B122" s="114" t="s">
        <v>123</v>
      </c>
      <c r="C122" s="115"/>
      <c r="D122" s="147">
        <v>8916</v>
      </c>
      <c r="E122" s="147">
        <v>8894</v>
      </c>
      <c r="F122" s="147">
        <v>9205</v>
      </c>
      <c r="G122" s="103">
        <v>0</v>
      </c>
      <c r="H122" s="104">
        <v>0</v>
      </c>
      <c r="I122" s="167">
        <v>0</v>
      </c>
      <c r="J122" s="103">
        <v>0</v>
      </c>
      <c r="K122" s="135"/>
      <c r="L122" s="132"/>
      <c r="M122" s="26"/>
      <c r="N122" s="132"/>
    </row>
    <row r="123" spans="2:18" s="47" customFormat="1" ht="16.2" hidden="1" outlineLevel="1" x14ac:dyDescent="0.45">
      <c r="B123" s="312" t="s">
        <v>114</v>
      </c>
      <c r="C123" s="313"/>
      <c r="D123" s="210">
        <v>133</v>
      </c>
      <c r="E123" s="210">
        <v>112</v>
      </c>
      <c r="F123" s="210">
        <v>614</v>
      </c>
      <c r="G123" s="293">
        <v>1234</v>
      </c>
      <c r="H123" s="287">
        <v>1234</v>
      </c>
      <c r="I123" s="289">
        <v>1243</v>
      </c>
      <c r="J123" s="293">
        <v>1168</v>
      </c>
      <c r="K123" s="135"/>
      <c r="L123" s="132"/>
      <c r="M123" s="26"/>
      <c r="N123" s="132"/>
    </row>
    <row r="124" spans="2:18" s="47" customFormat="1" hidden="1" outlineLevel="1" x14ac:dyDescent="0.3">
      <c r="B124" s="314" t="s">
        <v>70</v>
      </c>
      <c r="C124" s="315"/>
      <c r="D124" s="151">
        <f t="shared" ref="D124:F124" si="125">SUM(D119:D123)</f>
        <v>55256</v>
      </c>
      <c r="E124" s="151">
        <f t="shared" si="125"/>
        <v>57136</v>
      </c>
      <c r="F124" s="151">
        <f t="shared" si="125"/>
        <v>57808</v>
      </c>
      <c r="G124" s="173">
        <v>50412</v>
      </c>
      <c r="H124" s="155">
        <v>50412</v>
      </c>
      <c r="I124" s="175">
        <f>SUM(I119:I123)</f>
        <v>49517</v>
      </c>
      <c r="J124" s="173">
        <f>SUM(J119:J123)</f>
        <v>49859</v>
      </c>
      <c r="K124" s="135"/>
      <c r="L124" s="132"/>
      <c r="M124" s="98"/>
      <c r="N124" s="132"/>
    </row>
    <row r="125" spans="2:18" s="47" customFormat="1" hidden="1" outlineLevel="1" x14ac:dyDescent="0.3">
      <c r="B125" s="114" t="s">
        <v>97</v>
      </c>
      <c r="C125" s="117"/>
      <c r="D125" s="151"/>
      <c r="E125" s="151"/>
      <c r="F125" s="151"/>
      <c r="G125" s="178">
        <v>2392</v>
      </c>
      <c r="H125" s="156">
        <v>2392</v>
      </c>
      <c r="I125" s="174">
        <v>2297</v>
      </c>
      <c r="J125" s="178">
        <v>2422</v>
      </c>
      <c r="K125" s="135"/>
      <c r="L125" s="132"/>
      <c r="M125" s="98"/>
      <c r="N125" s="132"/>
    </row>
    <row r="126" spans="2:18" s="47" customFormat="1" hidden="1" outlineLevel="1" x14ac:dyDescent="0.3">
      <c r="B126" s="114" t="s">
        <v>115</v>
      </c>
      <c r="C126" s="115"/>
      <c r="D126" s="147">
        <v>6789</v>
      </c>
      <c r="E126" s="147">
        <v>6777</v>
      </c>
      <c r="F126" s="147">
        <v>6746</v>
      </c>
      <c r="G126" s="178">
        <v>6616</v>
      </c>
      <c r="H126" s="156">
        <v>6616</v>
      </c>
      <c r="I126" s="174">
        <v>6614</v>
      </c>
      <c r="J126" s="178">
        <v>6586</v>
      </c>
      <c r="K126" s="135"/>
      <c r="L126" s="136"/>
      <c r="M126" s="107"/>
      <c r="N126" s="136"/>
      <c r="O126" s="48"/>
      <c r="P126" s="48"/>
      <c r="Q126" s="48"/>
      <c r="R126" s="48"/>
    </row>
    <row r="127" spans="2:18" s="47" customFormat="1" hidden="1" outlineLevel="1" x14ac:dyDescent="0.3">
      <c r="B127" s="114" t="s">
        <v>116</v>
      </c>
      <c r="C127" s="115"/>
      <c r="D127" s="147">
        <v>17362</v>
      </c>
      <c r="E127" s="147">
        <v>17537</v>
      </c>
      <c r="F127" s="147">
        <v>17795</v>
      </c>
      <c r="G127" s="178">
        <v>17783</v>
      </c>
      <c r="H127" s="156">
        <v>17783</v>
      </c>
      <c r="I127" s="174">
        <v>18196</v>
      </c>
      <c r="J127" s="178">
        <v>18200</v>
      </c>
      <c r="K127" s="135"/>
      <c r="L127" s="136"/>
      <c r="M127" s="107"/>
      <c r="N127" s="136"/>
      <c r="O127" s="48"/>
      <c r="P127" s="48"/>
      <c r="Q127" s="48"/>
      <c r="R127" s="48"/>
    </row>
    <row r="128" spans="2:18" s="47" customFormat="1" hidden="1" outlineLevel="1" x14ac:dyDescent="0.3">
      <c r="B128" s="114" t="s">
        <v>124</v>
      </c>
      <c r="C128" s="115"/>
      <c r="D128" s="147">
        <v>352</v>
      </c>
      <c r="E128" s="147">
        <v>389</v>
      </c>
      <c r="F128" s="147">
        <v>378</v>
      </c>
      <c r="G128" s="148">
        <v>0</v>
      </c>
      <c r="H128" s="156">
        <v>0</v>
      </c>
      <c r="I128" s="167">
        <v>0</v>
      </c>
      <c r="J128" s="103">
        <v>0</v>
      </c>
      <c r="K128" s="135"/>
      <c r="L128" s="136"/>
      <c r="M128" s="107"/>
      <c r="N128" s="136"/>
      <c r="O128" s="48"/>
      <c r="P128" s="48"/>
      <c r="Q128" s="48"/>
      <c r="R128" s="48"/>
    </row>
    <row r="129" spans="2:18" s="48" customFormat="1" hidden="1" outlineLevel="1" x14ac:dyDescent="0.3">
      <c r="B129" s="114" t="s">
        <v>71</v>
      </c>
      <c r="C129" s="115"/>
      <c r="D129" s="147">
        <v>1081</v>
      </c>
      <c r="E129" s="147">
        <v>1052</v>
      </c>
      <c r="F129" s="147">
        <v>1083</v>
      </c>
      <c r="G129" s="147">
        <v>2078</v>
      </c>
      <c r="H129" s="156">
        <v>2078</v>
      </c>
      <c r="I129" s="174">
        <v>2096</v>
      </c>
      <c r="J129" s="178">
        <v>2048</v>
      </c>
      <c r="K129" s="135"/>
      <c r="L129" s="136"/>
      <c r="M129" s="107"/>
      <c r="N129" s="136"/>
    </row>
    <row r="130" spans="2:18" s="48" customFormat="1" ht="16.2" hidden="1" outlineLevel="1" x14ac:dyDescent="0.45">
      <c r="B130" s="114" t="s">
        <v>117</v>
      </c>
      <c r="C130" s="115"/>
      <c r="D130" s="210">
        <v>8905</v>
      </c>
      <c r="E130" s="210">
        <v>8904</v>
      </c>
      <c r="F130" s="210">
        <v>8402</v>
      </c>
      <c r="G130" s="210">
        <v>8730</v>
      </c>
      <c r="H130" s="287">
        <v>8730</v>
      </c>
      <c r="I130" s="289">
        <v>8721</v>
      </c>
      <c r="J130" s="293">
        <v>9847</v>
      </c>
      <c r="K130" s="135"/>
      <c r="L130" s="136"/>
      <c r="M130" s="107"/>
      <c r="N130" s="136"/>
    </row>
    <row r="131" spans="2:18" s="48" customFormat="1" hidden="1" outlineLevel="1" x14ac:dyDescent="0.3">
      <c r="B131" s="314" t="s">
        <v>72</v>
      </c>
      <c r="C131" s="315"/>
      <c r="D131" s="151">
        <f>SUM(D124:D130)</f>
        <v>89745</v>
      </c>
      <c r="E131" s="151">
        <f>SUM(E124:E130)</f>
        <v>91795</v>
      </c>
      <c r="F131" s="151">
        <f>SUM(F124:F130)</f>
        <v>92212</v>
      </c>
      <c r="G131" s="151">
        <v>88011</v>
      </c>
      <c r="H131" s="157">
        <v>88011</v>
      </c>
      <c r="I131" s="175">
        <f>SUM(I124:I130)</f>
        <v>87441</v>
      </c>
      <c r="J131" s="173">
        <f>SUM(J124:J130)</f>
        <v>88962</v>
      </c>
      <c r="K131" s="135"/>
      <c r="L131" s="136"/>
      <c r="M131" s="71"/>
      <c r="N131" s="136"/>
    </row>
    <row r="132" spans="2:18" s="48" customFormat="1" hidden="1" outlineLevel="1" x14ac:dyDescent="0.3">
      <c r="B132" s="318" t="s">
        <v>73</v>
      </c>
      <c r="C132" s="319"/>
      <c r="D132" s="147"/>
      <c r="E132" s="147"/>
      <c r="F132" s="154"/>
      <c r="G132" s="147"/>
      <c r="H132" s="104"/>
      <c r="I132" s="290"/>
      <c r="J132" s="294"/>
      <c r="K132" s="135"/>
      <c r="L132" s="136"/>
      <c r="M132" s="26"/>
      <c r="N132" s="136"/>
    </row>
    <row r="133" spans="2:18" s="48" customFormat="1" hidden="1" outlineLevel="1" x14ac:dyDescent="0.3">
      <c r="B133" s="312" t="s">
        <v>95</v>
      </c>
      <c r="C133" s="313"/>
      <c r="D133" s="147">
        <v>5061</v>
      </c>
      <c r="E133" s="147">
        <v>5061</v>
      </c>
      <c r="F133" s="154">
        <v>5061</v>
      </c>
      <c r="G133" s="103">
        <v>5061</v>
      </c>
      <c r="H133" s="104">
        <v>5061</v>
      </c>
      <c r="I133" s="167">
        <f t="shared" ref="I133" si="126">H133</f>
        <v>5061</v>
      </c>
      <c r="J133" s="103">
        <v>5061</v>
      </c>
      <c r="K133" s="135"/>
      <c r="L133" s="132"/>
      <c r="M133" s="26"/>
      <c r="N133" s="132"/>
      <c r="O133" s="47"/>
      <c r="P133" s="47"/>
      <c r="Q133" s="47"/>
      <c r="R133" s="47"/>
    </row>
    <row r="134" spans="2:18" s="47" customFormat="1" ht="15.75" hidden="1" customHeight="1" outlineLevel="1" x14ac:dyDescent="0.3">
      <c r="B134" s="112" t="s">
        <v>94</v>
      </c>
      <c r="C134" s="113"/>
      <c r="D134" s="147">
        <v>4657</v>
      </c>
      <c r="E134" s="147">
        <v>4721</v>
      </c>
      <c r="F134" s="154">
        <v>4771</v>
      </c>
      <c r="G134" s="103">
        <v>4834</v>
      </c>
      <c r="H134" s="104">
        <v>4834</v>
      </c>
      <c r="I134" s="167">
        <v>4784</v>
      </c>
      <c r="J134" s="103">
        <v>4778</v>
      </c>
      <c r="K134" s="135"/>
      <c r="L134" s="132"/>
      <c r="M134" s="26"/>
      <c r="N134" s="132"/>
    </row>
    <row r="135" spans="2:18" s="47" customFormat="1" hidden="1" outlineLevel="1" x14ac:dyDescent="0.3">
      <c r="B135" s="114" t="s">
        <v>118</v>
      </c>
      <c r="C135" s="115"/>
      <c r="D135" s="147">
        <v>-25513</v>
      </c>
      <c r="E135" s="147">
        <v>-27463</v>
      </c>
      <c r="F135" s="154">
        <v>-28898</v>
      </c>
      <c r="G135" s="103">
        <v>-29568</v>
      </c>
      <c r="H135" s="104">
        <v>-29568</v>
      </c>
      <c r="I135" s="167">
        <v>-32939</v>
      </c>
      <c r="J135" s="103">
        <v>-34821</v>
      </c>
      <c r="K135" s="135"/>
      <c r="L135" s="132"/>
      <c r="M135" s="26"/>
      <c r="N135" s="132"/>
    </row>
    <row r="136" spans="2:18" s="47" customFormat="1" hidden="1" outlineLevel="1" x14ac:dyDescent="0.3">
      <c r="B136" s="114" t="s">
        <v>119</v>
      </c>
      <c r="C136" s="115"/>
      <c r="D136" s="147">
        <v>37516</v>
      </c>
      <c r="E136" s="147">
        <v>37365</v>
      </c>
      <c r="F136" s="154">
        <v>39069</v>
      </c>
      <c r="G136" s="103">
        <v>38756</v>
      </c>
      <c r="H136" s="104">
        <v>38756</v>
      </c>
      <c r="I136" s="167">
        <v>39975</v>
      </c>
      <c r="J136" s="103">
        <v>38362</v>
      </c>
      <c r="K136" s="135"/>
      <c r="L136" s="132"/>
      <c r="M136" s="26"/>
      <c r="N136" s="132"/>
    </row>
    <row r="137" spans="2:18" s="47" customFormat="1" ht="15.45" hidden="1" customHeight="1" outlineLevel="1" x14ac:dyDescent="0.45">
      <c r="B137" s="112" t="s">
        <v>96</v>
      </c>
      <c r="C137" s="113"/>
      <c r="D137" s="210">
        <v>-13815</v>
      </c>
      <c r="E137" s="210">
        <v>-13420</v>
      </c>
      <c r="F137" s="295">
        <v>-13263</v>
      </c>
      <c r="G137" s="293">
        <v>-12748</v>
      </c>
      <c r="H137" s="287">
        <v>-12748</v>
      </c>
      <c r="I137" s="289">
        <v>-12838</v>
      </c>
      <c r="J137" s="293">
        <v>-12795</v>
      </c>
      <c r="K137" s="135"/>
      <c r="L137" s="136"/>
      <c r="M137" s="26"/>
      <c r="N137" s="136"/>
      <c r="O137" s="48"/>
      <c r="P137" s="48"/>
      <c r="Q137" s="48"/>
      <c r="R137" s="48"/>
    </row>
    <row r="138" spans="2:18" s="47" customFormat="1" hidden="1" outlineLevel="1" x14ac:dyDescent="0.3">
      <c r="B138" s="314" t="s">
        <v>74</v>
      </c>
      <c r="C138" s="315"/>
      <c r="D138" s="158">
        <f t="shared" ref="D138:F138" si="127">SUM(D133:D137)</f>
        <v>7906</v>
      </c>
      <c r="E138" s="158">
        <f t="shared" si="127"/>
        <v>6264</v>
      </c>
      <c r="F138" s="159">
        <f t="shared" si="127"/>
        <v>6740</v>
      </c>
      <c r="G138" s="173">
        <v>6335</v>
      </c>
      <c r="H138" s="155">
        <v>6335</v>
      </c>
      <c r="I138" s="175">
        <f>SUM(I133:I137)</f>
        <v>4043</v>
      </c>
      <c r="J138" s="173">
        <f>SUM(J133:J137)</f>
        <v>585</v>
      </c>
      <c r="K138" s="135"/>
      <c r="L138" s="132"/>
      <c r="M138" s="98"/>
      <c r="N138" s="132"/>
    </row>
    <row r="139" spans="2:18" s="48" customFormat="1" ht="16.2" hidden="1" outlineLevel="1" x14ac:dyDescent="0.45">
      <c r="B139" s="114" t="s">
        <v>120</v>
      </c>
      <c r="C139" s="117"/>
      <c r="D139" s="152">
        <v>124</v>
      </c>
      <c r="E139" s="152">
        <v>43</v>
      </c>
      <c r="F139" s="296">
        <v>46</v>
      </c>
      <c r="G139" s="293">
        <v>62</v>
      </c>
      <c r="H139" s="287">
        <v>62</v>
      </c>
      <c r="I139" s="289">
        <v>63</v>
      </c>
      <c r="J139" s="293">
        <v>62</v>
      </c>
      <c r="K139" s="135"/>
      <c r="L139" s="160"/>
      <c r="M139" s="26"/>
      <c r="N139" s="132"/>
      <c r="O139" s="47"/>
      <c r="P139" s="47"/>
      <c r="Q139" s="47"/>
      <c r="R139" s="47"/>
    </row>
    <row r="140" spans="2:18" s="47" customFormat="1" hidden="1" outlineLevel="1" x14ac:dyDescent="0.3">
      <c r="B140" s="114" t="s">
        <v>121</v>
      </c>
      <c r="C140" s="117"/>
      <c r="D140" s="158">
        <f>SUM(D138:D139)</f>
        <v>8030</v>
      </c>
      <c r="E140" s="158">
        <f>SUM(E138:E139)</f>
        <v>6307</v>
      </c>
      <c r="F140" s="158">
        <f>SUM(F138:F139)</f>
        <v>6786</v>
      </c>
      <c r="G140" s="173">
        <v>6397</v>
      </c>
      <c r="H140" s="155">
        <v>6397</v>
      </c>
      <c r="I140" s="158">
        <f>SUM(I138:I139)</f>
        <v>4106</v>
      </c>
      <c r="J140" s="173">
        <v>647</v>
      </c>
      <c r="K140" s="135"/>
      <c r="L140" s="132"/>
      <c r="M140" s="26"/>
      <c r="N140" s="132"/>
    </row>
    <row r="141" spans="2:18" s="47" customFormat="1" hidden="1" outlineLevel="1" x14ac:dyDescent="0.3">
      <c r="B141" s="326" t="s">
        <v>75</v>
      </c>
      <c r="C141" s="327"/>
      <c r="D141" s="162">
        <f>D140+D131</f>
        <v>97775</v>
      </c>
      <c r="E141" s="162">
        <f>E140+E131</f>
        <v>98102</v>
      </c>
      <c r="F141" s="162">
        <f>F140+F131</f>
        <v>98998</v>
      </c>
      <c r="G141" s="179">
        <v>94408</v>
      </c>
      <c r="H141" s="163">
        <v>94408</v>
      </c>
      <c r="I141" s="291">
        <f>I140+I131</f>
        <v>91547</v>
      </c>
      <c r="J141" s="179">
        <f>J140+J131</f>
        <v>89609</v>
      </c>
      <c r="K141" s="135"/>
      <c r="L141" s="132"/>
      <c r="M141" s="70"/>
      <c r="N141" s="132"/>
    </row>
    <row r="142" spans="2:18" s="47" customFormat="1" collapsed="1" x14ac:dyDescent="0.3">
      <c r="B142" s="18"/>
      <c r="C142" s="99"/>
      <c r="D142" s="1">
        <f t="shared" ref="D142:G142" si="128">D141-D117</f>
        <v>0</v>
      </c>
      <c r="E142" s="1">
        <f t="shared" si="128"/>
        <v>0</v>
      </c>
      <c r="F142" s="1">
        <f t="shared" si="128"/>
        <v>0</v>
      </c>
      <c r="G142" s="1">
        <f t="shared" si="128"/>
        <v>0</v>
      </c>
      <c r="H142" s="1"/>
      <c r="I142" s="1">
        <f>I141-I117</f>
        <v>0</v>
      </c>
      <c r="J142" s="1">
        <f>J141-J117</f>
        <v>0</v>
      </c>
    </row>
    <row r="143" spans="2:18" s="47" customFormat="1" ht="15.6" x14ac:dyDescent="0.3">
      <c r="B143" s="322" t="s">
        <v>76</v>
      </c>
      <c r="C143" s="323"/>
      <c r="D143" s="7"/>
      <c r="E143" s="1"/>
      <c r="F143" s="2"/>
      <c r="G143" s="2"/>
      <c r="H143" s="100"/>
    </row>
    <row r="144" spans="2:18" s="47" customFormat="1" hidden="1" outlineLevel="1" x14ac:dyDescent="0.3">
      <c r="B144" s="324" t="s">
        <v>0</v>
      </c>
      <c r="C144" s="325"/>
      <c r="D144" s="49" t="s">
        <v>141</v>
      </c>
      <c r="E144" s="49" t="s">
        <v>142</v>
      </c>
      <c r="F144" s="49" t="s">
        <v>140</v>
      </c>
      <c r="G144" s="49" t="s">
        <v>143</v>
      </c>
      <c r="H144" s="49" t="s">
        <v>143</v>
      </c>
      <c r="I144" s="49" t="s">
        <v>141</v>
      </c>
      <c r="J144" s="49" t="s">
        <v>142</v>
      </c>
    </row>
    <row r="145" spans="2:12" s="47" customFormat="1" ht="16.2" hidden="1" outlineLevel="1" x14ac:dyDescent="0.45">
      <c r="B145" s="324"/>
      <c r="C145" s="325"/>
      <c r="D145" s="50" t="s">
        <v>23</v>
      </c>
      <c r="E145" s="50" t="s">
        <v>24</v>
      </c>
      <c r="F145" s="50" t="s">
        <v>31</v>
      </c>
      <c r="G145" s="50" t="s">
        <v>50</v>
      </c>
      <c r="H145" s="50" t="s">
        <v>51</v>
      </c>
      <c r="I145" s="50" t="s">
        <v>144</v>
      </c>
      <c r="J145" s="50" t="s">
        <v>145</v>
      </c>
    </row>
    <row r="146" spans="2:12" s="47" customFormat="1" hidden="1" outlineLevel="1" x14ac:dyDescent="0.3">
      <c r="B146" s="318" t="s">
        <v>77</v>
      </c>
      <c r="C146" s="319"/>
      <c r="D146" s="105"/>
      <c r="E146" s="95"/>
      <c r="F146" s="93"/>
      <c r="G146" s="93"/>
      <c r="H146" s="94"/>
      <c r="I146" s="139"/>
      <c r="J146" s="140"/>
    </row>
    <row r="147" spans="2:12" s="47" customFormat="1" hidden="1" outlineLevel="1" x14ac:dyDescent="0.3">
      <c r="B147" s="320" t="s">
        <v>78</v>
      </c>
      <c r="C147" s="321"/>
      <c r="D147" s="101">
        <f>D31</f>
        <v>1336</v>
      </c>
      <c r="E147" s="108">
        <f>E31</f>
        <v>1110</v>
      </c>
      <c r="F147" s="108">
        <v>1704</v>
      </c>
      <c r="G147" s="165">
        <v>1026</v>
      </c>
      <c r="H147" s="166">
        <f>SUM(D147:G147)</f>
        <v>5176</v>
      </c>
      <c r="I147" s="101">
        <v>1219</v>
      </c>
      <c r="J147" s="165">
        <v>-234</v>
      </c>
      <c r="K147" s="97"/>
      <c r="L147" s="137"/>
    </row>
    <row r="148" spans="2:12" s="47" customFormat="1" hidden="1" outlineLevel="1" x14ac:dyDescent="0.3">
      <c r="B148" s="320" t="s">
        <v>125</v>
      </c>
      <c r="C148" s="321"/>
      <c r="D148" s="101">
        <v>50</v>
      </c>
      <c r="E148" s="108">
        <f>94-D148</f>
        <v>44</v>
      </c>
      <c r="F148" s="108">
        <v>47</v>
      </c>
      <c r="G148" s="165">
        <v>48</v>
      </c>
      <c r="H148" s="166">
        <f t="shared" ref="H148:H154" si="129">SUM(D148:G148)</f>
        <v>189</v>
      </c>
      <c r="I148" s="101">
        <v>51</v>
      </c>
      <c r="J148" s="165">
        <v>46</v>
      </c>
      <c r="K148" s="133"/>
      <c r="L148" s="137"/>
    </row>
    <row r="149" spans="2:12" s="47" customFormat="1" hidden="1" outlineLevel="1" x14ac:dyDescent="0.3">
      <c r="B149" s="83" t="s">
        <v>126</v>
      </c>
      <c r="C149" s="84"/>
      <c r="D149" s="167">
        <v>459</v>
      </c>
      <c r="E149" s="102">
        <f>912-D149</f>
        <v>453</v>
      </c>
      <c r="F149" s="108">
        <v>437</v>
      </c>
      <c r="G149" s="165">
        <v>484</v>
      </c>
      <c r="H149" s="166">
        <f t="shared" si="129"/>
        <v>1833</v>
      </c>
      <c r="I149" s="101">
        <v>443</v>
      </c>
      <c r="J149" s="165">
        <v>447</v>
      </c>
      <c r="K149" s="133"/>
      <c r="L149" s="137"/>
    </row>
    <row r="150" spans="2:12" s="47" customFormat="1" hidden="1" outlineLevel="1" x14ac:dyDescent="0.3">
      <c r="B150" s="119" t="s">
        <v>127</v>
      </c>
      <c r="C150" s="120"/>
      <c r="D150" s="167">
        <v>17</v>
      </c>
      <c r="E150" s="102">
        <f>74-D150</f>
        <v>57</v>
      </c>
      <c r="F150" s="108">
        <v>50</v>
      </c>
      <c r="G150" s="165">
        <v>43</v>
      </c>
      <c r="H150" s="166">
        <f t="shared" si="129"/>
        <v>167</v>
      </c>
      <c r="I150" s="101">
        <v>33</v>
      </c>
      <c r="J150" s="165">
        <v>17</v>
      </c>
      <c r="K150" s="133"/>
      <c r="L150" s="137"/>
    </row>
    <row r="151" spans="2:12" s="47" customFormat="1" hidden="1" outlineLevel="1" x14ac:dyDescent="0.3">
      <c r="B151" s="119" t="s">
        <v>128</v>
      </c>
      <c r="C151" s="120"/>
      <c r="D151" s="167">
        <v>-2</v>
      </c>
      <c r="E151" s="102">
        <v>-3</v>
      </c>
      <c r="F151" s="108">
        <v>2</v>
      </c>
      <c r="G151" s="165">
        <v>-2</v>
      </c>
      <c r="H151" s="166">
        <f t="shared" si="129"/>
        <v>-5</v>
      </c>
      <c r="I151" s="298">
        <v>-2</v>
      </c>
      <c r="J151" s="165">
        <v>-2</v>
      </c>
      <c r="K151" s="133"/>
      <c r="L151" s="137"/>
    </row>
    <row r="152" spans="2:12" s="47" customFormat="1" hidden="1" outlineLevel="1" x14ac:dyDescent="0.3">
      <c r="B152" s="119" t="s">
        <v>149</v>
      </c>
      <c r="C152" s="120"/>
      <c r="D152" s="167">
        <v>-1</v>
      </c>
      <c r="E152" s="102"/>
      <c r="F152" s="108">
        <v>1</v>
      </c>
      <c r="G152" s="165">
        <v>1</v>
      </c>
      <c r="H152" s="166">
        <f t="shared" si="129"/>
        <v>1</v>
      </c>
      <c r="I152" s="298">
        <v>-4</v>
      </c>
      <c r="J152" s="165">
        <v>13</v>
      </c>
      <c r="K152" s="133"/>
      <c r="L152" s="137"/>
    </row>
    <row r="153" spans="2:12" s="47" customFormat="1" hidden="1" outlineLevel="1" x14ac:dyDescent="0.3">
      <c r="B153" s="119" t="s">
        <v>129</v>
      </c>
      <c r="C153" s="120"/>
      <c r="D153" s="167">
        <v>76</v>
      </c>
      <c r="E153" s="102">
        <v>64</v>
      </c>
      <c r="F153" s="108">
        <v>90</v>
      </c>
      <c r="G153" s="165">
        <v>134</v>
      </c>
      <c r="H153" s="166">
        <f t="shared" si="129"/>
        <v>364</v>
      </c>
      <c r="I153" s="101">
        <v>84</v>
      </c>
      <c r="J153" s="165">
        <v>57</v>
      </c>
      <c r="K153" s="201"/>
      <c r="L153" s="137"/>
    </row>
    <row r="154" spans="2:12" s="47" customFormat="1" hidden="1" outlineLevel="1" x14ac:dyDescent="0.3">
      <c r="B154" s="119" t="s">
        <v>130</v>
      </c>
      <c r="C154" s="120"/>
      <c r="D154" s="167">
        <v>-112</v>
      </c>
      <c r="E154" s="102">
        <v>-12</v>
      </c>
      <c r="F154" s="102">
        <v>-15</v>
      </c>
      <c r="G154" s="165">
        <v>-18</v>
      </c>
      <c r="H154" s="166">
        <f t="shared" si="129"/>
        <v>-157</v>
      </c>
      <c r="I154" s="167">
        <v>-44</v>
      </c>
      <c r="J154" s="165">
        <v>44</v>
      </c>
      <c r="K154" s="202"/>
      <c r="L154" s="137"/>
    </row>
    <row r="155" spans="2:12" s="47" customFormat="1" ht="4.5" hidden="1" customHeight="1" outlineLevel="1" x14ac:dyDescent="0.3">
      <c r="B155" s="316"/>
      <c r="C155" s="317"/>
      <c r="D155" s="101"/>
      <c r="E155" s="108"/>
      <c r="F155" s="108"/>
      <c r="G155" s="108"/>
      <c r="H155" s="166"/>
      <c r="I155" s="68"/>
      <c r="J155" s="299"/>
      <c r="K155" s="202"/>
    </row>
    <row r="156" spans="2:12" s="47" customFormat="1" hidden="1" outlineLevel="1" x14ac:dyDescent="0.3">
      <c r="B156" s="318" t="s">
        <v>79</v>
      </c>
      <c r="C156" s="319"/>
      <c r="D156" s="167"/>
      <c r="E156" s="102"/>
      <c r="F156" s="108"/>
      <c r="G156" s="102"/>
      <c r="H156" s="166"/>
      <c r="I156" s="101"/>
      <c r="J156" s="165"/>
      <c r="K156" s="202"/>
      <c r="L156" s="137"/>
    </row>
    <row r="157" spans="2:12" s="47" customFormat="1" hidden="1" outlineLevel="1" x14ac:dyDescent="0.3">
      <c r="B157" s="312" t="s">
        <v>80</v>
      </c>
      <c r="C157" s="313"/>
      <c r="D157" s="101">
        <v>-389</v>
      </c>
      <c r="E157" s="108">
        <v>76</v>
      </c>
      <c r="F157" s="108">
        <v>-889</v>
      </c>
      <c r="G157" s="108">
        <v>133</v>
      </c>
      <c r="H157" s="104">
        <f>SUM(D157:G157)</f>
        <v>-1069</v>
      </c>
      <c r="I157" s="101">
        <v>-1002</v>
      </c>
      <c r="J157" s="165">
        <v>499</v>
      </c>
      <c r="K157" s="96"/>
      <c r="L157" s="137"/>
    </row>
    <row r="158" spans="2:12" s="47" customFormat="1" hidden="1" outlineLevel="1" x14ac:dyDescent="0.3">
      <c r="B158" s="114" t="s">
        <v>111</v>
      </c>
      <c r="C158" s="115"/>
      <c r="D158" s="101">
        <v>-1822</v>
      </c>
      <c r="E158" s="108">
        <v>-573</v>
      </c>
      <c r="F158" s="108">
        <v>209</v>
      </c>
      <c r="G158" s="108">
        <v>1076</v>
      </c>
      <c r="H158" s="104">
        <f t="shared" ref="H158:H166" si="130">SUM(D158:G158)</f>
        <v>-1110</v>
      </c>
      <c r="I158" s="298">
        <v>-56</v>
      </c>
      <c r="J158" s="165">
        <v>3060</v>
      </c>
      <c r="L158" s="137"/>
    </row>
    <row r="159" spans="2:12" s="47" customFormat="1" hidden="1" outlineLevel="1" x14ac:dyDescent="0.3">
      <c r="B159" s="312" t="s">
        <v>69</v>
      </c>
      <c r="C159" s="313"/>
      <c r="D159" s="101">
        <v>848</v>
      </c>
      <c r="E159" s="108">
        <f>888-D159</f>
        <v>40</v>
      </c>
      <c r="F159" s="108">
        <v>170</v>
      </c>
      <c r="G159" s="108">
        <v>-1296</v>
      </c>
      <c r="H159" s="104">
        <f t="shared" si="130"/>
        <v>-238</v>
      </c>
      <c r="I159" s="101">
        <v>960</v>
      </c>
      <c r="J159" s="165">
        <v>261</v>
      </c>
      <c r="K159" s="133"/>
      <c r="L159" s="137"/>
    </row>
    <row r="160" spans="2:12" s="47" customFormat="1" hidden="1" outlineLevel="1" x14ac:dyDescent="0.3">
      <c r="B160" s="85" t="s">
        <v>131</v>
      </c>
      <c r="C160" s="86"/>
      <c r="D160" s="101">
        <v>-900</v>
      </c>
      <c r="E160" s="108">
        <v>723</v>
      </c>
      <c r="F160" s="108">
        <v>-19</v>
      </c>
      <c r="G160" s="108">
        <v>198</v>
      </c>
      <c r="H160" s="104">
        <f t="shared" si="130"/>
        <v>2</v>
      </c>
      <c r="I160" s="101">
        <v>-467</v>
      </c>
      <c r="J160" s="165">
        <v>198</v>
      </c>
      <c r="K160" s="97"/>
      <c r="L160" s="137"/>
    </row>
    <row r="161" spans="2:12" s="47" customFormat="1" hidden="1" outlineLevel="1" x14ac:dyDescent="0.3">
      <c r="B161" s="114" t="s">
        <v>113</v>
      </c>
      <c r="C161" s="115"/>
      <c r="D161" s="101">
        <v>-422</v>
      </c>
      <c r="E161" s="108">
        <f>195-D161</f>
        <v>617</v>
      </c>
      <c r="F161" s="108">
        <v>75</v>
      </c>
      <c r="G161" s="108">
        <v>922</v>
      </c>
      <c r="H161" s="104">
        <f t="shared" si="130"/>
        <v>1192</v>
      </c>
      <c r="I161" s="108">
        <v>-435</v>
      </c>
      <c r="J161" s="165">
        <v>-519</v>
      </c>
      <c r="K161" s="97"/>
      <c r="L161" s="137"/>
    </row>
    <row r="162" spans="2:12" s="47" customFormat="1" hidden="1" outlineLevel="1" x14ac:dyDescent="0.3">
      <c r="B162" s="114" t="s">
        <v>146</v>
      </c>
      <c r="C162" s="115"/>
      <c r="D162" s="101">
        <v>443</v>
      </c>
      <c r="E162" s="108">
        <f>482-D162</f>
        <v>39</v>
      </c>
      <c r="F162" s="108">
        <v>342</v>
      </c>
      <c r="G162" s="108">
        <v>-347</v>
      </c>
      <c r="H162" s="104">
        <f t="shared" si="130"/>
        <v>477</v>
      </c>
      <c r="I162" s="101">
        <v>273</v>
      </c>
      <c r="J162" s="165">
        <v>-767</v>
      </c>
      <c r="K162" s="133"/>
      <c r="L162" s="137"/>
    </row>
    <row r="163" spans="2:12" s="47" customFormat="1" hidden="1" outlineLevel="1" x14ac:dyDescent="0.3">
      <c r="B163" s="114" t="s">
        <v>71</v>
      </c>
      <c r="C163" s="115"/>
      <c r="D163" s="101">
        <v>-82</v>
      </c>
      <c r="E163" s="108">
        <f>65</f>
        <v>65</v>
      </c>
      <c r="F163" s="108">
        <v>57</v>
      </c>
      <c r="G163" s="108">
        <v>6</v>
      </c>
      <c r="H163" s="104">
        <f t="shared" si="130"/>
        <v>46</v>
      </c>
      <c r="I163" s="298">
        <v>-116</v>
      </c>
      <c r="J163" s="165">
        <v>13</v>
      </c>
      <c r="K163" s="133"/>
      <c r="L163" s="137"/>
    </row>
    <row r="164" spans="2:12" s="47" customFormat="1" hidden="1" outlineLevel="1" x14ac:dyDescent="0.3">
      <c r="B164" s="114" t="s">
        <v>132</v>
      </c>
      <c r="C164" s="115"/>
      <c r="D164" s="101">
        <v>608</v>
      </c>
      <c r="E164" s="108">
        <f>1244-D164</f>
        <v>636</v>
      </c>
      <c r="F164" s="108">
        <v>593</v>
      </c>
      <c r="G164" s="108">
        <v>633</v>
      </c>
      <c r="H164" s="104">
        <f t="shared" si="130"/>
        <v>2470</v>
      </c>
      <c r="I164" s="101">
        <v>79</v>
      </c>
      <c r="J164" s="165">
        <v>102</v>
      </c>
      <c r="K164" s="133"/>
      <c r="L164" s="137"/>
    </row>
    <row r="165" spans="2:12" s="47" customFormat="1" hidden="1" outlineLevel="1" x14ac:dyDescent="0.3">
      <c r="B165" s="114" t="s">
        <v>112</v>
      </c>
      <c r="C165" s="115"/>
      <c r="D165" s="101">
        <v>31</v>
      </c>
      <c r="E165" s="108">
        <f>19-D165</f>
        <v>-12</v>
      </c>
      <c r="F165" s="108">
        <v>26</v>
      </c>
      <c r="G165" s="108">
        <v>122</v>
      </c>
      <c r="H165" s="104">
        <f t="shared" si="130"/>
        <v>167</v>
      </c>
      <c r="I165" s="101">
        <v>276</v>
      </c>
      <c r="J165" s="165">
        <v>-1</v>
      </c>
      <c r="K165" s="133"/>
      <c r="L165" s="137"/>
    </row>
    <row r="166" spans="2:12" s="47" customFormat="1" ht="16.2" hidden="1" outlineLevel="1" x14ac:dyDescent="0.45">
      <c r="B166" s="114" t="s">
        <v>133</v>
      </c>
      <c r="C166" s="115"/>
      <c r="D166" s="149">
        <v>-50</v>
      </c>
      <c r="E166" s="152">
        <v>-27</v>
      </c>
      <c r="F166" s="152">
        <v>-21</v>
      </c>
      <c r="G166" s="152">
        <v>-44</v>
      </c>
      <c r="H166" s="287">
        <f t="shared" si="130"/>
        <v>-142</v>
      </c>
      <c r="I166" s="149">
        <v>-61</v>
      </c>
      <c r="J166" s="153">
        <v>0</v>
      </c>
      <c r="K166" s="133"/>
      <c r="L166" s="137"/>
    </row>
    <row r="167" spans="2:12" s="47" customFormat="1" hidden="1" outlineLevel="1" x14ac:dyDescent="0.3">
      <c r="B167" s="314" t="s">
        <v>81</v>
      </c>
      <c r="C167" s="315"/>
      <c r="D167" s="150">
        <f t="shared" ref="D167:I167" si="131">SUM(D147:D166)</f>
        <v>88</v>
      </c>
      <c r="E167" s="158">
        <f t="shared" si="131"/>
        <v>3297</v>
      </c>
      <c r="F167" s="158">
        <f t="shared" si="131"/>
        <v>2859</v>
      </c>
      <c r="G167" s="158">
        <f t="shared" si="131"/>
        <v>3119</v>
      </c>
      <c r="H167" s="168">
        <f t="shared" si="131"/>
        <v>9363</v>
      </c>
      <c r="I167" s="150">
        <f t="shared" si="131"/>
        <v>1231</v>
      </c>
      <c r="J167" s="169">
        <v>3234</v>
      </c>
      <c r="K167" s="70"/>
      <c r="L167" s="141"/>
    </row>
    <row r="168" spans="2:12" s="47" customFormat="1" ht="4.5" hidden="1" customHeight="1" outlineLevel="1" x14ac:dyDescent="0.3">
      <c r="B168" s="316"/>
      <c r="C168" s="317"/>
      <c r="D168" s="101"/>
      <c r="E168" s="108"/>
      <c r="F168" s="108"/>
      <c r="G168" s="108"/>
      <c r="H168" s="166"/>
      <c r="I168" s="68"/>
      <c r="J168" s="299"/>
    </row>
    <row r="169" spans="2:12" s="47" customFormat="1" hidden="1" outlineLevel="1" x14ac:dyDescent="0.3">
      <c r="B169" s="318" t="s">
        <v>82</v>
      </c>
      <c r="C169" s="319"/>
      <c r="D169" s="101"/>
      <c r="E169" s="108"/>
      <c r="F169" s="108"/>
      <c r="G169" s="108"/>
      <c r="H169" s="166"/>
      <c r="I169" s="101"/>
      <c r="J169" s="165"/>
    </row>
    <row r="170" spans="2:12" s="47" customFormat="1" hidden="1" outlineLevel="1" x14ac:dyDescent="0.3">
      <c r="B170" s="312" t="s">
        <v>147</v>
      </c>
      <c r="C170" s="313"/>
      <c r="D170" s="101">
        <v>-574</v>
      </c>
      <c r="E170" s="108">
        <f>-1266-D170</f>
        <v>-692</v>
      </c>
      <c r="F170" s="108">
        <v>-561</v>
      </c>
      <c r="G170" s="108">
        <v>-623</v>
      </c>
      <c r="H170" s="166">
        <f>SUM(D170:G170)</f>
        <v>-2450</v>
      </c>
      <c r="I170" s="101">
        <v>-748</v>
      </c>
      <c r="J170" s="165">
        <v>-671</v>
      </c>
      <c r="K170" s="97"/>
    </row>
    <row r="171" spans="2:12" s="47" customFormat="1" hidden="1" outlineLevel="1" x14ac:dyDescent="0.3">
      <c r="B171" s="114" t="s">
        <v>134</v>
      </c>
      <c r="C171" s="115"/>
      <c r="D171" s="101"/>
      <c r="E171" s="108">
        <f>20+D171</f>
        <v>20</v>
      </c>
      <c r="F171" s="108">
        <v>4</v>
      </c>
      <c r="G171" s="108">
        <v>18</v>
      </c>
      <c r="H171" s="166">
        <f t="shared" ref="H171:H173" si="132">SUM(D171:G171)</f>
        <v>42</v>
      </c>
      <c r="I171" s="101">
        <v>11</v>
      </c>
      <c r="J171" s="165">
        <v>2</v>
      </c>
      <c r="K171" s="97"/>
    </row>
    <row r="172" spans="2:12" s="47" customFormat="1" hidden="1" outlineLevel="1" x14ac:dyDescent="0.3">
      <c r="B172" s="114" t="s">
        <v>99</v>
      </c>
      <c r="C172" s="115"/>
      <c r="D172" s="101"/>
      <c r="E172" s="108">
        <f>-23-D172</f>
        <v>-23</v>
      </c>
      <c r="F172" s="108"/>
      <c r="G172" s="108">
        <v>-8</v>
      </c>
      <c r="H172" s="166">
        <f>SUM(D172:G172)</f>
        <v>-31</v>
      </c>
      <c r="I172" s="101"/>
      <c r="J172" s="165"/>
      <c r="K172" s="97"/>
    </row>
    <row r="173" spans="2:12" s="47" customFormat="1" hidden="1" outlineLevel="1" x14ac:dyDescent="0.3">
      <c r="B173" s="312" t="s">
        <v>98</v>
      </c>
      <c r="C173" s="313"/>
      <c r="D173" s="101">
        <v>-807</v>
      </c>
      <c r="E173" s="108">
        <f>-1205-D173</f>
        <v>-398</v>
      </c>
      <c r="F173" s="108">
        <v>-136</v>
      </c>
      <c r="G173" s="108">
        <v>-695</v>
      </c>
      <c r="H173" s="166">
        <f t="shared" si="132"/>
        <v>-2036</v>
      </c>
      <c r="I173" s="101">
        <v>-204</v>
      </c>
      <c r="J173" s="165">
        <v>-453</v>
      </c>
      <c r="K173" s="97"/>
    </row>
    <row r="174" spans="2:12" s="47" customFormat="1" hidden="1" outlineLevel="1" x14ac:dyDescent="0.3">
      <c r="B174" s="112" t="s">
        <v>103</v>
      </c>
      <c r="C174" s="113"/>
      <c r="D174" s="101">
        <v>1159</v>
      </c>
      <c r="E174" s="108">
        <f>2040-D174</f>
        <v>881</v>
      </c>
      <c r="F174" s="108">
        <v>129</v>
      </c>
      <c r="G174" s="108">
        <v>421</v>
      </c>
      <c r="H174" s="166">
        <f>SUM(D174:G174)</f>
        <v>2590</v>
      </c>
      <c r="I174" s="101">
        <v>493</v>
      </c>
      <c r="J174" s="165">
        <v>212</v>
      </c>
      <c r="K174" s="97"/>
    </row>
    <row r="175" spans="2:12" s="47" customFormat="1" ht="16.2" hidden="1" outlineLevel="1" x14ac:dyDescent="0.45">
      <c r="B175" s="85" t="s">
        <v>100</v>
      </c>
      <c r="C175" s="106"/>
      <c r="D175" s="149">
        <v>8</v>
      </c>
      <c r="E175" s="152">
        <f>22-D175</f>
        <v>14</v>
      </c>
      <c r="F175" s="152">
        <v>11</v>
      </c>
      <c r="G175" s="152">
        <v>6</v>
      </c>
      <c r="H175" s="170">
        <f>SUM(D175:G175)</f>
        <v>39</v>
      </c>
      <c r="I175" s="149">
        <v>10</v>
      </c>
      <c r="J175" s="153">
        <v>-2</v>
      </c>
      <c r="K175" s="69"/>
    </row>
    <row r="176" spans="2:12" s="47" customFormat="1" hidden="1" outlineLevel="1" x14ac:dyDescent="0.3">
      <c r="B176" s="314" t="s">
        <v>83</v>
      </c>
      <c r="C176" s="315"/>
      <c r="D176" s="150">
        <f t="shared" ref="D176:I176" si="133">SUM(D170:D175)</f>
        <v>-214</v>
      </c>
      <c r="E176" s="158">
        <f t="shared" si="133"/>
        <v>-198</v>
      </c>
      <c r="F176" s="158">
        <f t="shared" si="133"/>
        <v>-553</v>
      </c>
      <c r="G176" s="158">
        <f t="shared" si="133"/>
        <v>-881</v>
      </c>
      <c r="H176" s="168">
        <f t="shared" si="133"/>
        <v>-1846</v>
      </c>
      <c r="I176" s="150">
        <f t="shared" si="133"/>
        <v>-438</v>
      </c>
      <c r="J176" s="169">
        <v>-912</v>
      </c>
      <c r="K176" s="137"/>
      <c r="L176" s="137"/>
    </row>
    <row r="177" spans="2:12" s="47" customFormat="1" ht="4.5" hidden="1" customHeight="1" outlineLevel="1" x14ac:dyDescent="0.3">
      <c r="B177" s="316"/>
      <c r="C177" s="317"/>
      <c r="D177" s="101"/>
      <c r="E177" s="108"/>
      <c r="F177" s="108"/>
      <c r="G177" s="108"/>
      <c r="H177" s="166"/>
      <c r="I177" s="68"/>
      <c r="J177" s="299"/>
    </row>
    <row r="178" spans="2:12" s="47" customFormat="1" hidden="1" outlineLevel="1" x14ac:dyDescent="0.3">
      <c r="B178" s="318" t="s">
        <v>84</v>
      </c>
      <c r="C178" s="319"/>
      <c r="D178" s="101"/>
      <c r="E178" s="108"/>
      <c r="F178" s="108"/>
      <c r="G178" s="108"/>
      <c r="H178" s="166"/>
      <c r="I178" s="101"/>
      <c r="J178" s="165"/>
    </row>
    <row r="179" spans="2:12" s="47" customFormat="1" hidden="1" outlineLevel="1" x14ac:dyDescent="0.3">
      <c r="B179" s="114" t="s">
        <v>135</v>
      </c>
      <c r="C179" s="118"/>
      <c r="D179" s="101">
        <v>761</v>
      </c>
      <c r="E179" s="108"/>
      <c r="F179" s="108"/>
      <c r="G179" s="108">
        <v>985</v>
      </c>
      <c r="H179" s="166">
        <f>SUM(D179:G179)</f>
        <v>1746</v>
      </c>
      <c r="I179" s="101">
        <v>115</v>
      </c>
      <c r="J179" s="165">
        <v>1208</v>
      </c>
      <c r="L179" s="137"/>
    </row>
    <row r="180" spans="2:12" s="47" customFormat="1" hidden="1" outlineLevel="1" x14ac:dyDescent="0.3">
      <c r="B180" s="114" t="s">
        <v>136</v>
      </c>
      <c r="C180" s="118"/>
      <c r="D180" s="101">
        <v>-813</v>
      </c>
      <c r="E180" s="108">
        <v>-33</v>
      </c>
      <c r="F180" s="108">
        <v>-18</v>
      </c>
      <c r="G180" s="108">
        <v>-21</v>
      </c>
      <c r="H180" s="166">
        <f t="shared" ref="H180:H186" si="134">SUM(D180:G180)</f>
        <v>-885</v>
      </c>
      <c r="I180" s="101">
        <v>-128</v>
      </c>
      <c r="J180" s="165">
        <v>-139</v>
      </c>
      <c r="K180" s="97"/>
      <c r="L180" s="137"/>
    </row>
    <row r="181" spans="2:12" s="47" customFormat="1" hidden="1" outlineLevel="1" x14ac:dyDescent="0.3">
      <c r="B181" s="114" t="s">
        <v>101</v>
      </c>
      <c r="C181" s="115"/>
      <c r="D181" s="101">
        <v>231</v>
      </c>
      <c r="E181" s="108">
        <v>45</v>
      </c>
      <c r="F181" s="108">
        <v>55</v>
      </c>
      <c r="G181" s="108">
        <v>68</v>
      </c>
      <c r="H181" s="166">
        <f t="shared" ref="H181" si="135">SUM(D181:G181)</f>
        <v>399</v>
      </c>
      <c r="I181" s="101">
        <v>42</v>
      </c>
      <c r="J181" s="165">
        <v>105</v>
      </c>
      <c r="K181" s="97"/>
      <c r="L181" s="137"/>
    </row>
    <row r="182" spans="2:12" s="47" customFormat="1" hidden="1" outlineLevel="1" x14ac:dyDescent="0.3">
      <c r="B182" s="114" t="s">
        <v>130</v>
      </c>
      <c r="C182" s="118"/>
      <c r="D182" s="101">
        <v>112</v>
      </c>
      <c r="E182" s="108">
        <v>12</v>
      </c>
      <c r="F182" s="108">
        <v>15</v>
      </c>
      <c r="G182" s="108">
        <v>18</v>
      </c>
      <c r="H182" s="166">
        <f t="shared" si="134"/>
        <v>157</v>
      </c>
      <c r="I182" s="101">
        <v>44</v>
      </c>
      <c r="J182" s="165">
        <v>-44</v>
      </c>
      <c r="L182" s="137"/>
    </row>
    <row r="183" spans="2:12" s="47" customFormat="1" hidden="1" outlineLevel="1" x14ac:dyDescent="0.3">
      <c r="B183" s="114" t="s">
        <v>137</v>
      </c>
      <c r="C183" s="118"/>
      <c r="D183" s="101">
        <v>-87</v>
      </c>
      <c r="E183" s="108">
        <v>-3</v>
      </c>
      <c r="F183" s="108">
        <v>-3</v>
      </c>
      <c r="G183" s="108">
        <v>-3</v>
      </c>
      <c r="H183" s="166">
        <f t="shared" si="134"/>
        <v>-96</v>
      </c>
      <c r="I183" s="101">
        <v>-76</v>
      </c>
      <c r="J183" s="165">
        <v>-3</v>
      </c>
      <c r="K183" s="97"/>
      <c r="L183" s="137"/>
    </row>
    <row r="184" spans="2:12" s="47" customFormat="1" hidden="1" outlineLevel="1" x14ac:dyDescent="0.3">
      <c r="B184" s="114" t="s">
        <v>138</v>
      </c>
      <c r="C184" s="118"/>
      <c r="D184" s="101">
        <v>-2500</v>
      </c>
      <c r="E184" s="108">
        <v>-2001</v>
      </c>
      <c r="F184" s="108">
        <v>-1500</v>
      </c>
      <c r="G184" s="108">
        <v>-750</v>
      </c>
      <c r="H184" s="166">
        <f t="shared" si="134"/>
        <v>-6751</v>
      </c>
      <c r="I184" s="101">
        <v>-3501</v>
      </c>
      <c r="J184" s="165">
        <v>-2000</v>
      </c>
      <c r="K184" s="97"/>
      <c r="L184" s="137"/>
    </row>
    <row r="185" spans="2:12" s="47" customFormat="1" hidden="1" outlineLevel="1" x14ac:dyDescent="0.3">
      <c r="B185" s="114" t="s">
        <v>139</v>
      </c>
      <c r="C185" s="118"/>
      <c r="D185" s="101">
        <v>-639</v>
      </c>
      <c r="E185" s="108">
        <v>-625</v>
      </c>
      <c r="F185" s="108">
        <v>-618</v>
      </c>
      <c r="G185" s="108">
        <v>-608</v>
      </c>
      <c r="H185" s="166">
        <f t="shared" si="134"/>
        <v>-2490</v>
      </c>
      <c r="I185" s="101">
        <v>-717</v>
      </c>
      <c r="J185" s="165">
        <v>-691</v>
      </c>
      <c r="K185" s="97"/>
      <c r="L185" s="137"/>
    </row>
    <row r="186" spans="2:12" s="47" customFormat="1" ht="16.2" hidden="1" outlineLevel="1" x14ac:dyDescent="0.45">
      <c r="B186" s="312" t="s">
        <v>102</v>
      </c>
      <c r="C186" s="313"/>
      <c r="D186" s="149">
        <v>0</v>
      </c>
      <c r="E186" s="152">
        <v>0</v>
      </c>
      <c r="F186" s="152">
        <v>0</v>
      </c>
      <c r="G186" s="152">
        <v>0</v>
      </c>
      <c r="H186" s="170">
        <f t="shared" si="134"/>
        <v>0</v>
      </c>
      <c r="I186" s="149">
        <v>0</v>
      </c>
      <c r="J186" s="153">
        <v>-24</v>
      </c>
      <c r="K186" s="97"/>
      <c r="L186" s="137"/>
    </row>
    <row r="187" spans="2:12" s="47" customFormat="1" hidden="1" outlineLevel="1" x14ac:dyDescent="0.3">
      <c r="B187" s="314" t="s">
        <v>85</v>
      </c>
      <c r="C187" s="315"/>
      <c r="D187" s="150">
        <f>SUM(D179:D186)</f>
        <v>-2935</v>
      </c>
      <c r="E187" s="158">
        <f t="shared" ref="E187:J187" si="136">SUM(E179:E186)</f>
        <v>-2605</v>
      </c>
      <c r="F187" s="158">
        <f t="shared" si="136"/>
        <v>-2069</v>
      </c>
      <c r="G187" s="158">
        <f t="shared" si="136"/>
        <v>-311</v>
      </c>
      <c r="H187" s="168">
        <f t="shared" si="136"/>
        <v>-7920</v>
      </c>
      <c r="I187" s="150">
        <f t="shared" si="136"/>
        <v>-4221</v>
      </c>
      <c r="J187" s="169">
        <f t="shared" si="136"/>
        <v>-1588</v>
      </c>
      <c r="K187" s="70"/>
      <c r="L187" s="137"/>
    </row>
    <row r="188" spans="2:12" s="47" customFormat="1" hidden="1" outlineLevel="1" x14ac:dyDescent="0.3">
      <c r="B188" s="314" t="s">
        <v>86</v>
      </c>
      <c r="C188" s="315"/>
      <c r="D188" s="159">
        <f t="shared" ref="D188:J188" si="137">D187+D176+D167+D189</f>
        <v>-3078</v>
      </c>
      <c r="E188" s="159">
        <f t="shared" si="137"/>
        <v>502</v>
      </c>
      <c r="F188" s="159">
        <f t="shared" si="137"/>
        <v>226</v>
      </c>
      <c r="G188" s="159">
        <f t="shared" si="137"/>
        <v>1919</v>
      </c>
      <c r="H188" s="155">
        <f t="shared" si="137"/>
        <v>-431</v>
      </c>
      <c r="I188" s="159">
        <f t="shared" si="137"/>
        <v>-3416</v>
      </c>
      <c r="J188" s="173">
        <f t="shared" si="137"/>
        <v>719</v>
      </c>
    </row>
    <row r="189" spans="2:12" s="47" customFormat="1" hidden="1" outlineLevel="1" x14ac:dyDescent="0.3">
      <c r="B189" s="85" t="s">
        <v>87</v>
      </c>
      <c r="C189" s="86"/>
      <c r="D189" s="174">
        <v>-17</v>
      </c>
      <c r="E189" s="161">
        <f>8</f>
        <v>8</v>
      </c>
      <c r="F189" s="160">
        <v>-11</v>
      </c>
      <c r="G189" s="161">
        <f>H189-D189-E189-F189</f>
        <v>-8</v>
      </c>
      <c r="H189" s="156">
        <v>-28</v>
      </c>
      <c r="I189" s="146">
        <v>12</v>
      </c>
      <c r="J189" s="172">
        <f>-3-I189</f>
        <v>-15</v>
      </c>
    </row>
    <row r="190" spans="2:12" s="47" customFormat="1" hidden="1" outlineLevel="1" x14ac:dyDescent="0.3">
      <c r="B190" s="314" t="s">
        <v>88</v>
      </c>
      <c r="C190" s="315"/>
      <c r="D190" s="175">
        <v>11733</v>
      </c>
      <c r="E190" s="159">
        <f>D191</f>
        <v>8655</v>
      </c>
      <c r="F190" s="158">
        <f>E191</f>
        <v>9157</v>
      </c>
      <c r="G190" s="158">
        <f>F191</f>
        <v>9383</v>
      </c>
      <c r="H190" s="155">
        <f>D190</f>
        <v>11733</v>
      </c>
      <c r="I190" s="158">
        <f>H191</f>
        <v>11302</v>
      </c>
      <c r="J190" s="169">
        <f>I191</f>
        <v>7886</v>
      </c>
    </row>
    <row r="191" spans="2:12" s="47" customFormat="1" hidden="1" outlineLevel="1" x14ac:dyDescent="0.3">
      <c r="B191" s="314" t="s">
        <v>89</v>
      </c>
      <c r="C191" s="315"/>
      <c r="D191" s="150">
        <f>D190+D188</f>
        <v>8655</v>
      </c>
      <c r="E191" s="158">
        <f>E190+E188</f>
        <v>9157</v>
      </c>
      <c r="F191" s="158">
        <f>F190+F188</f>
        <v>9383</v>
      </c>
      <c r="G191" s="158">
        <v>11302</v>
      </c>
      <c r="H191" s="168">
        <f>H190+H188</f>
        <v>11302</v>
      </c>
      <c r="I191" s="158">
        <f>I190+I188</f>
        <v>7886</v>
      </c>
      <c r="J191" s="169">
        <v>8605</v>
      </c>
    </row>
    <row r="192" spans="2:12" s="47" customFormat="1" hidden="1" outlineLevel="1" x14ac:dyDescent="0.3">
      <c r="B192" s="310" t="s">
        <v>156</v>
      </c>
      <c r="C192" s="311"/>
      <c r="D192" s="126">
        <f t="shared" ref="D192:I192" si="138">(D103+D104-D123-D130)/D35</f>
        <v>0.83029963595631473</v>
      </c>
      <c r="E192" s="286">
        <f t="shared" si="138"/>
        <v>0.87136929460580914</v>
      </c>
      <c r="F192" s="286">
        <f t="shared" si="138"/>
        <v>1.2206095791001452</v>
      </c>
      <c r="G192" s="297">
        <f t="shared" si="138"/>
        <v>3.0651790957134466</v>
      </c>
      <c r="H192" s="128">
        <f t="shared" si="138"/>
        <v>2.9995690274385862</v>
      </c>
      <c r="I192" s="126">
        <f t="shared" si="138"/>
        <v>-2.4211474917392612</v>
      </c>
      <c r="J192" s="297">
        <f>(J103+J104-J123-J130)/J35</f>
        <v>-2.7502750275027505</v>
      </c>
    </row>
    <row r="193" spans="2:18" s="47" customFormat="1" collapsed="1" x14ac:dyDescent="0.3">
      <c r="B193" s="21"/>
      <c r="C193" s="89"/>
      <c r="D193" s="122">
        <f t="shared" ref="D193:J193" si="139">D191-D103</f>
        <v>0</v>
      </c>
      <c r="E193" s="122">
        <f t="shared" si="139"/>
        <v>0</v>
      </c>
      <c r="F193" s="122">
        <f t="shared" si="139"/>
        <v>0</v>
      </c>
      <c r="G193" s="122">
        <f t="shared" si="139"/>
        <v>0</v>
      </c>
      <c r="H193" s="122">
        <f t="shared" si="139"/>
        <v>0</v>
      </c>
      <c r="I193" s="122">
        <f t="shared" si="139"/>
        <v>0</v>
      </c>
      <c r="J193" s="122">
        <f t="shared" si="139"/>
        <v>0</v>
      </c>
    </row>
    <row r="194" spans="2:18" s="47" customFormat="1" ht="15.6" x14ac:dyDescent="0.3">
      <c r="B194" s="322" t="s">
        <v>1</v>
      </c>
      <c r="C194" s="323"/>
      <c r="D194" s="11"/>
      <c r="E194" s="11"/>
      <c r="F194" s="46"/>
      <c r="G194" s="11"/>
      <c r="H194" s="11"/>
    </row>
    <row r="195" spans="2:18" s="47" customFormat="1" hidden="1" outlineLevel="1" x14ac:dyDescent="0.3">
      <c r="B195" s="22" t="s">
        <v>9</v>
      </c>
      <c r="C195" s="193">
        <v>13.7</v>
      </c>
      <c r="D195" s="5"/>
      <c r="E195" s="6"/>
      <c r="F195" s="4"/>
      <c r="G195" s="4"/>
      <c r="H195" s="6"/>
    </row>
    <row r="196" spans="2:18" s="47" customFormat="1" hidden="1" outlineLevel="1" x14ac:dyDescent="0.3">
      <c r="B196" s="22" t="s">
        <v>10</v>
      </c>
      <c r="C196" s="194">
        <v>14.2</v>
      </c>
      <c r="D196" s="19"/>
      <c r="E196" s="19"/>
      <c r="F196" s="20"/>
      <c r="G196" s="20"/>
      <c r="H196" s="20"/>
    </row>
    <row r="197" spans="2:18" s="47" customFormat="1" hidden="1" outlineLevel="1" x14ac:dyDescent="0.3">
      <c r="B197" s="22" t="s">
        <v>11</v>
      </c>
      <c r="C197" s="194">
        <v>12.8</v>
      </c>
      <c r="D197" s="19"/>
      <c r="E197" s="19"/>
      <c r="F197" s="20"/>
      <c r="G197" s="20"/>
      <c r="H197" s="20"/>
    </row>
    <row r="198" spans="2:18" s="47" customFormat="1" hidden="1" outlineLevel="1" x14ac:dyDescent="0.3">
      <c r="B198" s="22" t="s">
        <v>2</v>
      </c>
      <c r="C198" s="197">
        <v>13.651575277435208</v>
      </c>
      <c r="D198" s="19"/>
      <c r="E198" s="19"/>
      <c r="F198" s="20"/>
      <c r="G198" s="20"/>
      <c r="H198" s="20"/>
    </row>
    <row r="199" spans="2:18" s="47" customFormat="1" hidden="1" outlineLevel="1" x14ac:dyDescent="0.3">
      <c r="B199" s="3" t="s">
        <v>14</v>
      </c>
      <c r="C199" s="29">
        <f>J192</f>
        <v>-2.7502750275027505</v>
      </c>
      <c r="D199" s="19"/>
      <c r="E199" s="19"/>
      <c r="F199" s="20"/>
      <c r="G199" s="20"/>
      <c r="H199" s="20"/>
    </row>
    <row r="200" spans="2:18" s="47" customFormat="1" hidden="1" outlineLevel="1" x14ac:dyDescent="0.3">
      <c r="B200" s="12" t="s">
        <v>15</v>
      </c>
      <c r="C200" s="195">
        <f>(K38+L38+N38+O38)*C198+C199</f>
        <v>130</v>
      </c>
      <c r="D200" s="19"/>
      <c r="E200" s="19"/>
      <c r="F200" s="20"/>
      <c r="G200" s="20"/>
      <c r="H200" s="20"/>
    </row>
    <row r="201" spans="2:18" s="47" customFormat="1" ht="121.2" hidden="1" customHeight="1" outlineLevel="1" x14ac:dyDescent="0.3">
      <c r="B201" s="352" t="s">
        <v>203</v>
      </c>
      <c r="C201" s="353"/>
      <c r="D201" s="19"/>
      <c r="E201" s="19"/>
      <c r="F201" s="20"/>
      <c r="G201" s="20"/>
      <c r="H201" s="20"/>
    </row>
    <row r="202" spans="2:18" s="47" customFormat="1" ht="59.4" hidden="1" customHeight="1" outlineLevel="1" x14ac:dyDescent="0.3">
      <c r="B202" s="350" t="s">
        <v>49</v>
      </c>
      <c r="C202" s="351"/>
      <c r="D202" s="19"/>
      <c r="E202" s="19"/>
      <c r="F202" s="20"/>
      <c r="G202" s="20"/>
      <c r="H202" s="20"/>
    </row>
    <row r="203" spans="2:18" s="47" customFormat="1" collapsed="1" x14ac:dyDescent="0.3">
      <c r="B203" s="9"/>
      <c r="C203" s="1"/>
      <c r="D203" s="1"/>
      <c r="E203" s="1"/>
      <c r="F203" s="2"/>
      <c r="G203" s="2"/>
      <c r="H203" s="2"/>
    </row>
    <row r="204" spans="2:18" s="47" customFormat="1" ht="15.6" x14ac:dyDescent="0.3">
      <c r="B204" s="322" t="s">
        <v>57</v>
      </c>
      <c r="C204" s="323"/>
      <c r="D204" s="1"/>
      <c r="E204" s="1"/>
      <c r="F204" s="2"/>
      <c r="G204" s="2"/>
      <c r="H204" s="2"/>
      <c r="I204" s="48"/>
      <c r="J204" s="48"/>
    </row>
    <row r="205" spans="2:18" s="47" customFormat="1" hidden="1" outlineLevel="1" x14ac:dyDescent="0.3">
      <c r="B205" s="76" t="s">
        <v>53</v>
      </c>
      <c r="C205" s="196">
        <v>5.4000000000000003E-3</v>
      </c>
      <c r="D205" s="1"/>
      <c r="E205" s="1"/>
      <c r="F205" s="2"/>
      <c r="G205" s="2"/>
      <c r="H205" s="2"/>
    </row>
    <row r="206" spans="2:18" s="47" customFormat="1" hidden="1" outlineLevel="1" x14ac:dyDescent="0.3">
      <c r="B206" s="3" t="s">
        <v>54</v>
      </c>
      <c r="C206" s="198">
        <v>7.0999999999999994E-2</v>
      </c>
      <c r="D206" s="1"/>
      <c r="E206" s="1"/>
      <c r="F206" s="2"/>
      <c r="G206" s="2"/>
      <c r="H206" s="199"/>
      <c r="I206" s="200"/>
      <c r="J206" s="200"/>
      <c r="K206" s="200"/>
      <c r="L206" s="200"/>
      <c r="M206" s="200"/>
      <c r="N206" s="200"/>
      <c r="O206" s="200"/>
      <c r="P206" s="200"/>
      <c r="Q206" s="200"/>
      <c r="R206" s="200"/>
    </row>
    <row r="207" spans="2:18" s="47" customFormat="1" hidden="1" outlineLevel="1" x14ac:dyDescent="0.3">
      <c r="B207" s="3" t="s">
        <v>58</v>
      </c>
      <c r="C207" s="77">
        <f>C200</f>
        <v>130</v>
      </c>
      <c r="D207" s="1"/>
      <c r="E207" s="1"/>
      <c r="F207" s="2"/>
      <c r="G207" s="2"/>
      <c r="H207" s="199"/>
      <c r="I207" s="200"/>
      <c r="J207" s="200"/>
      <c r="K207" s="200"/>
      <c r="L207" s="200"/>
      <c r="M207" s="200"/>
      <c r="N207" s="200"/>
      <c r="O207" s="200"/>
      <c r="P207" s="200"/>
      <c r="Q207" s="200"/>
      <c r="R207" s="200"/>
    </row>
    <row r="208" spans="2:18" s="47" customFormat="1" hidden="1" outlineLevel="1" x14ac:dyDescent="0.3">
      <c r="B208" s="22" t="s">
        <v>55</v>
      </c>
      <c r="C208" s="77">
        <f>C207*(1+(C206+2*C205))</f>
        <v>140.63400000000001</v>
      </c>
      <c r="D208" s="1"/>
      <c r="E208" s="1"/>
      <c r="F208" s="2"/>
      <c r="G208" s="2"/>
      <c r="H208" s="2"/>
      <c r="I208" s="37"/>
      <c r="J208" s="37"/>
    </row>
    <row r="209" spans="2:19" s="47" customFormat="1" hidden="1" outlineLevel="1" x14ac:dyDescent="0.3">
      <c r="B209" s="78" t="s">
        <v>56</v>
      </c>
      <c r="C209" s="79">
        <f>C207*(1-(C206+2*C205))</f>
        <v>119.366</v>
      </c>
      <c r="D209" s="1"/>
      <c r="E209" s="1"/>
      <c r="F209" s="2"/>
      <c r="G209" s="2"/>
      <c r="H209" s="2"/>
      <c r="I209" s="11"/>
      <c r="J209" s="11"/>
    </row>
    <row r="210" spans="2:19" s="47" customFormat="1" hidden="1" outlineLevel="1" x14ac:dyDescent="0.3">
      <c r="B210" s="346" t="s">
        <v>204</v>
      </c>
      <c r="C210" s="347"/>
      <c r="D210" s="1"/>
      <c r="E210" s="1"/>
      <c r="F210" s="2"/>
      <c r="G210" s="2"/>
      <c r="H210" s="2"/>
      <c r="I210" s="5"/>
      <c r="J210" s="6"/>
      <c r="K210" s="48"/>
      <c r="L210" s="48"/>
      <c r="M210" s="48"/>
      <c r="N210" s="48"/>
      <c r="O210" s="48"/>
      <c r="P210" s="48"/>
      <c r="Q210" s="48"/>
      <c r="R210" s="48"/>
    </row>
    <row r="211" spans="2:19" s="47" customFormat="1" hidden="1" outlineLevel="1" x14ac:dyDescent="0.3">
      <c r="B211" s="346"/>
      <c r="C211" s="347"/>
      <c r="D211" s="1"/>
      <c r="E211" s="1"/>
      <c r="F211" s="2"/>
      <c r="G211" s="2"/>
      <c r="H211" s="2"/>
      <c r="I211" s="19"/>
      <c r="J211" s="19"/>
    </row>
    <row r="212" spans="2:19" s="48" customFormat="1" hidden="1" outlineLevel="1" x14ac:dyDescent="0.3">
      <c r="B212" s="346"/>
      <c r="C212" s="347"/>
      <c r="D212" s="1"/>
      <c r="E212" s="1"/>
      <c r="F212" s="2"/>
      <c r="G212" s="2"/>
      <c r="H212" s="2"/>
      <c r="I212" s="19"/>
      <c r="J212" s="19"/>
      <c r="K212" s="47"/>
      <c r="L212" s="47"/>
      <c r="M212" s="47"/>
      <c r="N212" s="47"/>
      <c r="O212" s="47"/>
      <c r="P212" s="47"/>
      <c r="Q212" s="47"/>
      <c r="R212" s="47"/>
    </row>
    <row r="213" spans="2:19" s="47" customFormat="1" hidden="1" outlineLevel="1" x14ac:dyDescent="0.3">
      <c r="B213" s="346"/>
      <c r="C213" s="347"/>
      <c r="D213" s="1"/>
      <c r="E213" s="1"/>
      <c r="F213" s="2"/>
      <c r="G213" s="2"/>
      <c r="H213" s="2"/>
      <c r="I213" s="19"/>
      <c r="J213" s="19"/>
    </row>
    <row r="214" spans="2:19" s="47" customFormat="1" hidden="1" outlineLevel="1" x14ac:dyDescent="0.3">
      <c r="B214" s="346"/>
      <c r="C214" s="347"/>
      <c r="D214" s="1"/>
      <c r="E214" s="1"/>
      <c r="F214" s="2"/>
      <c r="G214" s="2"/>
      <c r="H214" s="2"/>
      <c r="I214" s="19"/>
      <c r="J214" s="19"/>
      <c r="K214" s="37"/>
      <c r="L214" s="37"/>
      <c r="M214" s="37"/>
      <c r="N214" s="37"/>
      <c r="O214" s="37"/>
      <c r="P214" s="37"/>
      <c r="Q214" s="37"/>
      <c r="R214" s="37"/>
    </row>
    <row r="215" spans="2:19" s="47" customFormat="1" hidden="1" outlineLevel="1" x14ac:dyDescent="0.3">
      <c r="B215" s="346"/>
      <c r="C215" s="347"/>
      <c r="D215" s="1"/>
      <c r="E215" s="1"/>
      <c r="F215" s="2"/>
      <c r="G215" s="2"/>
      <c r="H215" s="2"/>
      <c r="I215" s="19"/>
      <c r="J215" s="19"/>
      <c r="K215" s="11"/>
      <c r="L215" s="11"/>
      <c r="M215" s="11"/>
      <c r="N215" s="11"/>
      <c r="O215" s="11"/>
      <c r="P215" s="11"/>
      <c r="Q215" s="11"/>
      <c r="R215" s="11"/>
    </row>
    <row r="216" spans="2:19" s="47" customFormat="1" ht="15" hidden="1" customHeight="1" outlineLevel="1" x14ac:dyDescent="0.3">
      <c r="B216" s="346"/>
      <c r="C216" s="347"/>
      <c r="D216" s="1"/>
      <c r="E216" s="1"/>
      <c r="F216" s="2"/>
      <c r="G216" s="2"/>
      <c r="H216" s="2"/>
      <c r="I216" s="19"/>
      <c r="J216" s="19"/>
      <c r="K216" s="4"/>
      <c r="L216" s="4"/>
      <c r="M216" s="6"/>
      <c r="N216" s="5"/>
      <c r="O216" s="6"/>
      <c r="P216" s="4"/>
      <c r="Q216" s="4"/>
      <c r="R216" s="6"/>
      <c r="S216" s="68"/>
    </row>
    <row r="217" spans="2:19" hidden="1" outlineLevel="1" x14ac:dyDescent="0.3">
      <c r="B217" s="346"/>
      <c r="C217" s="347"/>
      <c r="I217" s="19"/>
      <c r="J217" s="19"/>
      <c r="K217" s="20"/>
      <c r="L217" s="20"/>
      <c r="M217" s="20"/>
      <c r="N217" s="19"/>
      <c r="O217" s="19"/>
      <c r="P217" s="20"/>
      <c r="Q217" s="20"/>
      <c r="R217" s="20"/>
    </row>
    <row r="218" spans="2:19" hidden="1" outlineLevel="1" x14ac:dyDescent="0.3">
      <c r="B218" s="346"/>
      <c r="C218" s="347"/>
      <c r="K218" s="20"/>
      <c r="L218" s="20"/>
      <c r="M218" s="20"/>
      <c r="N218" s="19"/>
      <c r="O218" s="19"/>
      <c r="P218" s="20"/>
      <c r="Q218" s="20"/>
      <c r="R218" s="20"/>
    </row>
    <row r="219" spans="2:19" hidden="1" outlineLevel="1" x14ac:dyDescent="0.3">
      <c r="B219" s="346"/>
      <c r="C219" s="347"/>
      <c r="K219" s="20"/>
      <c r="L219" s="20"/>
      <c r="M219" s="20"/>
      <c r="N219" s="19"/>
      <c r="O219" s="19"/>
      <c r="P219" s="20"/>
      <c r="Q219" s="20"/>
      <c r="R219" s="20"/>
    </row>
    <row r="220" spans="2:19" hidden="1" outlineLevel="1" x14ac:dyDescent="0.3">
      <c r="B220" s="346"/>
      <c r="C220" s="347"/>
      <c r="K220" s="20"/>
      <c r="L220" s="20"/>
      <c r="M220" s="20"/>
      <c r="N220" s="19"/>
      <c r="O220" s="19"/>
      <c r="P220" s="20"/>
      <c r="Q220" s="20"/>
      <c r="R220" s="20"/>
    </row>
    <row r="221" spans="2:19" hidden="1" outlineLevel="1" x14ac:dyDescent="0.3">
      <c r="B221" s="346"/>
      <c r="C221" s="347"/>
      <c r="K221" s="20"/>
      <c r="L221" s="20"/>
      <c r="M221" s="20"/>
      <c r="N221" s="19"/>
      <c r="O221" s="19"/>
      <c r="P221" s="20"/>
      <c r="Q221" s="20"/>
      <c r="R221" s="20"/>
    </row>
    <row r="222" spans="2:19" s="25" customFormat="1" hidden="1" outlineLevel="1" x14ac:dyDescent="0.3">
      <c r="B222" s="346"/>
      <c r="C222" s="347"/>
      <c r="D222" s="1"/>
      <c r="E222" s="1"/>
      <c r="F222" s="2"/>
      <c r="G222" s="2"/>
      <c r="H222" s="2"/>
      <c r="I222" s="1"/>
      <c r="J222" s="1"/>
      <c r="K222" s="20"/>
      <c r="L222" s="20"/>
      <c r="M222" s="20"/>
      <c r="N222" s="19"/>
      <c r="O222" s="19"/>
      <c r="P222" s="20"/>
      <c r="Q222" s="20"/>
      <c r="R222" s="20"/>
    </row>
    <row r="223" spans="2:19" hidden="1" outlineLevel="1" x14ac:dyDescent="0.3">
      <c r="B223" s="346"/>
      <c r="C223" s="347"/>
      <c r="K223" s="20"/>
      <c r="L223" s="20"/>
      <c r="M223" s="20"/>
      <c r="N223" s="19"/>
      <c r="O223" s="19"/>
      <c r="P223" s="20"/>
      <c r="Q223" s="20"/>
      <c r="R223" s="20"/>
    </row>
    <row r="224" spans="2:19" s="25" customFormat="1" ht="14.4" hidden="1" customHeight="1" outlineLevel="1" x14ac:dyDescent="0.3">
      <c r="B224" s="348"/>
      <c r="C224" s="349"/>
      <c r="D224" s="1"/>
      <c r="E224" s="1"/>
      <c r="F224" s="2"/>
      <c r="G224" s="2"/>
      <c r="H224" s="2"/>
      <c r="I224" s="1"/>
      <c r="J224" s="1"/>
      <c r="K224" s="2"/>
      <c r="L224" s="2"/>
      <c r="M224" s="2"/>
      <c r="N224" s="1"/>
      <c r="O224" s="1"/>
      <c r="P224" s="2"/>
      <c r="Q224" s="2"/>
      <c r="R224" s="2"/>
    </row>
    <row r="225" spans="2:18" collapsed="1" x14ac:dyDescent="0.3"/>
    <row r="226" spans="2:18" x14ac:dyDescent="0.3">
      <c r="B226" s="82" t="s">
        <v>60</v>
      </c>
    </row>
    <row r="228" spans="2:18" s="47" customFormat="1" x14ac:dyDescent="0.3">
      <c r="B228"/>
      <c r="C228" s="9"/>
      <c r="D228" s="1"/>
      <c r="E228" s="1"/>
      <c r="F228" s="2"/>
      <c r="G228" s="2"/>
      <c r="H228" s="2"/>
      <c r="I228" s="1"/>
      <c r="J228" s="1"/>
      <c r="K228" s="2"/>
      <c r="L228" s="2"/>
      <c r="M228" s="2"/>
      <c r="N228" s="1"/>
      <c r="O228" s="1"/>
      <c r="P228" s="2"/>
      <c r="Q228" s="2"/>
      <c r="R228" s="2"/>
    </row>
    <row r="229" spans="2:18" s="47" customFormat="1" x14ac:dyDescent="0.3">
      <c r="B229"/>
      <c r="C229" s="9"/>
      <c r="D229" s="1"/>
      <c r="E229" s="1"/>
      <c r="F229" s="2"/>
      <c r="G229" s="2"/>
      <c r="H229" s="2"/>
      <c r="I229" s="1"/>
      <c r="J229" s="1"/>
      <c r="K229" s="2"/>
      <c r="L229" s="2"/>
      <c r="M229" s="2"/>
      <c r="N229" s="1"/>
      <c r="O229" s="1"/>
      <c r="P229" s="2"/>
      <c r="Q229" s="2"/>
      <c r="R229" s="2"/>
    </row>
    <row r="232" spans="2:18" s="47" customFormat="1" ht="15" customHeight="1" x14ac:dyDescent="0.3">
      <c r="B232"/>
      <c r="C232" s="9"/>
      <c r="D232" s="1"/>
      <c r="E232" s="1"/>
      <c r="F232" s="2"/>
      <c r="G232" s="2"/>
      <c r="H232" s="2"/>
      <c r="I232" s="1"/>
      <c r="J232" s="1"/>
      <c r="K232" s="2"/>
      <c r="L232" s="2"/>
      <c r="M232" s="2"/>
      <c r="N232" s="1"/>
      <c r="O232" s="1"/>
      <c r="P232" s="2"/>
      <c r="Q232" s="2"/>
      <c r="R232" s="2"/>
    </row>
  </sheetData>
  <dataConsolidate/>
  <mergeCells count="93">
    <mergeCell ref="B117:C117"/>
    <mergeCell ref="B100:C100"/>
    <mergeCell ref="B101:C101"/>
    <mergeCell ref="B102:C102"/>
    <mergeCell ref="B103:C103"/>
    <mergeCell ref="B116:C116"/>
    <mergeCell ref="B104:C104"/>
    <mergeCell ref="B105:C105"/>
    <mergeCell ref="B108:C108"/>
    <mergeCell ref="B109:C109"/>
    <mergeCell ref="B111:C111"/>
    <mergeCell ref="B106:C106"/>
    <mergeCell ref="B204:C204"/>
    <mergeCell ref="B210:C224"/>
    <mergeCell ref="B202:C202"/>
    <mergeCell ref="B194:C194"/>
    <mergeCell ref="B201:C201"/>
    <mergeCell ref="B65:C65"/>
    <mergeCell ref="B41:C41"/>
    <mergeCell ref="B38:C38"/>
    <mergeCell ref="B92:C92"/>
    <mergeCell ref="B87:C87"/>
    <mergeCell ref="B42:C42"/>
    <mergeCell ref="B84:C84"/>
    <mergeCell ref="B46:C46"/>
    <mergeCell ref="B49:C49"/>
    <mergeCell ref="B70:C70"/>
    <mergeCell ref="B74:C74"/>
    <mergeCell ref="B97:C97"/>
    <mergeCell ref="B96:C96"/>
    <mergeCell ref="B95:C95"/>
    <mergeCell ref="B99:C99"/>
    <mergeCell ref="B88:C88"/>
    <mergeCell ref="B26:C26"/>
    <mergeCell ref="B43:C43"/>
    <mergeCell ref="B30:C30"/>
    <mergeCell ref="B35:C35"/>
    <mergeCell ref="B34:C34"/>
    <mergeCell ref="B37:C37"/>
    <mergeCell ref="B33:C33"/>
    <mergeCell ref="B36:C36"/>
    <mergeCell ref="B2:C2"/>
    <mergeCell ref="B94:C94"/>
    <mergeCell ref="B93:C93"/>
    <mergeCell ref="B3:C3"/>
    <mergeCell ref="B4:C4"/>
    <mergeCell ref="B5:C5"/>
    <mergeCell ref="B9:C9"/>
    <mergeCell ref="B10:C10"/>
    <mergeCell ref="B31:C31"/>
    <mergeCell ref="B13:C13"/>
    <mergeCell ref="B16:C16"/>
    <mergeCell ref="B18:C18"/>
    <mergeCell ref="B24:C24"/>
    <mergeCell ref="B29:C29"/>
    <mergeCell ref="B28:C28"/>
    <mergeCell ref="B20:C20"/>
    <mergeCell ref="B145:C145"/>
    <mergeCell ref="B146:C146"/>
    <mergeCell ref="B168:C168"/>
    <mergeCell ref="B118:C118"/>
    <mergeCell ref="B119:C119"/>
    <mergeCell ref="B141:C141"/>
    <mergeCell ref="B132:C132"/>
    <mergeCell ref="B133:C133"/>
    <mergeCell ref="B138:C138"/>
    <mergeCell ref="B120:C120"/>
    <mergeCell ref="B124:C124"/>
    <mergeCell ref="B121:C121"/>
    <mergeCell ref="B123:C123"/>
    <mergeCell ref="B131:C131"/>
    <mergeCell ref="B177:C177"/>
    <mergeCell ref="B178:C178"/>
    <mergeCell ref="B44:C44"/>
    <mergeCell ref="B155:C155"/>
    <mergeCell ref="B169:C169"/>
    <mergeCell ref="B170:C170"/>
    <mergeCell ref="B173:C173"/>
    <mergeCell ref="B176:C176"/>
    <mergeCell ref="B156:C156"/>
    <mergeCell ref="B157:C157"/>
    <mergeCell ref="B159:C159"/>
    <mergeCell ref="B167:C167"/>
    <mergeCell ref="B147:C147"/>
    <mergeCell ref="B148:C148"/>
    <mergeCell ref="B143:C143"/>
    <mergeCell ref="B144:C144"/>
    <mergeCell ref="B192:C192"/>
    <mergeCell ref="B186:C186"/>
    <mergeCell ref="B187:C187"/>
    <mergeCell ref="B188:C188"/>
    <mergeCell ref="B190:C190"/>
    <mergeCell ref="B191:C191"/>
  </mergeCells>
  <phoneticPr fontId="70" type="noConversion"/>
  <pageMargins left="0.7" right="0.7" top="0.75" bottom="0.75" header="0.3" footer="0.3"/>
  <pageSetup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2016-09-05T01:09:01Z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