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C:\Users\Admin\Documents\Articles (2-15-2016)\FB Facebook\Contributor Models\"/>
    </mc:Choice>
  </mc:AlternateContent>
  <bookViews>
    <workbookView xWindow="480" yWindow="168" windowWidth="7968" windowHeight="7512"/>
  </bookViews>
  <sheets>
    <sheet name="Earnings Model" sheetId="3" r:id="rId1"/>
    <sheet name="Charts" sheetId="4" r:id="rId2"/>
  </sheets>
  <externalReferences>
    <externalReference r:id="rId3"/>
  </externalReferences>
  <definedNames>
    <definedName name="DATA">'[1]Estimates by Analyst'!$B$6:$M$50</definedName>
    <definedName name="_xlnm.Print_Area" localSheetId="0">'Earnings Model'!$A$1:$AB$114</definedName>
  </definedNames>
  <calcPr calcId="162913" calcOnSave="0"/>
</workbook>
</file>

<file path=xl/calcChain.xml><?xml version="1.0" encoding="utf-8"?>
<calcChain xmlns="http://schemas.openxmlformats.org/spreadsheetml/2006/main">
  <c r="N62" i="3" l="1"/>
  <c r="U66" i="3"/>
  <c r="V66" i="3"/>
  <c r="X66" i="3"/>
  <c r="Y66" i="3"/>
  <c r="Y68" i="3" s="1"/>
  <c r="Z66" i="3"/>
  <c r="AA66" i="3"/>
  <c r="U68" i="3"/>
  <c r="V68" i="3"/>
  <c r="X68" i="3"/>
  <c r="Z68" i="3"/>
  <c r="AA68" i="3"/>
  <c r="U71" i="3"/>
  <c r="V71" i="3"/>
  <c r="X71" i="3"/>
  <c r="Y71" i="3"/>
  <c r="Z71" i="3"/>
  <c r="AA71" i="3"/>
  <c r="D5" i="4" l="1"/>
  <c r="E5" i="4"/>
  <c r="F5" i="4"/>
  <c r="G5" i="4"/>
  <c r="H5" i="4"/>
  <c r="I5" i="4"/>
  <c r="J5" i="4"/>
  <c r="K5" i="4"/>
  <c r="L5" i="4"/>
  <c r="M5" i="4"/>
  <c r="N5" i="4"/>
  <c r="M4" i="4"/>
  <c r="N4" i="4"/>
  <c r="L4" i="4"/>
  <c r="I4" i="4"/>
  <c r="J4" i="4"/>
  <c r="K4" i="4"/>
  <c r="H4" i="4"/>
  <c r="E4" i="4"/>
  <c r="F4" i="4"/>
  <c r="G4" i="4"/>
  <c r="D4" i="4"/>
  <c r="J76" i="3" l="1"/>
  <c r="K76" i="3"/>
  <c r="L76" i="3"/>
  <c r="N76" i="3"/>
  <c r="O76" i="3"/>
  <c r="P76" i="3"/>
  <c r="I76" i="3"/>
  <c r="P82" i="3" l="1"/>
  <c r="P83" i="3"/>
  <c r="P84" i="3"/>
  <c r="P85" i="3"/>
  <c r="P87" i="3"/>
  <c r="P61" i="3"/>
  <c r="P60" i="3"/>
  <c r="P59" i="3"/>
  <c r="P58" i="3"/>
  <c r="P52" i="3"/>
  <c r="P53" i="3"/>
  <c r="P54" i="3"/>
  <c r="P55" i="3"/>
  <c r="P96" i="3"/>
  <c r="P93" i="3"/>
  <c r="P92" i="3"/>
  <c r="P19" i="3"/>
  <c r="P12" i="3"/>
  <c r="P94" i="3" s="1"/>
  <c r="P17" i="3"/>
  <c r="O19" i="3" l="1"/>
  <c r="O12" i="3"/>
  <c r="O96" i="3"/>
  <c r="O93" i="3"/>
  <c r="O92" i="3"/>
  <c r="O87" i="3"/>
  <c r="L87" i="3"/>
  <c r="O85" i="3"/>
  <c r="O84" i="3"/>
  <c r="O83" i="3"/>
  <c r="O82" i="3"/>
  <c r="O59" i="3"/>
  <c r="O61" i="3"/>
  <c r="O60" i="3"/>
  <c r="O58" i="3"/>
  <c r="N58" i="3"/>
  <c r="O52" i="3"/>
  <c r="O55" i="3"/>
  <c r="O54" i="3"/>
  <c r="O53" i="3"/>
  <c r="P43" i="3"/>
  <c r="O11" i="3"/>
  <c r="O78" i="3" s="1"/>
  <c r="O17" i="3"/>
  <c r="D50" i="3"/>
  <c r="D6" i="4" s="1"/>
  <c r="O77" i="3" l="1"/>
  <c r="O18" i="3"/>
  <c r="N96" i="3"/>
  <c r="N93" i="3"/>
  <c r="N92" i="3"/>
  <c r="N85" i="3"/>
  <c r="N84" i="3"/>
  <c r="N83" i="3"/>
  <c r="N82" i="3"/>
  <c r="N61" i="3"/>
  <c r="N60" i="3"/>
  <c r="N59" i="3"/>
  <c r="N53" i="3"/>
  <c r="N54" i="3"/>
  <c r="N55" i="3"/>
  <c r="N52" i="3"/>
  <c r="N19" i="3"/>
  <c r="N12" i="3"/>
  <c r="N94" i="3" s="1"/>
  <c r="L12" i="3"/>
  <c r="N17" i="3"/>
  <c r="N43" i="3" l="1"/>
  <c r="L44" i="3"/>
  <c r="L35" i="3" s="1"/>
  <c r="M43" i="3"/>
  <c r="K44" i="3"/>
  <c r="K35" i="3" s="1"/>
  <c r="J44" i="3"/>
  <c r="J35" i="3" s="1"/>
  <c r="I44" i="3"/>
  <c r="I35" i="3" s="1"/>
  <c r="G44" i="3"/>
  <c r="G35" i="3" s="1"/>
  <c r="H43" i="3"/>
  <c r="F44" i="3"/>
  <c r="F35" i="3" s="1"/>
  <c r="E44" i="3"/>
  <c r="E35" i="3" s="1"/>
  <c r="D44" i="3"/>
  <c r="D35" i="3" s="1"/>
  <c r="AA43" i="3"/>
  <c r="X43" i="3"/>
  <c r="V43" i="3"/>
  <c r="S43" i="3"/>
  <c r="T43" i="3" l="1"/>
  <c r="Y43" i="3"/>
  <c r="Q43" i="3"/>
  <c r="U43" i="3"/>
  <c r="Z43" i="3"/>
  <c r="T85" i="3"/>
  <c r="U85" i="3" s="1"/>
  <c r="V85" i="3" s="1"/>
  <c r="X85" i="3" s="1"/>
  <c r="Y85" i="3" s="1"/>
  <c r="Z85" i="3" s="1"/>
  <c r="AA85" i="3" s="1"/>
  <c r="AA104" i="3"/>
  <c r="Z104" i="3"/>
  <c r="Y104" i="3"/>
  <c r="X104" i="3"/>
  <c r="V104" i="3"/>
  <c r="U104" i="3"/>
  <c r="T104" i="3"/>
  <c r="S104" i="3"/>
  <c r="Q104" i="3"/>
  <c r="P104" i="3"/>
  <c r="O104" i="3"/>
  <c r="N104" i="3"/>
  <c r="G101" i="3"/>
  <c r="F101" i="3"/>
  <c r="E101" i="3"/>
  <c r="G100" i="3"/>
  <c r="F100" i="3"/>
  <c r="E100" i="3"/>
  <c r="L104" i="3"/>
  <c r="L101" i="3" s="1"/>
  <c r="K104" i="3"/>
  <c r="K101" i="3" s="1"/>
  <c r="J104" i="3"/>
  <c r="J101" i="3" s="1"/>
  <c r="I104" i="3"/>
  <c r="I100" i="3" s="1"/>
  <c r="W43" i="3" l="1"/>
  <c r="P101" i="3"/>
  <c r="P100" i="3"/>
  <c r="O100" i="3"/>
  <c r="O101" i="3"/>
  <c r="R43" i="3"/>
  <c r="N100" i="3"/>
  <c r="N101" i="3"/>
  <c r="AB43" i="3"/>
  <c r="I101" i="3"/>
  <c r="J100" i="3"/>
  <c r="K100" i="3"/>
  <c r="L100" i="3"/>
  <c r="Q101" i="3" l="1"/>
  <c r="Q100" i="3"/>
  <c r="S100" i="3" s="1"/>
  <c r="T100" i="3" s="1"/>
  <c r="U100" i="3" s="1"/>
  <c r="V100" i="3" s="1"/>
  <c r="X100" i="3" s="1"/>
  <c r="Y100" i="3" s="1"/>
  <c r="Z100" i="3" s="1"/>
  <c r="AA100" i="3" s="1"/>
  <c r="I87" i="3"/>
  <c r="K87" i="3"/>
  <c r="J87" i="3"/>
  <c r="F87" i="3"/>
  <c r="G87" i="3"/>
  <c r="E87" i="3"/>
  <c r="S101" i="3" l="1"/>
  <c r="T101" i="3" s="1"/>
  <c r="U101" i="3" s="1"/>
  <c r="V101" i="3" s="1"/>
  <c r="X101" i="3" s="1"/>
  <c r="Y101" i="3" s="1"/>
  <c r="Z101" i="3" s="1"/>
  <c r="AA101" i="3" s="1"/>
  <c r="Q30" i="3"/>
  <c r="Q29" i="3"/>
  <c r="S29" i="3" s="1"/>
  <c r="T29" i="3" s="1"/>
  <c r="U29" i="3" s="1"/>
  <c r="V29" i="3" s="1"/>
  <c r="X29" i="3" s="1"/>
  <c r="Y29" i="3" s="1"/>
  <c r="Z29" i="3" s="1"/>
  <c r="AA29" i="3" s="1"/>
  <c r="S30" i="3" l="1"/>
  <c r="T30" i="3" s="1"/>
  <c r="U30" i="3" s="1"/>
  <c r="V30" i="3" s="1"/>
  <c r="X30" i="3" s="1"/>
  <c r="Y30" i="3" s="1"/>
  <c r="Z30" i="3" s="1"/>
  <c r="AA30" i="3" s="1"/>
  <c r="L58" i="3"/>
  <c r="L59" i="3"/>
  <c r="L60" i="3"/>
  <c r="L61" i="3"/>
  <c r="L52" i="3"/>
  <c r="L53" i="3"/>
  <c r="L54" i="3"/>
  <c r="L55" i="3"/>
  <c r="L19" i="3"/>
  <c r="L93" i="3"/>
  <c r="L92" i="3"/>
  <c r="L82" i="3"/>
  <c r="L83" i="3"/>
  <c r="L84" i="3"/>
  <c r="L85" i="3"/>
  <c r="L11" i="3"/>
  <c r="L17" i="3"/>
  <c r="L77" i="3" l="1"/>
  <c r="L78" i="3"/>
  <c r="Q87" i="3"/>
  <c r="L18" i="3"/>
  <c r="S87" i="3" l="1"/>
  <c r="Q27" i="3"/>
  <c r="K12" i="3"/>
  <c r="K19" i="3" s="1"/>
  <c r="K96" i="3"/>
  <c r="K93" i="3"/>
  <c r="K92" i="3"/>
  <c r="K82" i="3"/>
  <c r="K83" i="3"/>
  <c r="K84" i="3"/>
  <c r="K85" i="3"/>
  <c r="K11" i="3"/>
  <c r="K78" i="3" s="1"/>
  <c r="K58" i="3"/>
  <c r="K59" i="3"/>
  <c r="K60" i="3"/>
  <c r="K61" i="3"/>
  <c r="K52" i="3"/>
  <c r="K53" i="3"/>
  <c r="K54" i="3"/>
  <c r="K55" i="3"/>
  <c r="T87" i="3" l="1"/>
  <c r="S27" i="3"/>
  <c r="U87" i="3" l="1"/>
  <c r="T27" i="3"/>
  <c r="M91" i="3"/>
  <c r="V87" i="3" l="1"/>
  <c r="U27" i="3"/>
  <c r="J93" i="3"/>
  <c r="J96" i="3"/>
  <c r="J92" i="3"/>
  <c r="J85" i="3"/>
  <c r="J84" i="3"/>
  <c r="J83" i="3"/>
  <c r="J82" i="3"/>
  <c r="J61" i="3"/>
  <c r="J60" i="3"/>
  <c r="J59" i="3"/>
  <c r="J58" i="3"/>
  <c r="J55" i="3"/>
  <c r="J54" i="3"/>
  <c r="J53" i="3"/>
  <c r="J52" i="3"/>
  <c r="J11" i="3"/>
  <c r="J12" i="3"/>
  <c r="J77" i="3" l="1"/>
  <c r="J78" i="3"/>
  <c r="V27" i="3"/>
  <c r="X87" i="3"/>
  <c r="J94" i="3"/>
  <c r="E19" i="3"/>
  <c r="I12" i="3"/>
  <c r="I19" i="3" s="1"/>
  <c r="G12" i="3"/>
  <c r="G94" i="3" s="1"/>
  <c r="F12" i="3"/>
  <c r="F19" i="3" s="1"/>
  <c r="D12" i="3"/>
  <c r="D94" i="3" s="1"/>
  <c r="D96" i="3"/>
  <c r="E96" i="3"/>
  <c r="F96" i="3"/>
  <c r="G96" i="3"/>
  <c r="I93" i="3"/>
  <c r="F93" i="3"/>
  <c r="G93" i="3"/>
  <c r="D93" i="3"/>
  <c r="E93" i="3"/>
  <c r="D92" i="3"/>
  <c r="E92" i="3"/>
  <c r="F92" i="3"/>
  <c r="G92" i="3"/>
  <c r="I92" i="3"/>
  <c r="I96" i="3"/>
  <c r="I25" i="3"/>
  <c r="E84" i="3"/>
  <c r="F84" i="3"/>
  <c r="G84" i="3"/>
  <c r="I84" i="3"/>
  <c r="D84" i="3"/>
  <c r="E83" i="3"/>
  <c r="F83" i="3"/>
  <c r="G83" i="3"/>
  <c r="I83" i="3"/>
  <c r="D83" i="3"/>
  <c r="D82" i="3"/>
  <c r="E82" i="3"/>
  <c r="F82" i="3"/>
  <c r="G82" i="3"/>
  <c r="I82" i="3"/>
  <c r="F94" i="3" l="1"/>
  <c r="Y87" i="3"/>
  <c r="X27" i="3"/>
  <c r="S91" i="3"/>
  <c r="T91" i="3" s="1"/>
  <c r="U91" i="3" s="1"/>
  <c r="V91" i="3" s="1"/>
  <c r="X91" i="3" s="1"/>
  <c r="Y91" i="3" s="1"/>
  <c r="Z91" i="3" s="1"/>
  <c r="AA91" i="3" s="1"/>
  <c r="R91" i="3"/>
  <c r="D19" i="3"/>
  <c r="G19" i="3"/>
  <c r="M27" i="3"/>
  <c r="I94" i="3"/>
  <c r="E94" i="3"/>
  <c r="Z87" i="3" l="1"/>
  <c r="Y27" i="3"/>
  <c r="H19" i="3"/>
  <c r="R27" i="3"/>
  <c r="AA87" i="3" l="1"/>
  <c r="Z27" i="3"/>
  <c r="W27" i="3"/>
  <c r="AA27" i="3" l="1"/>
  <c r="AB27" i="3" s="1"/>
  <c r="E85" i="3" l="1"/>
  <c r="F85" i="3"/>
  <c r="G85" i="3"/>
  <c r="I85" i="3"/>
  <c r="D85" i="3"/>
  <c r="I59" i="3"/>
  <c r="I60" i="3"/>
  <c r="I61" i="3"/>
  <c r="I58" i="3"/>
  <c r="F58" i="3"/>
  <c r="G58" i="3"/>
  <c r="F59" i="3"/>
  <c r="G59" i="3"/>
  <c r="F60" i="3"/>
  <c r="G60" i="3"/>
  <c r="F61" i="3"/>
  <c r="G61" i="3"/>
  <c r="E59" i="3"/>
  <c r="E60" i="3"/>
  <c r="E61" i="3"/>
  <c r="E58" i="3"/>
  <c r="D61" i="3"/>
  <c r="D60" i="3"/>
  <c r="D59" i="3"/>
  <c r="D58" i="3"/>
  <c r="I53" i="3"/>
  <c r="I54" i="3"/>
  <c r="I55" i="3"/>
  <c r="I52" i="3"/>
  <c r="E53" i="3"/>
  <c r="F53" i="3"/>
  <c r="G53" i="3"/>
  <c r="E54" i="3"/>
  <c r="F54" i="3"/>
  <c r="G54" i="3"/>
  <c r="E55" i="3"/>
  <c r="F55" i="3"/>
  <c r="G55" i="3"/>
  <c r="F52" i="3"/>
  <c r="G52" i="3"/>
  <c r="E52" i="3"/>
  <c r="D55" i="3"/>
  <c r="D54" i="3"/>
  <c r="D53" i="3"/>
  <c r="D52" i="3"/>
  <c r="H47" i="3"/>
  <c r="H48" i="3"/>
  <c r="H49" i="3"/>
  <c r="H46" i="3"/>
  <c r="H41" i="3"/>
  <c r="H30" i="3"/>
  <c r="H27" i="3"/>
  <c r="H25" i="3"/>
  <c r="H23" i="3"/>
  <c r="H21" i="3"/>
  <c r="H15" i="3"/>
  <c r="H16" i="3"/>
  <c r="H14" i="3"/>
  <c r="H10" i="3"/>
  <c r="H9" i="3"/>
  <c r="F17" i="3"/>
  <c r="F11" i="3"/>
  <c r="D17" i="3"/>
  <c r="D11" i="3"/>
  <c r="I17" i="3"/>
  <c r="I11" i="3"/>
  <c r="E17" i="3"/>
  <c r="G17" i="3"/>
  <c r="I77" i="3" l="1"/>
  <c r="I78" i="3"/>
  <c r="D77" i="3"/>
  <c r="D78" i="3"/>
  <c r="F77" i="3"/>
  <c r="F78" i="3"/>
  <c r="H82" i="3"/>
  <c r="H84" i="3"/>
  <c r="H83" i="3"/>
  <c r="D18" i="3"/>
  <c r="I18" i="3"/>
  <c r="J50" i="3"/>
  <c r="I6" i="4" s="1"/>
  <c r="H85" i="3"/>
  <c r="H60" i="3"/>
  <c r="F18" i="3"/>
  <c r="H17" i="3"/>
  <c r="F13" i="3"/>
  <c r="F79" i="3" s="1"/>
  <c r="D13" i="3"/>
  <c r="D79" i="3" s="1"/>
  <c r="I13" i="3"/>
  <c r="I79" i="3" s="1"/>
  <c r="M49" i="3" l="1"/>
  <c r="M42" i="3"/>
  <c r="F22" i="3"/>
  <c r="F86" i="3" s="1"/>
  <c r="F80" i="3"/>
  <c r="D22" i="3"/>
  <c r="D24" i="3" s="1"/>
  <c r="D80" i="3"/>
  <c r="M47" i="3"/>
  <c r="I22" i="3"/>
  <c r="I80" i="3"/>
  <c r="F20" i="3"/>
  <c r="F81" i="3" s="1"/>
  <c r="I20" i="3"/>
  <c r="D20" i="3"/>
  <c r="D81" i="3" s="1"/>
  <c r="D31" i="3" l="1"/>
  <c r="F24" i="3"/>
  <c r="M61" i="3"/>
  <c r="I81" i="3"/>
  <c r="I26" i="3"/>
  <c r="I33" i="3" s="1"/>
  <c r="I24" i="3"/>
  <c r="D86" i="3"/>
  <c r="D28" i="3"/>
  <c r="M40" i="3"/>
  <c r="M59" i="3" s="1"/>
  <c r="I86" i="3"/>
  <c r="D32" i="3"/>
  <c r="D26" i="3"/>
  <c r="D33" i="3" s="1"/>
  <c r="F26" i="3"/>
  <c r="M48" i="3"/>
  <c r="M46" i="3"/>
  <c r="M39" i="3"/>
  <c r="M41" i="3"/>
  <c r="I28" i="3" l="1"/>
  <c r="Q49" i="3"/>
  <c r="Q42" i="3" s="1"/>
  <c r="M44" i="3"/>
  <c r="I32" i="3"/>
  <c r="I31" i="3"/>
  <c r="Q47" i="3"/>
  <c r="M58" i="3"/>
  <c r="M60" i="3"/>
  <c r="N50" i="3"/>
  <c r="L6" i="4" s="1"/>
  <c r="R49" i="3" l="1"/>
  <c r="S49" i="3"/>
  <c r="N44" i="3"/>
  <c r="Q40" i="3"/>
  <c r="R40" i="3" s="1"/>
  <c r="R42" i="3"/>
  <c r="R61" i="3" s="1"/>
  <c r="S47" i="3"/>
  <c r="S40" i="3" s="1"/>
  <c r="R47" i="3"/>
  <c r="O50" i="3"/>
  <c r="O56" i="3" l="1"/>
  <c r="M6" i="4"/>
  <c r="P44" i="3"/>
  <c r="R59" i="3"/>
  <c r="T49" i="3"/>
  <c r="T42" i="3" s="1"/>
  <c r="Q48" i="3"/>
  <c r="R48" i="3" s="1"/>
  <c r="O44" i="3"/>
  <c r="O62" i="3" s="1"/>
  <c r="M7" i="4" s="1"/>
  <c r="S42" i="3"/>
  <c r="T47" i="3"/>
  <c r="T40" i="3" s="1"/>
  <c r="P50" i="3"/>
  <c r="Q46" i="3"/>
  <c r="Q39" i="3" s="1"/>
  <c r="P56" i="3" l="1"/>
  <c r="N6" i="4"/>
  <c r="Q41" i="3"/>
  <c r="R41" i="3" s="1"/>
  <c r="R60" i="3" s="1"/>
  <c r="S48" i="3"/>
  <c r="T48" i="3" s="1"/>
  <c r="T41" i="3" s="1"/>
  <c r="O35" i="3"/>
  <c r="P62" i="3"/>
  <c r="N7" i="4" s="1"/>
  <c r="U49" i="3"/>
  <c r="U42" i="3" s="1"/>
  <c r="U47" i="3"/>
  <c r="R39" i="3"/>
  <c r="Q50" i="3"/>
  <c r="S46" i="3"/>
  <c r="R46" i="3"/>
  <c r="R50" i="3" s="1"/>
  <c r="Q56" i="3" l="1"/>
  <c r="O6" i="4"/>
  <c r="Q10" i="3"/>
  <c r="S41" i="3"/>
  <c r="Q44" i="3"/>
  <c r="Q62" i="3" s="1"/>
  <c r="O7" i="4" s="1"/>
  <c r="R44" i="3"/>
  <c r="V49" i="3"/>
  <c r="U40" i="3"/>
  <c r="S39" i="3"/>
  <c r="V47" i="3"/>
  <c r="V40" i="3" s="1"/>
  <c r="S50" i="3"/>
  <c r="T46" i="3"/>
  <c r="R58" i="3"/>
  <c r="U48" i="3"/>
  <c r="U41" i="3" s="1"/>
  <c r="S56" i="3" l="1"/>
  <c r="P6" i="4"/>
  <c r="W40" i="3"/>
  <c r="T39" i="3"/>
  <c r="W49" i="3"/>
  <c r="X49" i="3"/>
  <c r="X42" i="3" s="1"/>
  <c r="S44" i="3"/>
  <c r="S10" i="3"/>
  <c r="V42" i="3"/>
  <c r="W42" i="3" s="1"/>
  <c r="X47" i="3"/>
  <c r="W47" i="3"/>
  <c r="V48" i="3"/>
  <c r="U46" i="3"/>
  <c r="T50" i="3"/>
  <c r="T56" i="3" l="1"/>
  <c r="Q6" i="4"/>
  <c r="T10" i="3"/>
  <c r="T44" i="3"/>
  <c r="T9" i="3" s="1"/>
  <c r="U39" i="3"/>
  <c r="Y49" i="3"/>
  <c r="Y42" i="3" s="1"/>
  <c r="X40" i="3"/>
  <c r="W61" i="3"/>
  <c r="V41" i="3"/>
  <c r="W41" i="3" s="1"/>
  <c r="W59" i="3"/>
  <c r="Y47" i="3"/>
  <c r="Y40" i="3" s="1"/>
  <c r="S62" i="3"/>
  <c r="P7" i="4" s="1"/>
  <c r="S9" i="3"/>
  <c r="W48" i="3"/>
  <c r="X48" i="3"/>
  <c r="X41" i="3" s="1"/>
  <c r="U50" i="3"/>
  <c r="V46" i="3"/>
  <c r="T76" i="3" l="1"/>
  <c r="S76" i="3"/>
  <c r="U56" i="3"/>
  <c r="R6" i="4"/>
  <c r="T62" i="3"/>
  <c r="Q7" i="4" s="1"/>
  <c r="W46" i="3"/>
  <c r="W50" i="3" s="1"/>
  <c r="U44" i="3"/>
  <c r="U9" i="3" s="1"/>
  <c r="U10" i="3"/>
  <c r="V39" i="3"/>
  <c r="T35" i="3"/>
  <c r="T16" i="3"/>
  <c r="T15" i="3"/>
  <c r="T89" i="3"/>
  <c r="T14" i="3"/>
  <c r="T11" i="3"/>
  <c r="Z49" i="3"/>
  <c r="Z42" i="3" s="1"/>
  <c r="S89" i="3"/>
  <c r="S90" i="3" s="1"/>
  <c r="S12" i="3" s="1"/>
  <c r="S11" i="3"/>
  <c r="S78" i="3" s="1"/>
  <c r="S35" i="3"/>
  <c r="Z47" i="3"/>
  <c r="S16" i="3"/>
  <c r="S15" i="3"/>
  <c r="S14" i="3"/>
  <c r="W60" i="3"/>
  <c r="X46" i="3"/>
  <c r="X39" i="3" s="1"/>
  <c r="V50" i="3"/>
  <c r="Y48" i="3"/>
  <c r="Y41" i="3" s="1"/>
  <c r="U76" i="3" l="1"/>
  <c r="V56" i="3"/>
  <c r="S6" i="4"/>
  <c r="U62" i="3"/>
  <c r="R7" i="4" s="1"/>
  <c r="V44" i="3"/>
  <c r="V10" i="3"/>
  <c r="X10" i="3"/>
  <c r="X44" i="3"/>
  <c r="X9" i="3" s="1"/>
  <c r="AA49" i="3"/>
  <c r="AA42" i="3" s="1"/>
  <c r="AB42" i="3" s="1"/>
  <c r="T78" i="3"/>
  <c r="W39" i="3"/>
  <c r="W44" i="3" s="1"/>
  <c r="T17" i="3"/>
  <c r="AA47" i="3"/>
  <c r="Z40" i="3"/>
  <c r="T90" i="3"/>
  <c r="T12" i="3" s="1"/>
  <c r="T19" i="3" s="1"/>
  <c r="U14" i="3"/>
  <c r="U89" i="3"/>
  <c r="U11" i="3"/>
  <c r="U78" i="3" s="1"/>
  <c r="U16" i="3"/>
  <c r="U35" i="3"/>
  <c r="U15" i="3"/>
  <c r="S95" i="3"/>
  <c r="S25" i="3" s="1"/>
  <c r="S13" i="3"/>
  <c r="S79" i="3" s="1"/>
  <c r="S19" i="3"/>
  <c r="S17" i="3"/>
  <c r="Z48" i="3"/>
  <c r="Z41" i="3" s="1"/>
  <c r="Y46" i="3"/>
  <c r="X50" i="3"/>
  <c r="X56" i="3" s="1"/>
  <c r="X76" i="3" l="1"/>
  <c r="T95" i="3"/>
  <c r="T25" i="3" s="1"/>
  <c r="AB49" i="3"/>
  <c r="AB61" i="3" s="1"/>
  <c r="U90" i="3"/>
  <c r="U12" i="3" s="1"/>
  <c r="AB47" i="3"/>
  <c r="U17" i="3"/>
  <c r="AA40" i="3"/>
  <c r="AB40" i="3" s="1"/>
  <c r="T13" i="3"/>
  <c r="Y39" i="3"/>
  <c r="X89" i="3"/>
  <c r="X90" i="3" s="1"/>
  <c r="X95" i="3" s="1"/>
  <c r="X25" i="3" s="1"/>
  <c r="X35" i="3"/>
  <c r="X11" i="3"/>
  <c r="X78" i="3" s="1"/>
  <c r="S18" i="3"/>
  <c r="S20" i="3"/>
  <c r="S81" i="3" s="1"/>
  <c r="V62" i="3"/>
  <c r="S7" i="4" s="1"/>
  <c r="V9" i="3"/>
  <c r="X16" i="3"/>
  <c r="X15" i="3"/>
  <c r="X14" i="3"/>
  <c r="X62" i="3"/>
  <c r="Z46" i="3"/>
  <c r="Y50" i="3"/>
  <c r="Y56" i="3" s="1"/>
  <c r="AA48" i="3"/>
  <c r="AA41" i="3" s="1"/>
  <c r="AB41" i="3" s="1"/>
  <c r="W58" i="3"/>
  <c r="H42" i="3"/>
  <c r="H61" i="3" s="1"/>
  <c r="H40" i="3"/>
  <c r="H59" i="3" s="1"/>
  <c r="H39" i="3"/>
  <c r="E50" i="3"/>
  <c r="E6" i="4" s="1"/>
  <c r="F50" i="3"/>
  <c r="F6" i="4" s="1"/>
  <c r="AB59" i="3" l="1"/>
  <c r="U95" i="3"/>
  <c r="U25" i="3" s="1"/>
  <c r="Y10" i="3"/>
  <c r="Y44" i="3"/>
  <c r="Y9" i="3" s="1"/>
  <c r="H58" i="3"/>
  <c r="H44" i="3"/>
  <c r="H35" i="3" s="1"/>
  <c r="T79" i="3"/>
  <c r="T20" i="3"/>
  <c r="T81" i="3" s="1"/>
  <c r="T18" i="3"/>
  <c r="Z39" i="3"/>
  <c r="U19" i="3"/>
  <c r="U13" i="3"/>
  <c r="V89" i="3"/>
  <c r="V90" i="3" s="1"/>
  <c r="V12" i="3" s="1"/>
  <c r="W12" i="3" s="1"/>
  <c r="V11" i="3"/>
  <c r="V78" i="3" s="1"/>
  <c r="V35" i="3"/>
  <c r="X12" i="3"/>
  <c r="X19" i="3" s="1"/>
  <c r="X17" i="3"/>
  <c r="V16" i="3"/>
  <c r="W16" i="3" s="1"/>
  <c r="V15" i="3"/>
  <c r="W15" i="3" s="1"/>
  <c r="V14" i="3"/>
  <c r="W14" i="3" s="1"/>
  <c r="W9" i="3"/>
  <c r="AB48" i="3"/>
  <c r="AB60" i="3" s="1"/>
  <c r="AA46" i="3"/>
  <c r="AA39" i="3" s="1"/>
  <c r="Z50" i="3"/>
  <c r="Z56" i="3" s="1"/>
  <c r="F56" i="3"/>
  <c r="G50" i="3"/>
  <c r="H11" i="3"/>
  <c r="G11" i="3"/>
  <c r="E11" i="3"/>
  <c r="Y76" i="3" l="1"/>
  <c r="G56" i="3"/>
  <c r="G6" i="4"/>
  <c r="Y62" i="3"/>
  <c r="AA44" i="3"/>
  <c r="AA9" i="3" s="1"/>
  <c r="AA10" i="3"/>
  <c r="U79" i="3"/>
  <c r="U20" i="3"/>
  <c r="U81" i="3" s="1"/>
  <c r="U18" i="3"/>
  <c r="Z44" i="3"/>
  <c r="Z10" i="3"/>
  <c r="G77" i="3"/>
  <c r="G78" i="3"/>
  <c r="H77" i="3"/>
  <c r="H78" i="3"/>
  <c r="AB39" i="3"/>
  <c r="AB44" i="3" s="1"/>
  <c r="E77" i="3"/>
  <c r="E78" i="3"/>
  <c r="Y35" i="3"/>
  <c r="Y11" i="3"/>
  <c r="Y78" i="3" s="1"/>
  <c r="Y16" i="3"/>
  <c r="Y15" i="3"/>
  <c r="Y89" i="3"/>
  <c r="Y14" i="3"/>
  <c r="W35" i="3"/>
  <c r="X13" i="3"/>
  <c r="X79" i="3" s="1"/>
  <c r="V13" i="3"/>
  <c r="V79" i="3" s="1"/>
  <c r="V19" i="3"/>
  <c r="W19" i="3" s="1"/>
  <c r="V95" i="3"/>
  <c r="V25" i="3" s="1"/>
  <c r="W25" i="3" s="1"/>
  <c r="V17" i="3"/>
  <c r="W17" i="3"/>
  <c r="G62" i="3"/>
  <c r="G7" i="4" s="1"/>
  <c r="F62" i="3"/>
  <c r="F7" i="4" s="1"/>
  <c r="E62" i="3"/>
  <c r="E7" i="4" s="1"/>
  <c r="D62" i="3"/>
  <c r="D7" i="4" s="1"/>
  <c r="AB46" i="3"/>
  <c r="AB50" i="3" s="1"/>
  <c r="AA50" i="3"/>
  <c r="AA56" i="3" s="1"/>
  <c r="D56" i="3"/>
  <c r="H50" i="3"/>
  <c r="E56" i="3"/>
  <c r="F33" i="3"/>
  <c r="H13" i="3"/>
  <c r="H18" i="3"/>
  <c r="H80" i="3" s="1"/>
  <c r="E18" i="3"/>
  <c r="E80" i="3" s="1"/>
  <c r="E13" i="3"/>
  <c r="E79" i="3" s="1"/>
  <c r="G18" i="3"/>
  <c r="G80" i="3" s="1"/>
  <c r="G13" i="3"/>
  <c r="G79" i="3" s="1"/>
  <c r="I50" i="3"/>
  <c r="J56" i="3" l="1"/>
  <c r="H6" i="4"/>
  <c r="AA14" i="3"/>
  <c r="AA76" i="3"/>
  <c r="AA35" i="3"/>
  <c r="AA15" i="3"/>
  <c r="Y17" i="3"/>
  <c r="Y90" i="3"/>
  <c r="Y95" i="3" s="1"/>
  <c r="Y25" i="3" s="1"/>
  <c r="AA11" i="3"/>
  <c r="AA78" i="3" s="1"/>
  <c r="AA16" i="3"/>
  <c r="AA89" i="3"/>
  <c r="AA90" i="3" s="1"/>
  <c r="AA95" i="3" s="1"/>
  <c r="AA25" i="3" s="1"/>
  <c r="W10" i="3"/>
  <c r="W11" i="3" s="1"/>
  <c r="X18" i="3"/>
  <c r="H20" i="3"/>
  <c r="H81" i="3" s="1"/>
  <c r="H79" i="3"/>
  <c r="X20" i="3"/>
  <c r="X81" i="3" s="1"/>
  <c r="V18" i="3"/>
  <c r="V20" i="3"/>
  <c r="V81" i="3" s="1"/>
  <c r="Z62" i="3"/>
  <c r="Z9" i="3"/>
  <c r="AA62" i="3"/>
  <c r="AB58" i="3"/>
  <c r="G20" i="3"/>
  <c r="G81" i="3" s="1"/>
  <c r="E20" i="3"/>
  <c r="E81" i="3" s="1"/>
  <c r="I56" i="3"/>
  <c r="G22" i="3"/>
  <c r="G86" i="3" s="1"/>
  <c r="E22" i="3"/>
  <c r="E86" i="3" s="1"/>
  <c r="H22" i="3"/>
  <c r="H86" i="3" s="1"/>
  <c r="Z76" i="3" l="1"/>
  <c r="AA17" i="3"/>
  <c r="AA12" i="3"/>
  <c r="AA19" i="3" s="1"/>
  <c r="Y12" i="3"/>
  <c r="Z89" i="3"/>
  <c r="Z90" i="3" s="1"/>
  <c r="Z95" i="3" s="1"/>
  <c r="Z25" i="3" s="1"/>
  <c r="AB25" i="3" s="1"/>
  <c r="Z11" i="3"/>
  <c r="Z78" i="3" s="1"/>
  <c r="Z35" i="3"/>
  <c r="W13" i="3"/>
  <c r="W79" i="3" s="1"/>
  <c r="W78" i="3"/>
  <c r="W18" i="3"/>
  <c r="Z16" i="3"/>
  <c r="AB16" i="3" s="1"/>
  <c r="Z15" i="3"/>
  <c r="AB15" i="3" s="1"/>
  <c r="Z14" i="3"/>
  <c r="AB14" i="3" s="1"/>
  <c r="AB9" i="3"/>
  <c r="H26" i="3"/>
  <c r="H33" i="3" s="1"/>
  <c r="E26" i="3"/>
  <c r="E33" i="3" s="1"/>
  <c r="G26" i="3"/>
  <c r="G33" i="3" s="1"/>
  <c r="H24" i="3"/>
  <c r="E24" i="3"/>
  <c r="G24" i="3"/>
  <c r="K50" i="3"/>
  <c r="AB76" i="3" l="1"/>
  <c r="K56" i="3"/>
  <c r="J6" i="4"/>
  <c r="Y19" i="3"/>
  <c r="Y13" i="3"/>
  <c r="AA13" i="3"/>
  <c r="AA79" i="3" s="1"/>
  <c r="AB35" i="3"/>
  <c r="W20" i="3"/>
  <c r="W81" i="3" s="1"/>
  <c r="Z12" i="3"/>
  <c r="AB12" i="3" s="1"/>
  <c r="AB10" i="3"/>
  <c r="AB11" i="3" s="1"/>
  <c r="Z17" i="3"/>
  <c r="AB17" i="3"/>
  <c r="G28" i="3"/>
  <c r="F28" i="3"/>
  <c r="E28" i="3"/>
  <c r="H28" i="3"/>
  <c r="G31" i="3"/>
  <c r="G32" i="3"/>
  <c r="F32" i="3"/>
  <c r="F31" i="3"/>
  <c r="E31" i="3"/>
  <c r="E32" i="3"/>
  <c r="H32" i="3"/>
  <c r="H31" i="3"/>
  <c r="AA18" i="3" l="1"/>
  <c r="AA20" i="3"/>
  <c r="AA81" i="3" s="1"/>
  <c r="Y79" i="3"/>
  <c r="Y18" i="3"/>
  <c r="Y20" i="3"/>
  <c r="Y81" i="3" s="1"/>
  <c r="AB97" i="3"/>
  <c r="Z13" i="3"/>
  <c r="Z79" i="3" s="1"/>
  <c r="Z19" i="3"/>
  <c r="AB19" i="3" s="1"/>
  <c r="AB98" i="3" s="1"/>
  <c r="L50" i="3"/>
  <c r="L7" i="4" l="1"/>
  <c r="K6" i="4"/>
  <c r="AB13" i="3"/>
  <c r="AB79" i="3" s="1"/>
  <c r="AB78" i="3"/>
  <c r="Z18" i="3"/>
  <c r="AB18" i="3"/>
  <c r="Z20" i="3"/>
  <c r="Z81" i="3" s="1"/>
  <c r="N56" i="3"/>
  <c r="L56" i="3"/>
  <c r="M50" i="3"/>
  <c r="AB20" i="3" l="1"/>
  <c r="AB81" i="3" s="1"/>
  <c r="I62" i="3" l="1"/>
  <c r="H7" i="4" s="1"/>
  <c r="J62" i="3" l="1"/>
  <c r="I7" i="4" s="1"/>
  <c r="L62" i="3" l="1"/>
  <c r="K7" i="4" s="1"/>
  <c r="K62" i="3"/>
  <c r="J7" i="4" s="1"/>
  <c r="M9" i="3" l="1"/>
  <c r="M35" i="3" l="1"/>
  <c r="M76" i="3"/>
  <c r="K25" i="3"/>
  <c r="M89" i="3"/>
  <c r="M15" i="3"/>
  <c r="M16" i="3"/>
  <c r="M14" i="3"/>
  <c r="J25" i="3"/>
  <c r="J13" i="3"/>
  <c r="J79" i="3" s="1"/>
  <c r="J19" i="3"/>
  <c r="J17" i="3"/>
  <c r="J18" i="3" s="1"/>
  <c r="J80" i="3" s="1"/>
  <c r="K17" i="3"/>
  <c r="K18" i="3" s="1"/>
  <c r="M21" i="3"/>
  <c r="M17" i="3" l="1"/>
  <c r="J22" i="3"/>
  <c r="J86" i="3" s="1"/>
  <c r="J20" i="3"/>
  <c r="J81" i="3" s="1"/>
  <c r="M10" i="3"/>
  <c r="Q9" i="3"/>
  <c r="Q89" i="3" l="1"/>
  <c r="Q90" i="3" s="1"/>
  <c r="Q95" i="3" s="1"/>
  <c r="Q25" i="3" s="1"/>
  <c r="Q76" i="3"/>
  <c r="V76" i="3"/>
  <c r="Q11" i="3"/>
  <c r="Q78" i="3" s="1"/>
  <c r="Q35" i="3"/>
  <c r="P11" i="3"/>
  <c r="P35" i="3"/>
  <c r="M97" i="3"/>
  <c r="M11" i="3"/>
  <c r="M18" i="3" s="1"/>
  <c r="J26" i="3"/>
  <c r="J33" i="3" s="1"/>
  <c r="Q14" i="3"/>
  <c r="Q16" i="3"/>
  <c r="Q15" i="3"/>
  <c r="Q21" i="3"/>
  <c r="P78" i="3" l="1"/>
  <c r="P18" i="3"/>
  <c r="P77" i="3"/>
  <c r="M22" i="3"/>
  <c r="M78" i="3"/>
  <c r="P13" i="3"/>
  <c r="L22" i="3"/>
  <c r="J24" i="3"/>
  <c r="Q12" i="3"/>
  <c r="Q13" i="3" s="1"/>
  <c r="Q79" i="3" s="1"/>
  <c r="Q17" i="3"/>
  <c r="J31" i="3" l="1"/>
  <c r="M23" i="3"/>
  <c r="M86" i="3" s="1"/>
  <c r="L86" i="3"/>
  <c r="P79" i="3"/>
  <c r="P25" i="3"/>
  <c r="O25" i="3"/>
  <c r="L24" i="3"/>
  <c r="J32" i="3"/>
  <c r="J28" i="3"/>
  <c r="O22" i="3"/>
  <c r="O86" i="3" s="1"/>
  <c r="Q19" i="3"/>
  <c r="Q20" i="3" s="1"/>
  <c r="Q18" i="3"/>
  <c r="Q22" i="3" s="1"/>
  <c r="P22" i="3" l="1"/>
  <c r="P86" i="3" s="1"/>
  <c r="L32" i="3"/>
  <c r="L31" i="3"/>
  <c r="P20" i="3"/>
  <c r="P81" i="3" s="1"/>
  <c r="L28" i="3"/>
  <c r="Q81" i="3"/>
  <c r="Q80" i="3"/>
  <c r="T80" i="3"/>
  <c r="T21" i="3"/>
  <c r="T22" i="3" s="1"/>
  <c r="T23" i="3" s="1"/>
  <c r="V80" i="3"/>
  <c r="V21" i="3"/>
  <c r="V22" i="3" s="1"/>
  <c r="V23" i="3" s="1"/>
  <c r="S21" i="3"/>
  <c r="S22" i="3" s="1"/>
  <c r="S23" i="3" s="1"/>
  <c r="U21" i="3"/>
  <c r="U22" i="3" s="1"/>
  <c r="U23" i="3" s="1"/>
  <c r="U80" i="3"/>
  <c r="P80" i="3" l="1"/>
  <c r="W23" i="3"/>
  <c r="V26" i="3"/>
  <c r="W21" i="3"/>
  <c r="W22" i="3" s="1"/>
  <c r="S80" i="3"/>
  <c r="W77" i="3"/>
  <c r="W86" i="3" l="1"/>
  <c r="U26" i="3"/>
  <c r="T26" i="3"/>
  <c r="V24" i="3"/>
  <c r="T24" i="3"/>
  <c r="U24" i="3"/>
  <c r="V33" i="3"/>
  <c r="W80" i="3"/>
  <c r="S26" i="3"/>
  <c r="V31" i="3" l="1"/>
  <c r="T31" i="3"/>
  <c r="U31" i="3"/>
  <c r="V32" i="3"/>
  <c r="T33" i="3"/>
  <c r="U33" i="3"/>
  <c r="V28" i="3"/>
  <c r="T32" i="3"/>
  <c r="T28" i="3"/>
  <c r="U32" i="3"/>
  <c r="U28" i="3"/>
  <c r="S24" i="3"/>
  <c r="Z21" i="3"/>
  <c r="Z22" i="3" s="1"/>
  <c r="Z23" i="3" s="1"/>
  <c r="Z80" i="3"/>
  <c r="X21" i="3"/>
  <c r="X22" i="3" s="1"/>
  <c r="X23" i="3" s="1"/>
  <c r="AA80" i="3"/>
  <c r="AA21" i="3"/>
  <c r="AA22" i="3" s="1"/>
  <c r="AA23" i="3" s="1"/>
  <c r="Y80" i="3"/>
  <c r="Y21" i="3"/>
  <c r="Y22" i="3" s="1"/>
  <c r="Y23" i="3" s="1"/>
  <c r="S31" i="3" l="1"/>
  <c r="AB23" i="3"/>
  <c r="W24" i="3"/>
  <c r="W30" i="3" s="1"/>
  <c r="W26" i="3"/>
  <c r="S32" i="3"/>
  <c r="S28" i="3"/>
  <c r="AA26" i="3"/>
  <c r="AB21" i="3"/>
  <c r="AB22" i="3" s="1"/>
  <c r="X80" i="3"/>
  <c r="AB77" i="3"/>
  <c r="S33" i="3"/>
  <c r="AB86" i="3" l="1"/>
  <c r="W29" i="3"/>
  <c r="W31" i="3" s="1"/>
  <c r="W33" i="3"/>
  <c r="W28" i="3"/>
  <c r="W32" i="3"/>
  <c r="Z26" i="3"/>
  <c r="Y26" i="3"/>
  <c r="Z24" i="3"/>
  <c r="AA24" i="3"/>
  <c r="Y24" i="3"/>
  <c r="AA33" i="3"/>
  <c r="AB80" i="3"/>
  <c r="AA31" i="3" l="1"/>
  <c r="Z31" i="3"/>
  <c r="Y31" i="3"/>
  <c r="AA32" i="3"/>
  <c r="Z32" i="3"/>
  <c r="Z33" i="3"/>
  <c r="X24" i="3"/>
  <c r="X26" i="3"/>
  <c r="Y33" i="3"/>
  <c r="AA28" i="3"/>
  <c r="Z28" i="3"/>
  <c r="Y32" i="3"/>
  <c r="Y28" i="3"/>
  <c r="X31" i="3" l="1"/>
  <c r="X28" i="3"/>
  <c r="X32" i="3"/>
  <c r="AB24" i="3"/>
  <c r="AB29" i="3" s="1"/>
  <c r="AB26" i="3"/>
  <c r="X33" i="3"/>
  <c r="AB30" i="3" l="1"/>
  <c r="AB33" i="3" s="1"/>
  <c r="AB31" i="3"/>
  <c r="AB28" i="3"/>
  <c r="AB32" i="3" l="1"/>
  <c r="N11" i="3" l="1"/>
  <c r="N35" i="3"/>
  <c r="R9" i="3"/>
  <c r="R15" i="3"/>
  <c r="R14" i="3"/>
  <c r="R16" i="3"/>
  <c r="R21" i="3"/>
  <c r="R76" i="3" l="1"/>
  <c r="W76" i="3"/>
  <c r="N78" i="3"/>
  <c r="N18" i="3"/>
  <c r="N77" i="3"/>
  <c r="R35" i="3"/>
  <c r="R89" i="3"/>
  <c r="R17" i="3"/>
  <c r="N25" i="3"/>
  <c r="R25" i="3" s="1"/>
  <c r="N13" i="3" l="1"/>
  <c r="N79" i="3" s="1"/>
  <c r="R10" i="3"/>
  <c r="R97" i="3" s="1"/>
  <c r="R11" i="3" l="1"/>
  <c r="N22" i="3"/>
  <c r="N86" i="3" s="1"/>
  <c r="N20" i="3"/>
  <c r="N81" i="3" s="1"/>
  <c r="W97" i="3"/>
  <c r="R18" i="3" l="1"/>
  <c r="R22" i="3" s="1"/>
  <c r="R78" i="3"/>
  <c r="N80" i="3"/>
  <c r="N24" i="3"/>
  <c r="N26" i="3"/>
  <c r="O24" i="3" l="1"/>
  <c r="Q23" i="3"/>
  <c r="N31" i="3"/>
  <c r="N28" i="3"/>
  <c r="N32" i="3"/>
  <c r="N33" i="3"/>
  <c r="Q26" i="3" l="1"/>
  <c r="Q33" i="3" s="1"/>
  <c r="Q24" i="3"/>
  <c r="P26" i="3"/>
  <c r="P33" i="3" s="1"/>
  <c r="P24" i="3"/>
  <c r="R23" i="3"/>
  <c r="O28" i="3"/>
  <c r="O31" i="3"/>
  <c r="O32" i="3"/>
  <c r="R24" i="3" l="1"/>
  <c r="R30" i="3" s="1"/>
  <c r="R32" i="3" s="1"/>
  <c r="R86" i="3"/>
  <c r="P31" i="3"/>
  <c r="P32" i="3"/>
  <c r="P28" i="3"/>
  <c r="Q31" i="3"/>
  <c r="Q32" i="3"/>
  <c r="Q28" i="3"/>
  <c r="R28" i="3" l="1"/>
  <c r="R29" i="3"/>
  <c r="R31" i="3" s="1"/>
  <c r="M24" i="3" l="1"/>
  <c r="M32" i="3" l="1"/>
  <c r="M31" i="3"/>
  <c r="M28" i="3"/>
  <c r="K77" i="3" l="1"/>
  <c r="K13" i="3"/>
  <c r="K22" i="3"/>
  <c r="K94" i="3"/>
  <c r="K86" i="3" l="1"/>
  <c r="K24" i="3"/>
  <c r="K79" i="3"/>
  <c r="K20" i="3"/>
  <c r="K81" i="3" l="1"/>
  <c r="K80" i="3"/>
  <c r="K26" i="3"/>
  <c r="K33" i="3" s="1"/>
  <c r="K28" i="3"/>
  <c r="K31" i="3"/>
  <c r="K32" i="3"/>
  <c r="M19" i="3" l="1"/>
  <c r="M12" i="3"/>
  <c r="L94" i="3"/>
  <c r="L13" i="3"/>
  <c r="L79" i="3" s="1"/>
  <c r="M13" i="3" l="1"/>
  <c r="M20" i="3" s="1"/>
  <c r="L20" i="3"/>
  <c r="L81" i="3" s="1"/>
  <c r="M79" i="3" l="1"/>
  <c r="L80" i="3"/>
  <c r="M80" i="3"/>
  <c r="M81" i="3"/>
  <c r="L96" i="3"/>
  <c r="L25" i="3"/>
  <c r="M25" i="3" s="1"/>
  <c r="M98" i="3" s="1"/>
  <c r="C112" i="3" l="1"/>
  <c r="L26" i="3"/>
  <c r="L33" i="3" s="1"/>
  <c r="M26" i="3"/>
  <c r="M33" i="3" s="1"/>
  <c r="R19" i="3" l="1"/>
  <c r="R12" i="3"/>
  <c r="O94" i="3"/>
  <c r="O13" i="3"/>
  <c r="O20" i="3" s="1"/>
  <c r="O26" i="3" s="1"/>
  <c r="O33" i="3" s="1"/>
  <c r="C5" i="3" s="1"/>
  <c r="O79" i="3" l="1"/>
  <c r="R98" i="3"/>
  <c r="W98" i="3"/>
  <c r="O80" i="3"/>
  <c r="O81" i="3"/>
  <c r="R13" i="3"/>
  <c r="R20" i="3" l="1"/>
  <c r="R79" i="3"/>
  <c r="R77" i="3"/>
  <c r="R26" i="3" l="1"/>
  <c r="R33" i="3" s="1"/>
  <c r="R81" i="3"/>
  <c r="R80" i="3"/>
</calcChain>
</file>

<file path=xl/comments1.xml><?xml version="1.0" encoding="utf-8"?>
<comments xmlns="http://schemas.openxmlformats.org/spreadsheetml/2006/main">
  <authors>
    <author>GE User</author>
    <author>Admin</author>
    <author>Owner</author>
  </authors>
  <commentList>
    <comment ref="B12" authorId="0" shapeId="0">
      <text>
        <r>
          <rPr>
            <sz val="9"/>
            <color indexed="81"/>
            <rFont val="Tahoma"/>
            <family val="2"/>
          </rPr>
          <t>Represents share-based comp, payroll tax for share-based comp, and amortization of intangibles. A portion is allocated to cost of revenue, the remainder goes to opex.</t>
        </r>
      </text>
    </comment>
    <comment ref="B43" authorId="1" shapeId="0">
      <text>
        <r>
          <rPr>
            <sz val="9"/>
            <color indexed="81"/>
            <rFont val="Tahoma"/>
            <family val="2"/>
          </rPr>
          <t xml:space="preserve">Revenue from delivery of virtual reality platform devices  are included in "Other Fee Revenue". Currently Payments and Other Fee Revenue is not material, so we do not break it out seperately in historic results; However, we included a section for VR so we could include future forecasted contributions in earnings for Oculus. </t>
        </r>
      </text>
    </comment>
    <comment ref="B63" authorId="1" shapeId="0">
      <text>
        <r>
          <rPr>
            <sz val="9"/>
            <color indexed="81"/>
            <rFont val="Tahoma"/>
            <family val="2"/>
          </rPr>
          <t xml:space="preserve">Revenue from delivery of virtual reality platform devices  are included in "Other Fee Revenue". Currently Payments and Other Fee Revenue is not material, so we do not break it out seperately in historic results; However, we included a section for VR so we could include future forecasted contributions in earnings for Oculus.
</t>
        </r>
      </text>
    </comment>
    <comment ref="K86" authorId="2" shapeId="0">
      <text>
        <r>
          <rPr>
            <sz val="9"/>
            <color indexed="81"/>
            <rFont val="Tahoma"/>
            <family val="2"/>
          </rPr>
          <t xml:space="preserve">Management guided non-GAAP tax rate to be consistent with the 2nd quarter on July 29, 2015.
</t>
        </r>
      </text>
    </comment>
    <comment ref="L86" authorId="2" shapeId="0">
      <text>
        <r>
          <rPr>
            <sz val="9"/>
            <color indexed="81"/>
            <rFont val="Tahoma"/>
            <family val="2"/>
          </rPr>
          <t>Management guided to several percentage points higher than the third quarter on 11/4/2015</t>
        </r>
      </text>
    </comment>
    <comment ref="N86" authorId="2" shapeId="0">
      <text>
        <r>
          <rPr>
            <sz val="9"/>
            <color indexed="81"/>
            <rFont val="Tahoma"/>
            <family val="2"/>
          </rPr>
          <t>Management guided to several percentage points higher than the third quarter on 11/4/2015</t>
        </r>
      </text>
    </comment>
    <comment ref="O86" authorId="1" shapeId="0">
      <text>
        <r>
          <rPr>
            <sz val="9"/>
            <color indexed="81"/>
            <rFont val="Tahoma"/>
            <family val="2"/>
          </rPr>
          <t>Management guided the tax rate to be similar to 1Q16 on 4/27/2016.</t>
        </r>
      </text>
    </comment>
    <comment ref="R86" authorId="1" shapeId="0">
      <text>
        <r>
          <rPr>
            <sz val="9"/>
            <color indexed="81"/>
            <rFont val="Tahoma"/>
            <family val="2"/>
          </rPr>
          <t>Management guided the tax rate to be in-line with YTD tax rate on 11/2/2016.
Old Guidance:
Management guided the tax rate to be similar to 2Q16 on 7/27/2016.</t>
        </r>
      </text>
    </comment>
    <comment ref="M89" authorId="2" shapeId="0">
      <text>
        <r>
          <rPr>
            <sz val="9"/>
            <color indexed="81"/>
            <rFont val="Tahoma"/>
            <family val="2"/>
          </rPr>
          <t xml:space="preserve">Management guided 2015 stock based comp to be in the range of $3.0B to $3.2B on 11/4/2015
</t>
        </r>
      </text>
    </comment>
    <comment ref="R89" authorId="1" shapeId="0">
      <text>
        <r>
          <rPr>
            <sz val="9"/>
            <color indexed="81"/>
            <rFont val="Tahoma"/>
            <family val="2"/>
          </rPr>
          <t xml:space="preserve">Management reiterated their stock-based comp guidance of $3.2B to $3.3B on 11/2/2016.
</t>
        </r>
        <r>
          <rPr>
            <b/>
            <sz val="9"/>
            <color indexed="81"/>
            <rFont val="Tahoma"/>
            <family val="2"/>
          </rPr>
          <t>Old Guidance:</t>
        </r>
        <r>
          <rPr>
            <sz val="9"/>
            <color indexed="81"/>
            <rFont val="Tahoma"/>
            <family val="2"/>
          </rPr>
          <t xml:space="preserve">
Management reiterated their stock-based comp guidance of $3.1B to $3.3B on 7/27/2016.
Management reiterated their stock-based comp guidance on 4/27/2016.
</t>
        </r>
        <r>
          <rPr>
            <b/>
            <sz val="9"/>
            <color indexed="81"/>
            <rFont val="Tahoma"/>
            <family val="2"/>
          </rPr>
          <t>Old Guidance:</t>
        </r>
        <r>
          <rPr>
            <sz val="9"/>
            <color indexed="81"/>
            <rFont val="Tahoma"/>
            <family val="2"/>
          </rPr>
          <t xml:space="preserve">
Management guided 2016 stock based comp to be in the range of $3.1B to $3.3B on 1/27/2016.</t>
        </r>
      </text>
    </comment>
    <comment ref="M91" authorId="2" shapeId="0">
      <text>
        <r>
          <rPr>
            <sz val="9"/>
            <color indexed="81"/>
            <rFont val="Tahoma"/>
            <family val="2"/>
          </rPr>
          <t xml:space="preserve">Management guided 2015 amortization to be in the range of $700M to $800M on 11/4/2015
</t>
        </r>
      </text>
    </comment>
    <comment ref="R91" authorId="1" shapeId="0">
      <text>
        <r>
          <rPr>
            <sz val="9"/>
            <color indexed="81"/>
            <rFont val="Tahoma"/>
            <family val="2"/>
          </rPr>
          <t xml:space="preserve">Management reiterated Amortization guidance of $700M to $800M on 11/2/2016.
</t>
        </r>
        <r>
          <rPr>
            <b/>
            <sz val="9"/>
            <color indexed="81"/>
            <rFont val="Tahoma"/>
            <family val="2"/>
          </rPr>
          <t>Old Guidance:</t>
        </r>
        <r>
          <rPr>
            <sz val="9"/>
            <color indexed="81"/>
            <rFont val="Tahoma"/>
            <family val="2"/>
          </rPr>
          <t xml:space="preserve">
Management reiterated Amortization guidance of $700M to $800M on 7/27/2016.
Management reiterated Amortization guidance on 4/27/2016.
</t>
        </r>
        <r>
          <rPr>
            <b/>
            <sz val="9"/>
            <color indexed="81"/>
            <rFont val="Tahoma"/>
            <family val="2"/>
          </rPr>
          <t>Old guidance:</t>
        </r>
        <r>
          <rPr>
            <sz val="9"/>
            <color indexed="81"/>
            <rFont val="Tahoma"/>
            <family val="2"/>
          </rPr>
          <t xml:space="preserve">
Management guided 2016 amortization to be in the range of $700M to $800M on 1/27/2016.</t>
        </r>
      </text>
    </comment>
    <comment ref="M97" authorId="2" shapeId="0">
      <text>
        <r>
          <rPr>
            <sz val="9"/>
            <color indexed="81"/>
            <rFont val="Tahoma"/>
            <family val="2"/>
          </rPr>
          <t xml:space="preserve">Management guided 2015 expenses (opex + COGS) to increase 55% YoY on 11/4/2015. </t>
        </r>
      </text>
    </comment>
    <comment ref="R97" authorId="1" shapeId="0">
      <text>
        <r>
          <rPr>
            <sz val="9"/>
            <color indexed="81"/>
            <rFont val="Tahoma"/>
            <family val="2"/>
          </rPr>
          <t xml:space="preserve">Management guided 2016 expenses (opex + COGS) to increase (at the lower end of) 30% to 35%  YoY on 11/2/2016. 
</t>
        </r>
        <r>
          <rPr>
            <b/>
            <sz val="9"/>
            <color indexed="81"/>
            <rFont val="Tahoma"/>
            <family val="2"/>
          </rPr>
          <t>Old Guidance:</t>
        </r>
        <r>
          <rPr>
            <sz val="9"/>
            <color indexed="81"/>
            <rFont val="Tahoma"/>
            <family val="2"/>
          </rPr>
          <t xml:space="preserve"> 
Management guided 2016 expenses (opex + COGS) to increase 30% to 35%  YoY on 7/27/2016.
Management guided 2016 expenses (opex + COGS) to increase 30% to 40%  YoY on 1/27/2016.</t>
        </r>
      </text>
    </comment>
    <comment ref="M98" authorId="2" shapeId="0">
      <text>
        <r>
          <rPr>
            <sz val="9"/>
            <color indexed="81"/>
            <rFont val="Tahoma"/>
            <family val="2"/>
          </rPr>
          <t>Management guided 2015 Non-GAAP expenses (opex + COGS) to increase 50% YoY on 11/4/2015.</t>
        </r>
      </text>
    </comment>
    <comment ref="R98" authorId="2" shapeId="0">
      <text>
        <r>
          <rPr>
            <sz val="9"/>
            <color indexed="81"/>
            <rFont val="Tahoma"/>
            <family val="2"/>
          </rPr>
          <t xml:space="preserve">Management guided 2016 Non-GAAP expenses (opex + COGS) to increase 40% to 45% YoY on 11/2/2016.
</t>
        </r>
        <r>
          <rPr>
            <b/>
            <sz val="9"/>
            <color indexed="81"/>
            <rFont val="Tahoma"/>
            <family val="2"/>
          </rPr>
          <t xml:space="preserve">Old Guidance:
</t>
        </r>
        <r>
          <rPr>
            <sz val="9"/>
            <color indexed="81"/>
            <rFont val="Tahoma"/>
            <family val="2"/>
          </rPr>
          <t>Management guided 2016 Non-GAAP expenses (opex + COGS) to increase 45% to 50% YoY on 7/27/2016.</t>
        </r>
        <r>
          <rPr>
            <b/>
            <sz val="9"/>
            <color indexed="81"/>
            <rFont val="Tahoma"/>
            <family val="2"/>
          </rPr>
          <t xml:space="preserve">
</t>
        </r>
        <r>
          <rPr>
            <sz val="9"/>
            <color indexed="81"/>
            <rFont val="Tahoma"/>
            <family val="2"/>
          </rPr>
          <t>Management guided 2016 Non-GAAP expenses (opex + COGS) to increase 45% to 55% YoY on 1/27/2016.</t>
        </r>
      </text>
    </comment>
  </commentList>
</comments>
</file>

<file path=xl/sharedStrings.xml><?xml version="1.0" encoding="utf-8"?>
<sst xmlns="http://schemas.openxmlformats.org/spreadsheetml/2006/main" count="250" uniqueCount="161">
  <si>
    <t>Research and development</t>
  </si>
  <si>
    <t>(Dollars in millions, except per share data)</t>
  </si>
  <si>
    <t>Multiple Valuation</t>
  </si>
  <si>
    <t>P/E used for valuation</t>
  </si>
  <si>
    <t>Sept-14</t>
  </si>
  <si>
    <t>June-14</t>
  </si>
  <si>
    <t>Mar-14</t>
  </si>
  <si>
    <t>Dec-14</t>
  </si>
  <si>
    <t>Mar-15</t>
  </si>
  <si>
    <t>June-15</t>
  </si>
  <si>
    <t>Sept-15</t>
  </si>
  <si>
    <t>Dec-16</t>
  </si>
  <si>
    <t>Dec-15</t>
  </si>
  <si>
    <t>Mar-16</t>
  </si>
  <si>
    <t>June-16</t>
  </si>
  <si>
    <t>Sept-16</t>
  </si>
  <si>
    <t>Mar-17</t>
  </si>
  <si>
    <t>June-17</t>
  </si>
  <si>
    <t>Sept-17</t>
  </si>
  <si>
    <t>Dec-17</t>
  </si>
  <si>
    <t>Mar-18</t>
  </si>
  <si>
    <t>June-18</t>
  </si>
  <si>
    <t>Sept-18</t>
  </si>
  <si>
    <t>Dec-18</t>
  </si>
  <si>
    <t>Dividends per share</t>
  </si>
  <si>
    <t>Share-based compensation expense</t>
  </si>
  <si>
    <t xml:space="preserve">Segment Data &amp; Income Statement Ratios </t>
  </si>
  <si>
    <t>Total sales by geography</t>
  </si>
  <si>
    <t>Facebook Income Statement</t>
  </si>
  <si>
    <t>1Q14</t>
  </si>
  <si>
    <t>2Q14</t>
  </si>
  <si>
    <t>3Q14</t>
  </si>
  <si>
    <t>4Q14</t>
  </si>
  <si>
    <t>1Q15</t>
  </si>
  <si>
    <t>Revenue (GAAP)</t>
  </si>
  <si>
    <t>Cost of revenue (GAAP)</t>
  </si>
  <si>
    <t>Marketing and sales</t>
  </si>
  <si>
    <t>General and administrative</t>
  </si>
  <si>
    <t>Adjustments to Gross Profit (Non-GAAP)</t>
  </si>
  <si>
    <t>Adjustments to operating income (Non-GAAP)</t>
  </si>
  <si>
    <t>Interest and other income (expense)</t>
  </si>
  <si>
    <t xml:space="preserve">Net income available to participating securities </t>
  </si>
  <si>
    <t>Adjustments to provisions for income tax (Non-GAAP)</t>
  </si>
  <si>
    <t>U.S. and Canada ($M)</t>
  </si>
  <si>
    <t>Europe  ($M)</t>
  </si>
  <si>
    <t>Asia Pacific  ($M)</t>
  </si>
  <si>
    <t>Rest of World  ($M)</t>
  </si>
  <si>
    <t>4Q16E</t>
  </si>
  <si>
    <t>2016E</t>
  </si>
  <si>
    <t>1Q17E</t>
  </si>
  <si>
    <t>2Q17E</t>
  </si>
  <si>
    <t>3Q17E</t>
  </si>
  <si>
    <t>4Q17E</t>
  </si>
  <si>
    <t>2017E</t>
  </si>
  <si>
    <t>1Q18E</t>
  </si>
  <si>
    <t>2Q18E</t>
  </si>
  <si>
    <t>3Q18E</t>
  </si>
  <si>
    <t>4Q18E</t>
  </si>
  <si>
    <t>2018E</t>
  </si>
  <si>
    <t>MAU - U.S. and Canada (M)</t>
  </si>
  <si>
    <t>MAU - Europe  (M)</t>
  </si>
  <si>
    <t>MAU - Asia Pacific  (M)</t>
  </si>
  <si>
    <t>MAU - Rest of World  (M)</t>
  </si>
  <si>
    <t>MAU quarterly growth - U.S. and Canada</t>
  </si>
  <si>
    <t>MAU quarterly growth - Europe</t>
  </si>
  <si>
    <t>MAU quarterly growth - Asia Pacific</t>
  </si>
  <si>
    <t>MAU quarterly growth - Rest of World</t>
  </si>
  <si>
    <t>ARPU - U.S. and Canada ($)</t>
  </si>
  <si>
    <t>ARPU - Europe ($)</t>
  </si>
  <si>
    <t>ARPU - Asia Pacific ($)</t>
  </si>
  <si>
    <t>ARPU - Rest of World ($)</t>
  </si>
  <si>
    <t>Interest and other income (expense) to revenue</t>
  </si>
  <si>
    <t>Operating margin percentage (Non-GAAP)</t>
  </si>
  <si>
    <t>2014</t>
  </si>
  <si>
    <t>2Q15</t>
  </si>
  <si>
    <t>Payroll tax expenses related to share-based comp</t>
  </si>
  <si>
    <t>Amortization of intangibles</t>
  </si>
  <si>
    <t>Income tax adjustments of non-GAAP items</t>
  </si>
  <si>
    <t>Non-GAAP Adjustment details</t>
  </si>
  <si>
    <t>Operating margin percentage (GAAP)</t>
  </si>
  <si>
    <t>Research and development exp to revenue (GAAP)</t>
  </si>
  <si>
    <t>Marketing and sales exp to revenue (GAAP)</t>
  </si>
  <si>
    <t>General and administrative exp to revenue (GAAP)</t>
  </si>
  <si>
    <t>Percentage of non-GAAP adjustments applied to COGS</t>
  </si>
  <si>
    <t>Effective tax rate of Non-GAAP items</t>
  </si>
  <si>
    <t>Share-based comp to revenue</t>
  </si>
  <si>
    <t>Payroll tax expenses to share based comp adjustment</t>
  </si>
  <si>
    <t>Diluted shares outstanding</t>
  </si>
  <si>
    <t>Basic shares outstanding</t>
  </si>
  <si>
    <t>Provisions for income tax (GAAP)</t>
  </si>
  <si>
    <t>Effective Income tax rate (GAAP)</t>
  </si>
  <si>
    <t>Growth rate in expenses (GAAP, YoY)</t>
  </si>
  <si>
    <t>Growth rate in expenses (Non-GAAP, YoY)</t>
  </si>
  <si>
    <t xml:space="preserve">Plus cash/(debt) per share </t>
  </si>
  <si>
    <t>P/E 3-month high</t>
  </si>
  <si>
    <t>P/E 3-month low</t>
  </si>
  <si>
    <t>P/E 3-month average (a)</t>
  </si>
  <si>
    <t>Implied P/E 12-month target value</t>
  </si>
  <si>
    <t>3Q15</t>
  </si>
  <si>
    <t>4Q15</t>
  </si>
  <si>
    <t>2015</t>
  </si>
  <si>
    <t>GR</t>
  </si>
  <si>
    <t>Income to participating securities (Average)</t>
  </si>
  <si>
    <t>Change in basic shares  (excluding repurchases)</t>
  </si>
  <si>
    <t>Change in diluted shares  (excluding repurchases)</t>
  </si>
  <si>
    <t>Share repurchase assumptions: average price</t>
  </si>
  <si>
    <t>Share repurchase: amount in the period ($M)</t>
  </si>
  <si>
    <t>Shares repurchased (M) [repurchase details are rounded]</t>
  </si>
  <si>
    <t>Analysis of share count changes</t>
  </si>
  <si>
    <t>Average Selling Price (ASP) per unit</t>
  </si>
  <si>
    <t>Number of units sold (in units)</t>
  </si>
  <si>
    <t>Oculus revenue ($ in millions)</t>
  </si>
  <si>
    <t>Samsung Gear VR (w/ Oculus software) Revenue ($M)</t>
  </si>
  <si>
    <t>Samsung Gear VR (w/ Oculus software) Gross Margin (%)</t>
  </si>
  <si>
    <t>Samsung Gear VR (w/ Oculus software) Gross Margin ($)</t>
  </si>
  <si>
    <t>FB Core gross margin percentage (GAAP)</t>
  </si>
  <si>
    <t>Total Corporate gross margin (GAAP)</t>
  </si>
  <si>
    <t>Total Corporate gross margin percentage (Non-GAAP)</t>
  </si>
  <si>
    <t>1Q16</t>
  </si>
  <si>
    <t>Oculus gross margin (%)</t>
  </si>
  <si>
    <t>Oculus gross margin ($)</t>
  </si>
  <si>
    <t>2Q16</t>
  </si>
  <si>
    <t xml:space="preserve">   Gross Profit (GAAP)</t>
  </si>
  <si>
    <t xml:space="preserve">   Gross profit (Non-GAAP)</t>
  </si>
  <si>
    <t xml:space="preserve">   Total Operating Expenses (ex cost of revenue)</t>
  </si>
  <si>
    <t xml:space="preserve">   Operating Income (GAAP)</t>
  </si>
  <si>
    <t xml:space="preserve">   Operating Income (Non-GAAP)</t>
  </si>
  <si>
    <t xml:space="preserve">   Income before income taxes (GAAP)</t>
  </si>
  <si>
    <t xml:space="preserve">   Net income (GAAP)</t>
  </si>
  <si>
    <t xml:space="preserve">   Net income (Non-GAAP)</t>
  </si>
  <si>
    <t xml:space="preserve">   Net income attributable to common shareholders</t>
  </si>
  <si>
    <t xml:space="preserve">   Basic EPS (GAAP)</t>
  </si>
  <si>
    <t xml:space="preserve">   Diluted EPS (GAAP)</t>
  </si>
  <si>
    <t xml:space="preserve">   Diluted EPS (Non-GAAP)</t>
  </si>
  <si>
    <t>Sales by Geography</t>
  </si>
  <si>
    <t xml:space="preserve">Total Monthly Active Users (MAU) </t>
  </si>
  <si>
    <t>Monthly Active Users (MAU) by Geography</t>
  </si>
  <si>
    <t>Total MAU quarterly growth rate</t>
  </si>
  <si>
    <t>MAU quarterly growth rate by Geography</t>
  </si>
  <si>
    <t>Average Revenue Per User (ARPU) by Geography</t>
  </si>
  <si>
    <t xml:space="preserve">Total Average Revenue Per User (ARPU) </t>
  </si>
  <si>
    <t>Ratio Analysis</t>
  </si>
  <si>
    <t>VR Sales ($M) [See Comment]</t>
  </si>
  <si>
    <t>Virtual reality business [See Comment]</t>
  </si>
  <si>
    <t>3Q16</t>
  </si>
  <si>
    <t>Purple cells = Company guidance (last updated 11/2/2016)</t>
  </si>
  <si>
    <t>Revenue growth rate (year-over-year)</t>
  </si>
  <si>
    <t>Advertising Statistics</t>
  </si>
  <si>
    <t>Growth in number of ad impressions (year-over-year)</t>
  </si>
  <si>
    <t>Growth in Price per ad (year-over-year)</t>
  </si>
  <si>
    <t>Last updated: 1/15/2017</t>
  </si>
  <si>
    <t>Growth in number of ad impressions (%, year-over-year)</t>
  </si>
  <si>
    <t>Growth in price per ad (%, year-over-year)</t>
  </si>
  <si>
    <t>700x390 Facebook Ad Impression Growth</t>
  </si>
  <si>
    <t>Source: Company reports, growth rates represent year-over-year changes</t>
  </si>
  <si>
    <t xml:space="preserve">Monthly Active Users (in millions) </t>
  </si>
  <si>
    <t xml:space="preserve">Average Quarterly Revenue Per User (ARPU) </t>
  </si>
  <si>
    <t>700x390 Facebook Price Per Ad growth</t>
  </si>
  <si>
    <t>Facebook User Statistics</t>
  </si>
  <si>
    <t>Blue cells = Contributor estimates</t>
  </si>
  <si>
    <t>Contributor Models have been adjusted to reflect the contributors opinion. By obtaining this model you are deemed to have read and agreed to our Terms of Use. Visit our website for details: https://www.gutenbergresearch.com/terms-of-use.html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</si>
</sst>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9">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x"/>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0\x"/>
    <numFmt numFmtId="226" formatCode="&quot;$&quot;#,##0.00"/>
  </numFmts>
  <fonts count="71" x14ac:knownFonts="1">
    <font>
      <sz val="11"/>
      <color theme="1"/>
      <name val="Calibri"/>
      <family val="2"/>
      <scheme val="minor"/>
    </font>
    <font>
      <sz val="11"/>
      <color theme="1"/>
      <name val="Calibri"/>
      <family val="2"/>
      <scheme val="minor"/>
    </font>
    <font>
      <b/>
      <sz val="11"/>
      <color theme="1"/>
      <name val="Calibri"/>
      <family val="2"/>
      <scheme val="minor"/>
    </font>
    <font>
      <b/>
      <u val="singleAccounting"/>
      <sz val="11"/>
      <color theme="1"/>
      <name val="Calibri"/>
      <family val="2"/>
      <scheme val="minor"/>
    </font>
    <font>
      <u val="singleAccounting"/>
      <sz val="11"/>
      <color theme="1"/>
      <name val="Calibri"/>
      <family val="2"/>
      <scheme val="minor"/>
    </font>
    <font>
      <sz val="11"/>
      <color rgb="FF7030A0"/>
      <name val="Calibri"/>
      <family val="2"/>
      <scheme val="minor"/>
    </font>
    <font>
      <sz val="11"/>
      <color theme="3"/>
      <name val="Calibri"/>
      <family val="2"/>
      <scheme val="minor"/>
    </font>
    <font>
      <sz val="11"/>
      <color theme="9" tint="-0.499984740745262"/>
      <name val="Calibri"/>
      <family val="2"/>
      <scheme val="minor"/>
    </font>
    <font>
      <b/>
      <u/>
      <sz val="11"/>
      <color theme="1"/>
      <name val="Calibri"/>
      <family val="2"/>
      <scheme val="minor"/>
    </font>
    <font>
      <sz val="10"/>
      <name val="Arial"/>
      <family val="2"/>
    </font>
    <font>
      <sz val="11"/>
      <name val="Calibri"/>
      <family val="2"/>
      <scheme val="minor"/>
    </font>
    <font>
      <u val="singleAccounting"/>
      <sz val="11"/>
      <name val="Calibri"/>
      <family val="2"/>
      <scheme val="minor"/>
    </font>
    <font>
      <b/>
      <sz val="11"/>
      <name val="Calibri"/>
      <family val="2"/>
      <scheme val="minor"/>
    </font>
    <font>
      <sz val="11"/>
      <color rgb="FFFF0000"/>
      <name val="Calibri"/>
      <family val="2"/>
      <scheme val="minor"/>
    </font>
    <font>
      <sz val="11"/>
      <name val="Calibri"/>
      <family val="2"/>
    </font>
    <font>
      <b/>
      <u/>
      <sz val="12"/>
      <color theme="0" tint="-0.14999847407452621"/>
      <name val="Calibri"/>
      <family val="2"/>
      <scheme val="minor"/>
    </font>
    <font>
      <b/>
      <sz val="11"/>
      <color theme="0" tint="-0.14999847407452621"/>
      <name val="Calibri"/>
      <family val="2"/>
      <scheme val="minor"/>
    </font>
    <font>
      <sz val="10"/>
      <color theme="0" tint="-0.14999847407452621"/>
      <name val="Calibri"/>
      <family val="2"/>
      <scheme val="minor"/>
    </font>
    <font>
      <b/>
      <u val="singleAccounting"/>
      <sz val="11"/>
      <color theme="0" tint="-0.14999847407452621"/>
      <name val="Calibri"/>
      <family val="2"/>
      <scheme val="minor"/>
    </font>
    <font>
      <b/>
      <u val="singleAccounting"/>
      <sz val="1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
      <name val="Calibri"/>
      <family val="2"/>
      <scheme val="minor"/>
    </font>
    <font>
      <sz val="11"/>
      <color theme="0"/>
      <name val="Calibri"/>
      <family val="2"/>
      <scheme val="minor"/>
    </font>
    <font>
      <b/>
      <i/>
      <u/>
      <sz val="11"/>
      <color theme="1"/>
      <name val="Calibri"/>
      <family val="2"/>
      <scheme val="minor"/>
    </font>
    <font>
      <b/>
      <sz val="11"/>
      <color theme="1" tint="0.14999847407452621"/>
      <name val="Calibri"/>
      <family val="2"/>
      <scheme val="minor"/>
    </font>
    <font>
      <b/>
      <u val="singleAccounting"/>
      <sz val="11"/>
      <color theme="1" tint="0.14999847407452621"/>
      <name val="Calibri"/>
      <family val="2"/>
      <scheme val="minor"/>
    </font>
  </fonts>
  <fills count="12">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0" tint="-4.9989318521683403E-2"/>
        <bgColor indexed="64"/>
      </patternFill>
    </fill>
  </fills>
  <borders count="35">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diagonal/>
    </border>
    <border>
      <left/>
      <right style="thin">
        <color auto="1"/>
      </right>
      <top style="hair">
        <color auto="1"/>
      </top>
      <bottom/>
      <diagonal/>
    </border>
    <border>
      <left style="thin">
        <color auto="1"/>
      </left>
      <right style="thin">
        <color auto="1"/>
      </right>
      <top/>
      <bottom style="hair">
        <color auto="1"/>
      </bottom>
      <diagonal/>
    </border>
    <border>
      <left style="thin">
        <color auto="1"/>
      </left>
      <right/>
      <top/>
      <bottom style="hair">
        <color auto="1"/>
      </bottom>
      <diagonal/>
    </border>
    <border>
      <left/>
      <right style="thin">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hair">
        <color auto="1"/>
      </top>
      <bottom/>
      <diagonal/>
    </border>
    <border>
      <left style="thin">
        <color auto="1"/>
      </left>
      <right style="thin">
        <color auto="1"/>
      </right>
      <top/>
      <bottom style="dotted">
        <color auto="1"/>
      </bottom>
      <diagonal/>
    </border>
    <border>
      <left style="thin">
        <color auto="1"/>
      </left>
      <right/>
      <top/>
      <bottom style="dotted">
        <color auto="1"/>
      </bottom>
      <diagonal/>
    </border>
    <border>
      <left/>
      <right style="thin">
        <color auto="1"/>
      </right>
      <top/>
      <bottom style="dotted">
        <color auto="1"/>
      </bottom>
      <diagonal/>
    </border>
    <border>
      <left/>
      <right/>
      <top/>
      <bottom style="dotted">
        <color auto="1"/>
      </bottom>
      <diagonal/>
    </border>
  </borders>
  <cellStyleXfs count="329">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lignment vertical="top"/>
    </xf>
    <xf numFmtId="0" fontId="14" fillId="0" borderId="0"/>
    <xf numFmtId="43" fontId="14" fillId="0" borderId="0" applyFont="0" applyFill="0" applyBorder="0" applyAlignment="0" applyProtection="0"/>
    <xf numFmtId="168" fontId="9" fillId="0" borderId="0" applyFont="0" applyFill="0" applyBorder="0" applyAlignment="0" applyProtection="0"/>
    <xf numFmtId="169" fontId="9" fillId="0" borderId="0" applyFont="0" applyFill="0" applyBorder="0" applyAlignment="0" applyProtection="0"/>
    <xf numFmtId="170" fontId="9" fillId="0" borderId="0" applyFont="0" applyFill="0" applyBorder="0" applyAlignment="0" applyProtection="0"/>
    <xf numFmtId="171" fontId="9" fillId="0" borderId="0" applyFont="0" applyFill="0" applyBorder="0" applyAlignment="0" applyProtection="0"/>
    <xf numFmtId="172" fontId="9" fillId="0" borderId="0" applyFont="0" applyFill="0" applyBorder="0" applyAlignment="0" applyProtection="0"/>
    <xf numFmtId="173" fontId="9"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9" fillId="4" borderId="0" applyNumberFormat="0" applyFont="0" applyAlignment="0" applyProtection="0"/>
    <xf numFmtId="174" fontId="9" fillId="0" borderId="0" applyFont="0" applyFill="0" applyBorder="0" applyAlignment="0" applyProtection="0"/>
    <xf numFmtId="175" fontId="9" fillId="0" borderId="0" applyFont="0" applyFill="0" applyBorder="0" applyProtection="0">
      <alignment horizontal="right"/>
    </xf>
    <xf numFmtId="0" fontId="23" fillId="0" borderId="0" applyNumberFormat="0" applyFill="0" applyBorder="0" applyProtection="0">
      <alignment vertical="top"/>
    </xf>
    <xf numFmtId="0" fontId="23" fillId="0" borderId="0" applyNumberFormat="0" applyFill="0" applyBorder="0" applyProtection="0">
      <alignment vertical="top"/>
    </xf>
    <xf numFmtId="0" fontId="23" fillId="0" borderId="0" applyNumberFormat="0" applyFill="0" applyBorder="0" applyProtection="0">
      <alignment vertical="top"/>
    </xf>
    <xf numFmtId="0" fontId="23" fillId="0" borderId="0" applyNumberFormat="0" applyFill="0" applyBorder="0" applyProtection="0">
      <alignment vertical="top"/>
    </xf>
    <xf numFmtId="0" fontId="23" fillId="0" borderId="0" applyNumberFormat="0" applyFill="0" applyBorder="0" applyProtection="0">
      <alignment vertical="top"/>
    </xf>
    <xf numFmtId="0" fontId="24" fillId="0" borderId="15" applyNumberFormat="0" applyFill="0" applyAlignment="0" applyProtection="0"/>
    <xf numFmtId="0" fontId="25" fillId="0" borderId="16" applyNumberFormat="0" applyFill="0" applyProtection="0">
      <alignment horizontal="center"/>
    </xf>
    <xf numFmtId="0" fontId="25" fillId="0" borderId="0" applyNumberFormat="0" applyFill="0" applyBorder="0" applyProtection="0">
      <alignment horizontal="left"/>
    </xf>
    <xf numFmtId="0" fontId="26" fillId="0" borderId="0" applyNumberFormat="0" applyFill="0" applyBorder="0" applyProtection="0">
      <alignment horizontal="centerContinuous"/>
    </xf>
    <xf numFmtId="0" fontId="27" fillId="0" borderId="0" applyNumberFormat="0" applyFill="0" applyBorder="0" applyAlignment="0" applyProtection="0"/>
    <xf numFmtId="0" fontId="28" fillId="0" borderId="0"/>
    <xf numFmtId="176" fontId="29" fillId="0" borderId="0">
      <alignment horizontal="center"/>
    </xf>
    <xf numFmtId="37" fontId="30" fillId="0" borderId="0"/>
    <xf numFmtId="37" fontId="31" fillId="0" borderId="0"/>
    <xf numFmtId="177" fontId="32"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32"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32"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32"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32" fillId="0" borderId="2" applyAlignment="0" applyProtection="0"/>
    <xf numFmtId="177" fontId="32" fillId="0" borderId="2" applyAlignment="0" applyProtection="0"/>
    <xf numFmtId="177" fontId="32" fillId="0" borderId="2" applyAlignment="0" applyProtection="0"/>
    <xf numFmtId="177" fontId="32" fillId="0" borderId="2" applyAlignment="0" applyProtection="0"/>
    <xf numFmtId="177" fontId="1" fillId="0" borderId="0" applyAlignment="0" applyProtection="0"/>
    <xf numFmtId="178" fontId="33" fillId="0" borderId="0" applyFill="0" applyBorder="0" applyAlignment="0"/>
    <xf numFmtId="179" fontId="9" fillId="0" borderId="0" applyFill="0" applyBorder="0" applyAlignment="0"/>
    <xf numFmtId="180" fontId="9" fillId="0" borderId="0" applyFill="0" applyBorder="0" applyAlignment="0"/>
    <xf numFmtId="164" fontId="9" fillId="0" borderId="0" applyFill="0" applyBorder="0" applyAlignment="0"/>
    <xf numFmtId="181" fontId="9" fillId="0" borderId="0" applyFill="0" applyBorder="0" applyAlignment="0"/>
    <xf numFmtId="182" fontId="9" fillId="0" borderId="0" applyFill="0" applyBorder="0" applyAlignment="0"/>
    <xf numFmtId="183" fontId="9" fillId="0" borderId="0" applyFill="0" applyBorder="0" applyAlignment="0"/>
    <xf numFmtId="184" fontId="9" fillId="0" borderId="0" applyFill="0" applyBorder="0" applyAlignment="0"/>
    <xf numFmtId="185" fontId="9" fillId="0" borderId="0" applyFill="0" applyBorder="0" applyAlignment="0"/>
    <xf numFmtId="186" fontId="9" fillId="0" borderId="0" applyFill="0" applyBorder="0" applyAlignment="0"/>
    <xf numFmtId="178" fontId="33" fillId="0" borderId="0" applyFill="0" applyBorder="0" applyAlignment="0"/>
    <xf numFmtId="187" fontId="9" fillId="0" borderId="0" applyFill="0" applyBorder="0" applyAlignment="0"/>
    <xf numFmtId="188" fontId="9" fillId="0" borderId="0" applyFill="0" applyBorder="0" applyAlignment="0"/>
    <xf numFmtId="189" fontId="9" fillId="0" borderId="0" applyFill="0" applyBorder="0" applyAlignment="0"/>
    <xf numFmtId="180" fontId="9" fillId="0" borderId="0" applyFill="0" applyBorder="0" applyAlignment="0"/>
    <xf numFmtId="164" fontId="9" fillId="0" borderId="0" applyFill="0" applyBorder="0" applyAlignment="0"/>
    <xf numFmtId="0" fontId="34" fillId="0" borderId="0" applyFill="0" applyBorder="0" applyProtection="0">
      <alignment horizontal="center"/>
      <protection locked="0"/>
    </xf>
    <xf numFmtId="0" fontId="35" fillId="0" borderId="0"/>
    <xf numFmtId="190" fontId="9" fillId="0" borderId="0"/>
    <xf numFmtId="190" fontId="9" fillId="0" borderId="0"/>
    <xf numFmtId="190" fontId="9" fillId="0" borderId="0"/>
    <xf numFmtId="190" fontId="9" fillId="0" borderId="0"/>
    <xf numFmtId="190" fontId="9" fillId="0" borderId="0"/>
    <xf numFmtId="190" fontId="9" fillId="0" borderId="0"/>
    <xf numFmtId="190" fontId="9" fillId="0" borderId="0"/>
    <xf numFmtId="190" fontId="9" fillId="0" borderId="0"/>
    <xf numFmtId="191" fontId="35" fillId="0" borderId="7"/>
    <xf numFmtId="192" fontId="1" fillId="0" borderId="0"/>
    <xf numFmtId="0" fontId="28" fillId="0" borderId="7"/>
    <xf numFmtId="192" fontId="1" fillId="0" borderId="0"/>
    <xf numFmtId="178" fontId="9" fillId="0" borderId="0" applyFont="0" applyFill="0" applyBorder="0" applyAlignment="0" applyProtection="0"/>
    <xf numFmtId="187" fontId="9" fillId="0" borderId="0" applyFont="0" applyFill="0" applyBorder="0" applyAlignment="0" applyProtection="0"/>
    <xf numFmtId="43" fontId="9" fillId="0" borderId="0" applyFont="0" applyFill="0" applyBorder="0" applyAlignment="0" applyProtection="0">
      <alignment wrapText="1"/>
    </xf>
    <xf numFmtId="43" fontId="1" fillId="0" borderId="0" applyFont="0" applyFill="0" applyBorder="0" applyAlignment="0" applyProtection="0"/>
    <xf numFmtId="43" fontId="9" fillId="0" borderId="0" applyFont="0" applyFill="0" applyBorder="0" applyAlignment="0" applyProtection="0">
      <alignment wrapText="1"/>
    </xf>
    <xf numFmtId="43" fontId="9" fillId="0" borderId="0" applyFont="0" applyFill="0" applyBorder="0" applyAlignment="0" applyProtection="0">
      <alignment wrapText="1"/>
    </xf>
    <xf numFmtId="43" fontId="9" fillId="0" borderId="0" applyFont="0" applyFill="0" applyBorder="0" applyAlignment="0" applyProtection="0"/>
    <xf numFmtId="4" fontId="35" fillId="0" borderId="0" applyFont="0" applyFill="0" applyBorder="0" applyAlignment="0" applyProtection="0"/>
    <xf numFmtId="4" fontId="35"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36" fillId="0" borderId="0" applyFont="0" applyFill="0" applyBorder="0" applyAlignment="0" applyProtection="0"/>
    <xf numFmtId="4" fontId="1" fillId="0" borderId="0" applyFont="0" applyFill="0" applyBorder="0" applyAlignment="0" applyProtection="0"/>
    <xf numFmtId="4" fontId="28"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37" fillId="0" borderId="0" applyNumberFormat="0" applyFill="0" applyBorder="0" applyAlignment="0" applyProtection="0"/>
    <xf numFmtId="0" fontId="38" fillId="0" borderId="0" applyFill="0" applyBorder="0" applyAlignment="0" applyProtection="0">
      <protection locked="0"/>
    </xf>
    <xf numFmtId="193" fontId="9" fillId="0" borderId="0">
      <alignment horizontal="center"/>
    </xf>
    <xf numFmtId="194" fontId="39" fillId="0" borderId="0" applyFill="0" applyBorder="0" applyProtection="0"/>
    <xf numFmtId="195" fontId="40" fillId="0" borderId="0" applyFont="0" applyFill="0" applyBorder="0" applyAlignment="0" applyProtection="0"/>
    <xf numFmtId="196" fontId="41" fillId="0" borderId="17">
      <protection hidden="1"/>
    </xf>
    <xf numFmtId="180" fontId="9" fillId="0" borderId="0" applyFont="0" applyFill="0" applyBorder="0" applyAlignment="0" applyProtection="0"/>
    <xf numFmtId="164" fontId="9" fillId="0" borderId="0" applyFont="0" applyFill="0" applyBorder="0" applyAlignment="0" applyProtection="0"/>
    <xf numFmtId="8" fontId="1" fillId="0" borderId="0" applyFont="0" applyFill="0" applyBorder="0" applyAlignment="0" applyProtection="0"/>
    <xf numFmtId="44" fontId="9" fillId="0" borderId="0" applyFont="0" applyFill="0" applyBorder="0" applyAlignment="0" applyProtection="0"/>
    <xf numFmtId="0" fontId="37" fillId="0" borderId="0" applyNumberFormat="0" applyFill="0" applyBorder="0" applyAlignment="0" applyProtection="0"/>
    <xf numFmtId="1" fontId="29" fillId="0" borderId="0"/>
    <xf numFmtId="14" fontId="42" fillId="0" borderId="0">
      <alignment horizontal="center"/>
    </xf>
    <xf numFmtId="14" fontId="33" fillId="0" borderId="0" applyFill="0" applyBorder="0" applyAlignment="0"/>
    <xf numFmtId="15" fontId="43" fillId="5" borderId="0" applyNumberFormat="0" applyFont="0" applyFill="0" applyBorder="0" applyAlignment="0">
      <alignment horizontal="center" wrapText="1"/>
    </xf>
    <xf numFmtId="0" fontId="33" fillId="0" borderId="14" applyNumberFormat="0" applyFill="0" applyBorder="0" applyAlignment="0" applyProtection="0"/>
    <xf numFmtId="197" fontId="35" fillId="0" borderId="0" applyFont="0" applyFill="0" applyBorder="0" applyAlignment="0" applyProtection="0"/>
    <xf numFmtId="198" fontId="40" fillId="0" borderId="0" applyFont="0" applyFill="0" applyBorder="0" applyAlignment="0" applyProtection="0"/>
    <xf numFmtId="178" fontId="44" fillId="0" borderId="0" applyFill="0" applyBorder="0" applyAlignment="0"/>
    <xf numFmtId="187" fontId="9" fillId="0" borderId="0" applyFill="0" applyBorder="0" applyAlignment="0"/>
    <xf numFmtId="180" fontId="9" fillId="0" borderId="0" applyFill="0" applyBorder="0" applyAlignment="0"/>
    <xf numFmtId="164" fontId="9" fillId="0" borderId="0" applyFill="0" applyBorder="0" applyAlignment="0"/>
    <xf numFmtId="178" fontId="44" fillId="0" borderId="0" applyFill="0" applyBorder="0" applyAlignment="0"/>
    <xf numFmtId="187" fontId="9" fillId="0" borderId="0" applyFill="0" applyBorder="0" applyAlignment="0"/>
    <xf numFmtId="188" fontId="9" fillId="0" borderId="0" applyFill="0" applyBorder="0" applyAlignment="0"/>
    <xf numFmtId="189" fontId="9" fillId="0" borderId="0" applyFill="0" applyBorder="0" applyAlignment="0"/>
    <xf numFmtId="180" fontId="9" fillId="0" borderId="0" applyFill="0" applyBorder="0" applyAlignment="0"/>
    <xf numFmtId="164" fontId="9" fillId="0" borderId="0" applyFill="0" applyBorder="0" applyAlignment="0"/>
    <xf numFmtId="196" fontId="41" fillId="0" borderId="17">
      <protection hidden="1"/>
    </xf>
    <xf numFmtId="199" fontId="9" fillId="0" borderId="0" applyFont="0" applyFill="0" applyBorder="0" applyAlignment="0" applyProtection="0"/>
    <xf numFmtId="38" fontId="45" fillId="5" borderId="0" applyNumberFormat="0" applyBorder="0" applyAlignment="0" applyProtection="0"/>
    <xf numFmtId="0" fontId="46" fillId="0" borderId="18" applyNumberFormat="0" applyAlignment="0" applyProtection="0">
      <alignment horizontal="left" vertical="center"/>
    </xf>
    <xf numFmtId="0" fontId="46"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6"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6"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6"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6" fillId="0" borderId="9">
      <alignment horizontal="left" vertical="center"/>
    </xf>
    <xf numFmtId="0" fontId="46" fillId="0" borderId="9">
      <alignment horizontal="left" vertical="center"/>
    </xf>
    <xf numFmtId="0" fontId="46" fillId="0" borderId="9">
      <alignment horizontal="left" vertical="center"/>
    </xf>
    <xf numFmtId="0" fontId="46" fillId="0" borderId="9">
      <alignment horizontal="left" vertical="center"/>
    </xf>
    <xf numFmtId="0" fontId="1" fillId="0" borderId="0">
      <alignment horizontal="left" vertical="center"/>
    </xf>
    <xf numFmtId="14" fontId="47" fillId="6" borderId="17">
      <alignment horizontal="center" vertical="center" wrapText="1"/>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4" fillId="0" borderId="0" applyFill="0" applyAlignment="0" applyProtection="0">
      <protection locked="0"/>
    </xf>
    <xf numFmtId="0" fontId="34" fillId="0" borderId="7" applyFill="0" applyAlignment="0" applyProtection="0">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0" fontId="50" fillId="0" borderId="0" applyNumberFormat="0" applyFill="0" applyBorder="0" applyAlignment="0" applyProtection="0">
      <alignment vertical="top"/>
      <protection locked="0"/>
    </xf>
    <xf numFmtId="0" fontId="49" fillId="0" borderId="0" applyNumberFormat="0" applyFill="0" applyBorder="0" applyAlignment="0" applyProtection="0">
      <alignment vertical="top"/>
      <protection locked="0"/>
    </xf>
    <xf numFmtId="10" fontId="45" fillId="7" borderId="14" applyNumberFormat="0" applyBorder="0" applyAlignment="0" applyProtection="0"/>
    <xf numFmtId="178" fontId="51" fillId="0" borderId="0" applyFill="0" applyBorder="0" applyAlignment="0"/>
    <xf numFmtId="187" fontId="9" fillId="0" borderId="0" applyFill="0" applyBorder="0" applyAlignment="0"/>
    <xf numFmtId="180" fontId="9" fillId="0" borderId="0" applyFill="0" applyBorder="0" applyAlignment="0"/>
    <xf numFmtId="164" fontId="9" fillId="0" borderId="0" applyFill="0" applyBorder="0" applyAlignment="0"/>
    <xf numFmtId="178" fontId="51" fillId="0" borderId="0" applyFill="0" applyBorder="0" applyAlignment="0"/>
    <xf numFmtId="187" fontId="9" fillId="0" borderId="0" applyFill="0" applyBorder="0" applyAlignment="0"/>
    <xf numFmtId="188" fontId="9" fillId="0" borderId="0" applyFill="0" applyBorder="0" applyAlignment="0"/>
    <xf numFmtId="189" fontId="9" fillId="0" borderId="0" applyFill="0" applyBorder="0" applyAlignment="0"/>
    <xf numFmtId="180" fontId="9" fillId="0" borderId="0" applyFill="0" applyBorder="0" applyAlignment="0"/>
    <xf numFmtId="164" fontId="9" fillId="0" borderId="0" applyFill="0" applyBorder="0" applyAlignment="0"/>
    <xf numFmtId="200" fontId="9" fillId="0" borderId="0" applyFont="0" applyFill="0" applyBorder="0" applyAlignment="0" applyProtection="0"/>
    <xf numFmtId="201" fontId="9" fillId="0" borderId="0" applyFont="0" applyFill="0" applyBorder="0" applyAlignment="0" applyProtection="0"/>
    <xf numFmtId="38" fontId="52" fillId="0" borderId="0" applyFont="0" applyFill="0" applyBorder="0" applyAlignment="0" applyProtection="0"/>
    <xf numFmtId="40" fontId="52" fillId="0" borderId="0" applyFont="0" applyFill="0" applyBorder="0" applyAlignment="0" applyProtection="0"/>
    <xf numFmtId="202" fontId="9" fillId="0" borderId="0" applyFont="0" applyFill="0" applyBorder="0" applyAlignment="0" applyProtection="0"/>
    <xf numFmtId="203" fontId="9" fillId="0" borderId="0" applyFont="0" applyFill="0" applyBorder="0" applyAlignment="0" applyProtection="0"/>
    <xf numFmtId="6" fontId="52" fillId="0" borderId="0" applyFont="0" applyFill="0" applyBorder="0" applyAlignment="0" applyProtection="0"/>
    <xf numFmtId="8" fontId="52" fillId="0" borderId="0" applyFont="0" applyFill="0" applyBorder="0" applyAlignment="0" applyProtection="0"/>
    <xf numFmtId="204" fontId="29" fillId="0" borderId="7"/>
    <xf numFmtId="37" fontId="53" fillId="0" borderId="0"/>
    <xf numFmtId="205" fontId="35" fillId="0" borderId="0"/>
    <xf numFmtId="205" fontId="1" fillId="0" borderId="0"/>
    <xf numFmtId="206" fontId="9" fillId="0" borderId="0"/>
    <xf numFmtId="207" fontId="9" fillId="0" borderId="0"/>
    <xf numFmtId="0" fontId="54" fillId="0" borderId="0"/>
    <xf numFmtId="0" fontId="54" fillId="0" borderId="0"/>
    <xf numFmtId="0" fontId="54" fillId="0" borderId="0"/>
    <xf numFmtId="0" fontId="54" fillId="0" borderId="0"/>
    <xf numFmtId="0" fontId="9" fillId="0" borderId="0"/>
    <xf numFmtId="0" fontId="9" fillId="0" borderId="0"/>
    <xf numFmtId="0" fontId="1" fillId="0" borderId="0"/>
    <xf numFmtId="0" fontId="9" fillId="0" borderId="0"/>
    <xf numFmtId="0" fontId="9" fillId="0" borderId="0">
      <alignment wrapText="1"/>
    </xf>
    <xf numFmtId="0" fontId="9" fillId="0" borderId="0"/>
    <xf numFmtId="0" fontId="55" fillId="0" borderId="0"/>
    <xf numFmtId="0" fontId="9" fillId="0" borderId="0"/>
    <xf numFmtId="0" fontId="9" fillId="0" borderId="0"/>
    <xf numFmtId="37" fontId="56" fillId="0" borderId="0"/>
    <xf numFmtId="0" fontId="1" fillId="0" borderId="0"/>
    <xf numFmtId="0" fontId="1" fillId="0" borderId="0"/>
    <xf numFmtId="0" fontId="9" fillId="0" borderId="0">
      <alignment wrapText="1"/>
    </xf>
    <xf numFmtId="0" fontId="9" fillId="0" borderId="0"/>
    <xf numFmtId="37" fontId="56" fillId="0" borderId="0"/>
    <xf numFmtId="0" fontId="9" fillId="0" borderId="0"/>
    <xf numFmtId="37" fontId="56" fillId="0" borderId="0"/>
    <xf numFmtId="0" fontId="1" fillId="0" borderId="0"/>
    <xf numFmtId="0" fontId="36" fillId="0" borderId="0"/>
    <xf numFmtId="37" fontId="1" fillId="0" borderId="0"/>
    <xf numFmtId="0" fontId="1" fillId="0" borderId="0"/>
    <xf numFmtId="37" fontId="1" fillId="0" borderId="0"/>
    <xf numFmtId="0" fontId="9" fillId="0" borderId="0">
      <alignment wrapText="1"/>
    </xf>
    <xf numFmtId="37" fontId="57" fillId="0" borderId="0"/>
    <xf numFmtId="0" fontId="9" fillId="0" borderId="0"/>
    <xf numFmtId="37" fontId="9" fillId="0" borderId="0"/>
    <xf numFmtId="37" fontId="9" fillId="0" borderId="0"/>
    <xf numFmtId="208" fontId="9" fillId="0" borderId="0"/>
    <xf numFmtId="209" fontId="9" fillId="0" borderId="0"/>
    <xf numFmtId="39" fontId="9" fillId="0" borderId="0"/>
    <xf numFmtId="39" fontId="9" fillId="0" borderId="0"/>
    <xf numFmtId="210" fontId="9" fillId="0" borderId="0"/>
    <xf numFmtId="211" fontId="9" fillId="0" borderId="0"/>
    <xf numFmtId="212" fontId="9" fillId="0" borderId="0"/>
    <xf numFmtId="213" fontId="9" fillId="0" borderId="0"/>
    <xf numFmtId="214" fontId="9" fillId="0" borderId="0"/>
    <xf numFmtId="215" fontId="9" fillId="0" borderId="0"/>
    <xf numFmtId="216" fontId="9" fillId="0" borderId="0"/>
    <xf numFmtId="217" fontId="52" fillId="0" borderId="0"/>
    <xf numFmtId="218" fontId="41" fillId="0" borderId="0">
      <protection hidden="1"/>
    </xf>
    <xf numFmtId="185" fontId="9" fillId="0" borderId="0" applyFont="0" applyFill="0" applyBorder="0" applyAlignment="0" applyProtection="0"/>
    <xf numFmtId="186" fontId="9" fillId="0" borderId="0" applyFont="0" applyFill="0" applyBorder="0" applyAlignment="0" applyProtection="0"/>
    <xf numFmtId="206" fontId="9" fillId="0" borderId="0" applyFont="0" applyFill="0" applyBorder="0" applyAlignment="0" applyProtection="0"/>
    <xf numFmtId="207" fontId="9" fillId="0" borderId="0" applyFont="0" applyFill="0" applyBorder="0" applyAlignment="0" applyProtection="0"/>
    <xf numFmtId="10" fontId="9" fillId="0" borderId="0" applyFont="0" applyFill="0" applyBorder="0" applyAlignment="0" applyProtection="0"/>
    <xf numFmtId="9" fontId="58" fillId="0" borderId="0" applyFont="0" applyFill="0" applyBorder="0" applyAlignment="0" applyProtection="0"/>
    <xf numFmtId="9" fontId="3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6" fillId="0" borderId="0" applyFont="0" applyFill="0" applyBorder="0" applyAlignment="0" applyProtection="0"/>
    <xf numFmtId="9" fontId="1" fillId="0" borderId="0" applyFont="0" applyFill="0" applyBorder="0" applyAlignment="0" applyProtection="0"/>
    <xf numFmtId="9" fontId="58" fillId="0" borderId="0" applyFont="0" applyFill="0" applyBorder="0" applyAlignment="0" applyProtection="0"/>
    <xf numFmtId="9" fontId="52" fillId="0" borderId="19" applyNumberFormat="0" applyBorder="0"/>
    <xf numFmtId="204" fontId="29" fillId="0" borderId="0"/>
    <xf numFmtId="0" fontId="59" fillId="8" borderId="20" applyNumberFormat="0" applyFont="0" applyFill="0" applyAlignment="0">
      <alignment horizontal="center" vertical="center"/>
    </xf>
    <xf numFmtId="178" fontId="60" fillId="0" borderId="0" applyFill="0" applyBorder="0" applyAlignment="0"/>
    <xf numFmtId="187" fontId="9" fillId="0" borderId="0" applyFill="0" applyBorder="0" applyAlignment="0"/>
    <xf numFmtId="180" fontId="9" fillId="0" borderId="0" applyFill="0" applyBorder="0" applyAlignment="0"/>
    <xf numFmtId="164" fontId="9" fillId="0" borderId="0" applyFill="0" applyBorder="0" applyAlignment="0"/>
    <xf numFmtId="178" fontId="60" fillId="0" borderId="0" applyFill="0" applyBorder="0" applyAlignment="0"/>
    <xf numFmtId="187" fontId="9" fillId="0" borderId="0" applyFill="0" applyBorder="0" applyAlignment="0"/>
    <xf numFmtId="188" fontId="9" fillId="0" borderId="0" applyFill="0" applyBorder="0" applyAlignment="0"/>
    <xf numFmtId="189" fontId="9" fillId="0" borderId="0" applyFill="0" applyBorder="0" applyAlignment="0"/>
    <xf numFmtId="180" fontId="9" fillId="0" borderId="0" applyFill="0" applyBorder="0" applyAlignment="0"/>
    <xf numFmtId="164" fontId="9" fillId="0" borderId="0" applyFill="0" applyBorder="0" applyAlignment="0"/>
    <xf numFmtId="37" fontId="56" fillId="0" borderId="21"/>
    <xf numFmtId="0" fontId="61" fillId="0" borderId="0"/>
    <xf numFmtId="0" fontId="35" fillId="0" borderId="0"/>
    <xf numFmtId="0" fontId="52" fillId="0" borderId="0"/>
    <xf numFmtId="37" fontId="62" fillId="0" borderId="17">
      <alignment horizontal="right"/>
      <protection locked="0"/>
    </xf>
    <xf numFmtId="37" fontId="63" fillId="0" borderId="17">
      <alignment horizontal="right"/>
      <protection locked="0"/>
    </xf>
    <xf numFmtId="49" fontId="33" fillId="0" borderId="0" applyFill="0" applyBorder="0" applyAlignment="0"/>
    <xf numFmtId="219" fontId="9" fillId="0" borderId="0" applyFill="0" applyBorder="0" applyAlignment="0"/>
    <xf numFmtId="220" fontId="9" fillId="0" borderId="0" applyFill="0" applyBorder="0" applyAlignment="0"/>
    <xf numFmtId="221" fontId="9" fillId="0" borderId="0" applyFill="0" applyBorder="0" applyAlignment="0"/>
    <xf numFmtId="222" fontId="9" fillId="0" borderId="0" applyFill="0" applyBorder="0" applyAlignment="0"/>
    <xf numFmtId="49" fontId="9" fillId="0" borderId="0"/>
    <xf numFmtId="0" fontId="64" fillId="0" borderId="0" applyFill="0" applyBorder="0" applyProtection="0">
      <alignment horizontal="left" vertical="top"/>
    </xf>
    <xf numFmtId="40" fontId="65" fillId="0" borderId="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37" fontId="56" fillId="0" borderId="7"/>
    <xf numFmtId="37" fontId="56" fillId="0" borderId="22"/>
    <xf numFmtId="223" fontId="9" fillId="0" borderId="0" applyFont="0" applyFill="0" applyBorder="0" applyAlignment="0" applyProtection="0"/>
    <xf numFmtId="224" fontId="9" fillId="0" borderId="0" applyFont="0" applyFill="0" applyBorder="0" applyAlignment="0" applyProtection="0"/>
    <xf numFmtId="0" fontId="9" fillId="0" borderId="0"/>
    <xf numFmtId="0" fontId="9" fillId="0" borderId="0"/>
  </cellStyleXfs>
  <cellXfs count="279">
    <xf numFmtId="0" fontId="0" fillId="0" borderId="0" xfId="0"/>
    <xf numFmtId="164" fontId="0" fillId="0" borderId="0" xfId="1" applyNumberFormat="1" applyFont="1" applyAlignment="1">
      <alignment horizontal="right"/>
    </xf>
    <xf numFmtId="164" fontId="3" fillId="0" borderId="0" xfId="1" quotePrefix="1" applyNumberFormat="1" applyFont="1" applyBorder="1" applyAlignment="1">
      <alignment horizontal="right"/>
    </xf>
    <xf numFmtId="164" fontId="3" fillId="0" borderId="0" xfId="1" quotePrefix="1" applyNumberFormat="1" applyFont="1" applyFill="1" applyBorder="1" applyAlignment="1">
      <alignment horizontal="right"/>
    </xf>
    <xf numFmtId="0" fontId="0" fillId="0" borderId="0" xfId="0" applyAlignment="1">
      <alignment horizontal="right"/>
    </xf>
    <xf numFmtId="0" fontId="0" fillId="0" borderId="3" xfId="0" applyFont="1" applyBorder="1"/>
    <xf numFmtId="165" fontId="1" fillId="0" borderId="5" xfId="1" applyNumberFormat="1" applyFont="1" applyFill="1" applyBorder="1" applyAlignment="1">
      <alignment horizontal="right"/>
    </xf>
    <xf numFmtId="43" fontId="2" fillId="0" borderId="0" xfId="1" applyNumberFormat="1" applyFont="1" applyFill="1" applyBorder="1" applyAlignment="1">
      <alignment horizontal="right"/>
    </xf>
    <xf numFmtId="9" fontId="6" fillId="0" borderId="0" xfId="2" applyFont="1" applyBorder="1" applyAlignment="1">
      <alignment horizontal="right"/>
    </xf>
    <xf numFmtId="9" fontId="0" fillId="0" borderId="0" xfId="2" applyFont="1" applyBorder="1" applyAlignment="1">
      <alignment horizontal="right"/>
    </xf>
    <xf numFmtId="9" fontId="5" fillId="0" borderId="0" xfId="2" applyFont="1" applyBorder="1" applyAlignment="1">
      <alignment horizontal="right"/>
    </xf>
    <xf numFmtId="9" fontId="7" fillId="0" borderId="0" xfId="2" applyFont="1" applyBorder="1" applyAlignment="1">
      <alignment horizontal="right"/>
    </xf>
    <xf numFmtId="0" fontId="0" fillId="0" borderId="0" xfId="0" applyBorder="1" applyAlignment="1">
      <alignment vertical="top" wrapText="1"/>
    </xf>
    <xf numFmtId="164" fontId="0" fillId="0" borderId="0" xfId="1" applyNumberFormat="1" applyFont="1" applyFill="1" applyAlignment="1">
      <alignment horizontal="right"/>
    </xf>
    <xf numFmtId="165" fontId="12" fillId="0" borderId="0" xfId="1" applyNumberFormat="1" applyFont="1" applyFill="1" applyBorder="1" applyAlignment="1">
      <alignment horizontal="right"/>
    </xf>
    <xf numFmtId="165" fontId="10" fillId="0" borderId="0" xfId="1" applyNumberFormat="1" applyFont="1" applyFill="1" applyBorder="1" applyAlignment="1">
      <alignment horizontal="right"/>
    </xf>
    <xf numFmtId="43" fontId="12" fillId="0" borderId="0" xfId="1" applyNumberFormat="1" applyFont="1" applyFill="1" applyBorder="1" applyAlignment="1">
      <alignment horizontal="right"/>
    </xf>
    <xf numFmtId="164" fontId="3" fillId="0" borderId="5" xfId="1" quotePrefix="1" applyNumberFormat="1" applyFont="1" applyBorder="1" applyAlignment="1">
      <alignment horizontal="right"/>
    </xf>
    <xf numFmtId="164" fontId="3" fillId="0" borderId="5" xfId="1" quotePrefix="1" applyNumberFormat="1" applyFont="1" applyFill="1" applyBorder="1" applyAlignment="1">
      <alignment horizontal="right"/>
    </xf>
    <xf numFmtId="0" fontId="0" fillId="0" borderId="0" xfId="0" applyFont="1"/>
    <xf numFmtId="165" fontId="1" fillId="0" borderId="0" xfId="1" quotePrefix="1" applyNumberFormat="1" applyFont="1" applyBorder="1" applyAlignment="1">
      <alignment horizontal="right"/>
    </xf>
    <xf numFmtId="165" fontId="0" fillId="0" borderId="0" xfId="1" quotePrefix="1" applyNumberFormat="1" applyFont="1" applyBorder="1" applyAlignment="1">
      <alignment horizontal="right"/>
    </xf>
    <xf numFmtId="165" fontId="0" fillId="0" borderId="3" xfId="1" applyNumberFormat="1" applyFont="1" applyFill="1" applyBorder="1" applyAlignment="1">
      <alignment horizontal="right"/>
    </xf>
    <xf numFmtId="165" fontId="0" fillId="0" borderId="0" xfId="1" applyNumberFormat="1" applyFont="1" applyFill="1" applyBorder="1" applyAlignment="1">
      <alignment horizontal="right"/>
    </xf>
    <xf numFmtId="43" fontId="0" fillId="0" borderId="0" xfId="1" applyFont="1" applyAlignment="1">
      <alignment horizontal="right"/>
    </xf>
    <xf numFmtId="165" fontId="11" fillId="0" borderId="0" xfId="1" applyNumberFormat="1" applyFont="1" applyFill="1" applyBorder="1" applyAlignment="1">
      <alignment horizontal="right"/>
    </xf>
    <xf numFmtId="165" fontId="10" fillId="0" borderId="3" xfId="1" applyNumberFormat="1" applyFont="1" applyFill="1" applyBorder="1" applyAlignment="1">
      <alignment horizontal="right"/>
    </xf>
    <xf numFmtId="165" fontId="10" fillId="0" borderId="4" xfId="1" applyNumberFormat="1" applyFont="1" applyFill="1" applyBorder="1" applyAlignment="1">
      <alignment horizontal="right"/>
    </xf>
    <xf numFmtId="165" fontId="11" fillId="0" borderId="3" xfId="1" applyNumberFormat="1" applyFont="1" applyFill="1" applyBorder="1" applyAlignment="1">
      <alignment horizontal="right"/>
    </xf>
    <xf numFmtId="165" fontId="11" fillId="0" borderId="4" xfId="1" applyNumberFormat="1" applyFont="1" applyFill="1" applyBorder="1" applyAlignment="1">
      <alignment horizontal="right"/>
    </xf>
    <xf numFmtId="165" fontId="12" fillId="0" borderId="3" xfId="1" applyNumberFormat="1" applyFont="1" applyFill="1" applyBorder="1" applyAlignment="1">
      <alignment horizontal="right"/>
    </xf>
    <xf numFmtId="165" fontId="12" fillId="0" borderId="4" xfId="1" applyNumberFormat="1" applyFont="1" applyFill="1" applyBorder="1" applyAlignment="1">
      <alignment horizontal="right"/>
    </xf>
    <xf numFmtId="0" fontId="0" fillId="0" borderId="0" xfId="0" applyFont="1" applyFill="1"/>
    <xf numFmtId="164" fontId="2" fillId="0" borderId="0" xfId="1" quotePrefix="1" applyNumberFormat="1" applyFont="1" applyFill="1" applyBorder="1" applyAlignment="1">
      <alignment horizontal="right"/>
    </xf>
    <xf numFmtId="167" fontId="0" fillId="0" borderId="0" xfId="2" applyNumberFormat="1" applyFont="1" applyBorder="1" applyAlignment="1">
      <alignment horizontal="right"/>
    </xf>
    <xf numFmtId="167" fontId="0" fillId="0" borderId="0" xfId="1" applyNumberFormat="1" applyFont="1" applyBorder="1" applyAlignment="1">
      <alignment horizontal="right"/>
    </xf>
    <xf numFmtId="7" fontId="2" fillId="0" borderId="0" xfId="1" applyNumberFormat="1" applyFont="1" applyBorder="1" applyAlignment="1">
      <alignment horizontal="right"/>
    </xf>
    <xf numFmtId="0" fontId="0" fillId="0" borderId="0" xfId="0" applyFill="1"/>
    <xf numFmtId="43" fontId="0" fillId="0" borderId="0" xfId="1" applyFont="1" applyFill="1"/>
    <xf numFmtId="43" fontId="0" fillId="0" borderId="0" xfId="1" applyFont="1" applyFill="1" applyAlignment="1">
      <alignment horizontal="right"/>
    </xf>
    <xf numFmtId="165" fontId="1" fillId="0" borderId="5" xfId="1" quotePrefix="1" applyNumberFormat="1" applyFont="1" applyBorder="1" applyAlignment="1">
      <alignment horizontal="right"/>
    </xf>
    <xf numFmtId="0" fontId="2" fillId="0" borderId="0" xfId="0" applyFont="1"/>
    <xf numFmtId="165" fontId="2" fillId="0" borderId="0" xfId="1" applyNumberFormat="1" applyFont="1" applyFill="1" applyBorder="1" applyAlignment="1">
      <alignment horizontal="right"/>
    </xf>
    <xf numFmtId="165" fontId="2" fillId="0" borderId="3" xfId="1" applyNumberFormat="1" applyFont="1" applyFill="1" applyBorder="1" applyAlignment="1">
      <alignment horizontal="right"/>
    </xf>
    <xf numFmtId="166" fontId="0" fillId="0" borderId="0" xfId="2" quotePrefix="1" applyNumberFormat="1" applyFont="1" applyBorder="1" applyAlignment="1">
      <alignment horizontal="right"/>
    </xf>
    <xf numFmtId="166" fontId="0" fillId="0" borderId="5" xfId="2" quotePrefix="1" applyNumberFormat="1" applyFont="1" applyFill="1" applyBorder="1" applyAlignment="1">
      <alignment horizontal="right"/>
    </xf>
    <xf numFmtId="166" fontId="0" fillId="0" borderId="0" xfId="2" applyNumberFormat="1" applyFont="1"/>
    <xf numFmtId="43" fontId="10" fillId="0" borderId="0" xfId="1" applyNumberFormat="1" applyFont="1" applyFill="1" applyBorder="1" applyAlignment="1">
      <alignment horizontal="right"/>
    </xf>
    <xf numFmtId="165" fontId="0" fillId="0" borderId="4" xfId="1" applyNumberFormat="1" applyFont="1" applyFill="1" applyBorder="1" applyAlignment="1">
      <alignment horizontal="right"/>
    </xf>
    <xf numFmtId="165" fontId="0" fillId="0" borderId="5" xfId="1" applyNumberFormat="1" applyFont="1" applyFill="1" applyBorder="1" applyAlignment="1">
      <alignment horizontal="right"/>
    </xf>
    <xf numFmtId="165" fontId="2" fillId="0" borderId="4" xfId="1" applyNumberFormat="1" applyFont="1" applyFill="1" applyBorder="1" applyAlignment="1">
      <alignment horizontal="right"/>
    </xf>
    <xf numFmtId="165" fontId="2" fillId="0" borderId="5" xfId="1" applyNumberFormat="1" applyFont="1" applyFill="1" applyBorder="1" applyAlignment="1">
      <alignment horizontal="right"/>
    </xf>
    <xf numFmtId="0" fontId="0" fillId="0" borderId="0" xfId="0" applyAlignment="1">
      <alignment horizontal="left"/>
    </xf>
    <xf numFmtId="164" fontId="0" fillId="0" borderId="0" xfId="1" applyNumberFormat="1" applyFont="1" applyBorder="1" applyAlignment="1">
      <alignment horizontal="right"/>
    </xf>
    <xf numFmtId="0" fontId="0" fillId="0" borderId="0" xfId="0" applyBorder="1" applyAlignment="1">
      <alignment horizontal="right"/>
    </xf>
    <xf numFmtId="0" fontId="2" fillId="0" borderId="0" xfId="0" applyFont="1" applyFill="1" applyBorder="1" applyAlignment="1">
      <alignment horizontal="left"/>
    </xf>
    <xf numFmtId="165" fontId="1" fillId="0" borderId="3" xfId="1" applyNumberFormat="1" applyFont="1" applyFill="1" applyBorder="1" applyAlignment="1">
      <alignment horizontal="right"/>
    </xf>
    <xf numFmtId="165" fontId="1" fillId="0" borderId="0" xfId="1" applyNumberFormat="1" applyFont="1" applyFill="1" applyBorder="1" applyAlignment="1">
      <alignment horizontal="right"/>
    </xf>
    <xf numFmtId="165" fontId="1" fillId="0" borderId="4" xfId="1" applyNumberFormat="1" applyFont="1" applyFill="1" applyBorder="1" applyAlignment="1">
      <alignment horizontal="right"/>
    </xf>
    <xf numFmtId="43" fontId="2" fillId="0" borderId="3" xfId="1" applyNumberFormat="1" applyFont="1" applyFill="1" applyBorder="1" applyAlignment="1">
      <alignment horizontal="right"/>
    </xf>
    <xf numFmtId="43" fontId="2" fillId="0" borderId="4" xfId="1" applyNumberFormat="1" applyFont="1" applyFill="1" applyBorder="1" applyAlignment="1">
      <alignment horizontal="right"/>
    </xf>
    <xf numFmtId="43" fontId="2" fillId="0" borderId="5" xfId="1" applyNumberFormat="1" applyFont="1" applyFill="1" applyBorder="1" applyAlignment="1">
      <alignment horizontal="right"/>
    </xf>
    <xf numFmtId="43" fontId="1" fillId="0" borderId="0" xfId="1" applyNumberFormat="1" applyFont="1" applyFill="1" applyBorder="1" applyAlignment="1">
      <alignment horizontal="right"/>
    </xf>
    <xf numFmtId="43" fontId="1" fillId="0" borderId="8" xfId="1" applyNumberFormat="1" applyFont="1" applyFill="1" applyBorder="1" applyAlignment="1">
      <alignment horizontal="right"/>
    </xf>
    <xf numFmtId="0" fontId="0" fillId="0" borderId="0" xfId="0"/>
    <xf numFmtId="0" fontId="0" fillId="0" borderId="3" xfId="0" applyFont="1" applyFill="1" applyBorder="1"/>
    <xf numFmtId="165" fontId="1" fillId="0" borderId="0" xfId="1" quotePrefix="1" applyNumberFormat="1" applyFont="1" applyFill="1" applyBorder="1" applyAlignment="1">
      <alignment horizontal="right"/>
    </xf>
    <xf numFmtId="165" fontId="11" fillId="0" borderId="5" xfId="1" applyNumberFormat="1" applyFont="1" applyFill="1" applyBorder="1" applyAlignment="1">
      <alignment horizontal="right"/>
    </xf>
    <xf numFmtId="164" fontId="16" fillId="2" borderId="2" xfId="1" quotePrefix="1" applyNumberFormat="1" applyFont="1" applyFill="1" applyBorder="1" applyAlignment="1">
      <alignment horizontal="right"/>
    </xf>
    <xf numFmtId="164" fontId="18" fillId="2" borderId="0" xfId="1" quotePrefix="1" applyNumberFormat="1" applyFont="1" applyFill="1" applyBorder="1" applyAlignment="1">
      <alignment horizontal="right"/>
    </xf>
    <xf numFmtId="166" fontId="0" fillId="0" borderId="0" xfId="2" quotePrefix="1" applyNumberFormat="1" applyFont="1" applyFill="1" applyBorder="1" applyAlignment="1">
      <alignment horizontal="right"/>
    </xf>
    <xf numFmtId="0" fontId="2" fillId="0" borderId="3" xfId="0" applyFont="1" applyBorder="1" applyAlignment="1">
      <alignment horizontal="left"/>
    </xf>
    <xf numFmtId="0" fontId="2" fillId="0" borderId="4"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18" fillId="2" borderId="0" xfId="1" quotePrefix="1" applyNumberFormat="1" applyFont="1" applyFill="1" applyBorder="1" applyAlignment="1">
      <alignment horizontal="right"/>
    </xf>
    <xf numFmtId="165" fontId="19" fillId="0" borderId="3" xfId="1" applyNumberFormat="1" applyFont="1" applyFill="1" applyBorder="1" applyAlignment="1">
      <alignment horizontal="right"/>
    </xf>
    <xf numFmtId="165" fontId="19" fillId="0" borderId="0" xfId="1" applyNumberFormat="1" applyFont="1" applyFill="1" applyBorder="1" applyAlignment="1">
      <alignment horizontal="right"/>
    </xf>
    <xf numFmtId="165" fontId="19" fillId="0" borderId="4" xfId="1" applyNumberFormat="1" applyFont="1" applyFill="1" applyBorder="1" applyAlignment="1">
      <alignment horizontal="right"/>
    </xf>
    <xf numFmtId="165" fontId="4" fillId="0" borderId="3" xfId="1" applyNumberFormat="1" applyFont="1" applyFill="1" applyBorder="1" applyAlignment="1">
      <alignment horizontal="right"/>
    </xf>
    <xf numFmtId="165" fontId="3" fillId="0" borderId="3" xfId="1" applyNumberFormat="1" applyFont="1" applyFill="1" applyBorder="1" applyAlignment="1">
      <alignment horizontal="right"/>
    </xf>
    <xf numFmtId="165" fontId="4" fillId="0" borderId="0" xfId="1" applyNumberFormat="1" applyFont="1" applyFill="1" applyBorder="1" applyAlignment="1">
      <alignment horizontal="right"/>
    </xf>
    <xf numFmtId="165" fontId="3" fillId="0" borderId="0" xfId="1" applyNumberFormat="1" applyFont="1" applyFill="1" applyBorder="1" applyAlignment="1">
      <alignment horizontal="right"/>
    </xf>
    <xf numFmtId="165" fontId="4" fillId="0" borderId="4" xfId="1" applyNumberFormat="1" applyFont="1" applyFill="1" applyBorder="1" applyAlignment="1">
      <alignment horizontal="right"/>
    </xf>
    <xf numFmtId="165" fontId="3" fillId="0" borderId="4" xfId="1" applyNumberFormat="1" applyFont="1" applyFill="1" applyBorder="1" applyAlignment="1">
      <alignment horizontal="right"/>
    </xf>
    <xf numFmtId="165" fontId="4" fillId="0" borderId="5" xfId="1" applyNumberFormat="1" applyFont="1" applyFill="1" applyBorder="1" applyAlignment="1">
      <alignment horizontal="right"/>
    </xf>
    <xf numFmtId="165" fontId="3" fillId="0" borderId="5" xfId="1" applyNumberFormat="1" applyFont="1" applyFill="1" applyBorder="1" applyAlignment="1">
      <alignment horizontal="right"/>
    </xf>
    <xf numFmtId="164" fontId="12" fillId="3" borderId="2" xfId="1" quotePrefix="1" applyNumberFormat="1" applyFont="1" applyFill="1" applyBorder="1" applyAlignment="1">
      <alignment horizontal="right"/>
    </xf>
    <xf numFmtId="164" fontId="19" fillId="3" borderId="0" xfId="1" quotePrefix="1" applyNumberFormat="1" applyFont="1" applyFill="1" applyBorder="1" applyAlignment="1">
      <alignment horizontal="right"/>
    </xf>
    <xf numFmtId="0" fontId="19" fillId="3" borderId="0" xfId="1" quotePrefix="1" applyNumberFormat="1" applyFont="1" applyFill="1" applyBorder="1" applyAlignment="1">
      <alignment horizontal="right"/>
    </xf>
    <xf numFmtId="166" fontId="1" fillId="0" borderId="0" xfId="2" quotePrefix="1" applyNumberFormat="1" applyFont="1" applyBorder="1" applyAlignment="1">
      <alignment horizontal="right"/>
    </xf>
    <xf numFmtId="43" fontId="0" fillId="0" borderId="0" xfId="1" quotePrefix="1" applyFont="1" applyFill="1" applyBorder="1" applyAlignment="1">
      <alignment horizontal="right"/>
    </xf>
    <xf numFmtId="43" fontId="0" fillId="0" borderId="5" xfId="1" quotePrefix="1" applyFont="1" applyFill="1" applyBorder="1" applyAlignment="1">
      <alignment horizontal="right"/>
    </xf>
    <xf numFmtId="166" fontId="0" fillId="0" borderId="0" xfId="2" applyNumberFormat="1" applyFont="1" applyFill="1"/>
    <xf numFmtId="0" fontId="0" fillId="0" borderId="0" xfId="0"/>
    <xf numFmtId="165" fontId="1" fillId="0" borderId="5" xfId="1" applyNumberFormat="1" applyFont="1" applyFill="1" applyBorder="1" applyAlignment="1">
      <alignment horizontal="right"/>
    </xf>
    <xf numFmtId="164" fontId="0" fillId="0" borderId="0" xfId="1" applyNumberFormat="1" applyFont="1" applyBorder="1" applyAlignment="1">
      <alignment horizontal="left"/>
    </xf>
    <xf numFmtId="0" fontId="66" fillId="0" borderId="0" xfId="0" applyFont="1" applyFill="1" applyBorder="1" applyAlignment="1">
      <alignment horizontal="left"/>
    </xf>
    <xf numFmtId="9" fontId="1" fillId="0" borderId="0" xfId="2" quotePrefix="1" applyFont="1" applyFill="1" applyBorder="1" applyAlignment="1">
      <alignment horizontal="right"/>
    </xf>
    <xf numFmtId="166" fontId="1" fillId="0" borderId="0" xfId="2" quotePrefix="1" applyNumberFormat="1" applyFont="1" applyFill="1" applyBorder="1" applyAlignment="1">
      <alignment horizontal="right"/>
    </xf>
    <xf numFmtId="165" fontId="1" fillId="0" borderId="5" xfId="1" quotePrefix="1" applyNumberFormat="1" applyFont="1" applyFill="1" applyBorder="1" applyAlignment="1">
      <alignment horizontal="right"/>
    </xf>
    <xf numFmtId="165" fontId="1" fillId="0" borderId="3" xfId="1" quotePrefix="1" applyNumberFormat="1" applyFont="1" applyFill="1" applyBorder="1" applyAlignment="1">
      <alignment horizontal="right"/>
    </xf>
    <xf numFmtId="165" fontId="1" fillId="0" borderId="4" xfId="1" quotePrefix="1" applyNumberFormat="1" applyFont="1" applyFill="1" applyBorder="1" applyAlignment="1">
      <alignment horizontal="right"/>
    </xf>
    <xf numFmtId="166" fontId="1" fillId="0" borderId="3" xfId="2" quotePrefix="1" applyNumberFormat="1" applyFont="1" applyFill="1" applyBorder="1" applyAlignment="1">
      <alignment horizontal="right"/>
    </xf>
    <xf numFmtId="9" fontId="1" fillId="0" borderId="3" xfId="2" quotePrefix="1" applyFont="1" applyFill="1" applyBorder="1" applyAlignment="1">
      <alignment horizontal="right"/>
    </xf>
    <xf numFmtId="166" fontId="1" fillId="0" borderId="4" xfId="2" quotePrefix="1" applyNumberFormat="1" applyFont="1" applyFill="1" applyBorder="1" applyAlignment="1">
      <alignment horizontal="right"/>
    </xf>
    <xf numFmtId="9" fontId="1" fillId="0" borderId="4" xfId="2" quotePrefix="1" applyFont="1" applyFill="1" applyBorder="1" applyAlignment="1">
      <alignment horizontal="right"/>
    </xf>
    <xf numFmtId="9" fontId="1" fillId="0" borderId="5" xfId="2" quotePrefix="1" applyFont="1" applyFill="1" applyBorder="1" applyAlignment="1">
      <alignment horizontal="right"/>
    </xf>
    <xf numFmtId="166" fontId="1" fillId="0" borderId="5" xfId="2" quotePrefix="1" applyNumberFormat="1" applyFont="1" applyFill="1" applyBorder="1" applyAlignment="1">
      <alignment horizontal="right"/>
    </xf>
    <xf numFmtId="9" fontId="0" fillId="0" borderId="0" xfId="2" applyFont="1" applyFill="1"/>
    <xf numFmtId="165" fontId="1" fillId="9" borderId="5" xfId="1" quotePrefix="1" applyNumberFormat="1" applyFont="1" applyFill="1" applyBorder="1" applyAlignment="1">
      <alignment horizontal="right"/>
    </xf>
    <xf numFmtId="166" fontId="0" fillId="10" borderId="0" xfId="2" quotePrefix="1" applyNumberFormat="1" applyFont="1" applyFill="1" applyBorder="1" applyAlignment="1">
      <alignment horizontal="right"/>
    </xf>
    <xf numFmtId="165" fontId="1" fillId="10" borderId="0" xfId="1" quotePrefix="1" applyNumberFormat="1" applyFont="1" applyFill="1" applyBorder="1" applyAlignment="1">
      <alignment horizontal="right"/>
    </xf>
    <xf numFmtId="165" fontId="1" fillId="10" borderId="4" xfId="1" quotePrefix="1" applyNumberFormat="1" applyFont="1" applyFill="1" applyBorder="1" applyAlignment="1">
      <alignment horizontal="right"/>
    </xf>
    <xf numFmtId="9" fontId="1" fillId="10" borderId="0" xfId="2" quotePrefix="1" applyFont="1" applyFill="1" applyBorder="1" applyAlignment="1">
      <alignment horizontal="right"/>
    </xf>
    <xf numFmtId="9" fontId="1" fillId="10" borderId="4" xfId="2" quotePrefix="1" applyFont="1" applyFill="1" applyBorder="1" applyAlignment="1">
      <alignment horizontal="right"/>
    </xf>
    <xf numFmtId="166" fontId="1" fillId="10" borderId="0" xfId="2" quotePrefix="1" applyNumberFormat="1" applyFont="1" applyFill="1" applyBorder="1" applyAlignment="1">
      <alignment horizontal="right"/>
    </xf>
    <xf numFmtId="166" fontId="1" fillId="10" borderId="4" xfId="2" quotePrefix="1" applyNumberFormat="1" applyFont="1" applyFill="1" applyBorder="1" applyAlignment="1">
      <alignment horizontal="right"/>
    </xf>
    <xf numFmtId="43" fontId="0" fillId="10" borderId="0" xfId="1" quotePrefix="1" applyNumberFormat="1" applyFont="1" applyFill="1" applyBorder="1" applyAlignment="1">
      <alignment horizontal="right"/>
    </xf>
    <xf numFmtId="165" fontId="1" fillId="10" borderId="3" xfId="1" quotePrefix="1" applyNumberFormat="1" applyFont="1" applyFill="1" applyBorder="1" applyAlignment="1">
      <alignment horizontal="right"/>
    </xf>
    <xf numFmtId="9" fontId="1" fillId="10" borderId="3" xfId="2" quotePrefix="1" applyFont="1" applyFill="1" applyBorder="1" applyAlignment="1">
      <alignment horizontal="right"/>
    </xf>
    <xf numFmtId="166" fontId="1" fillId="10" borderId="3" xfId="2" quotePrefix="1" applyNumberFormat="1" applyFont="1" applyFill="1" applyBorder="1" applyAlignment="1">
      <alignment horizontal="right"/>
    </xf>
    <xf numFmtId="225" fontId="0" fillId="10" borderId="4" xfId="1" applyNumberFormat="1" applyFont="1" applyFill="1" applyBorder="1" applyAlignment="1">
      <alignment horizontal="right"/>
    </xf>
    <xf numFmtId="225" fontId="0" fillId="0" borderId="4" xfId="1" applyNumberFormat="1" applyFont="1" applyFill="1" applyBorder="1" applyAlignment="1">
      <alignment horizontal="right"/>
    </xf>
    <xf numFmtId="225" fontId="0" fillId="0" borderId="4" xfId="2" applyNumberFormat="1" applyFont="1" applyFill="1" applyBorder="1" applyAlignment="1">
      <alignment horizontal="right"/>
    </xf>
    <xf numFmtId="9" fontId="0" fillId="0" borderId="0" xfId="2" applyFont="1" applyFill="1" applyAlignment="1">
      <alignment horizontal="right"/>
    </xf>
    <xf numFmtId="0" fontId="0" fillId="0" borderId="0" xfId="0" applyFill="1" applyAlignment="1">
      <alignment horizontal="right"/>
    </xf>
    <xf numFmtId="9" fontId="1" fillId="0" borderId="5" xfId="2" quotePrefix="1" applyNumberFormat="1" applyFont="1" applyFill="1" applyBorder="1" applyAlignment="1">
      <alignment horizontal="right"/>
    </xf>
    <xf numFmtId="7" fontId="13" fillId="0" borderId="0" xfId="0" applyNumberFormat="1" applyFont="1"/>
    <xf numFmtId="0" fontId="67" fillId="0" borderId="0" xfId="0" applyFont="1"/>
    <xf numFmtId="0" fontId="0" fillId="0" borderId="3" xfId="0" applyFont="1" applyFill="1" applyBorder="1" applyAlignment="1">
      <alignment horizontal="left"/>
    </xf>
    <xf numFmtId="0" fontId="0" fillId="0" borderId="4" xfId="0" applyFont="1" applyFill="1" applyBorder="1" applyAlignment="1">
      <alignment horizontal="left"/>
    </xf>
    <xf numFmtId="166" fontId="0" fillId="0" borderId="3" xfId="2" applyNumberFormat="1" applyFont="1" applyFill="1" applyBorder="1" applyAlignment="1">
      <alignment horizontal="left"/>
    </xf>
    <xf numFmtId="166" fontId="0" fillId="0" borderId="4" xfId="2" applyNumberFormat="1" applyFont="1" applyFill="1" applyBorder="1" applyAlignment="1">
      <alignment horizontal="left"/>
    </xf>
    <xf numFmtId="0" fontId="8" fillId="0" borderId="0" xfId="0" applyFont="1" applyFill="1" applyBorder="1" applyAlignment="1">
      <alignment horizontal="left"/>
    </xf>
    <xf numFmtId="165" fontId="2" fillId="0" borderId="28" xfId="1" quotePrefix="1" applyNumberFormat="1" applyFont="1" applyBorder="1" applyAlignment="1">
      <alignment horizontal="right"/>
    </xf>
    <xf numFmtId="165" fontId="2" fillId="0" borderId="25" xfId="1" quotePrefix="1" applyNumberFormat="1" applyFont="1" applyBorder="1" applyAlignment="1">
      <alignment horizontal="right"/>
    </xf>
    <xf numFmtId="165" fontId="1" fillId="0" borderId="30" xfId="1" quotePrefix="1" applyNumberFormat="1" applyFont="1" applyBorder="1" applyAlignment="1">
      <alignment horizontal="right"/>
    </xf>
    <xf numFmtId="165" fontId="1" fillId="0" borderId="25" xfId="1" quotePrefix="1" applyNumberFormat="1" applyFont="1" applyBorder="1" applyAlignment="1">
      <alignment horizontal="right"/>
    </xf>
    <xf numFmtId="166" fontId="2" fillId="0" borderId="28" xfId="2" quotePrefix="1" applyNumberFormat="1" applyFont="1" applyFill="1" applyBorder="1" applyAlignment="1">
      <alignment horizontal="right"/>
    </xf>
    <xf numFmtId="166" fontId="2" fillId="0" borderId="28" xfId="2" quotePrefix="1" applyNumberFormat="1" applyFont="1" applyBorder="1" applyAlignment="1">
      <alignment horizontal="right"/>
    </xf>
    <xf numFmtId="43" fontId="2" fillId="0" borderId="28" xfId="1" quotePrefix="1" applyFont="1" applyFill="1" applyBorder="1" applyAlignment="1">
      <alignment horizontal="right"/>
    </xf>
    <xf numFmtId="43" fontId="2" fillId="0" borderId="25" xfId="1" quotePrefix="1" applyFont="1" applyFill="1" applyBorder="1" applyAlignment="1">
      <alignment horizontal="right"/>
    </xf>
    <xf numFmtId="165" fontId="1" fillId="0" borderId="29" xfId="1" quotePrefix="1" applyNumberFormat="1" applyFont="1" applyFill="1" applyBorder="1" applyAlignment="1">
      <alignment horizontal="right"/>
    </xf>
    <xf numFmtId="165" fontId="0" fillId="0" borderId="0" xfId="1" quotePrefix="1" applyNumberFormat="1" applyFont="1" applyFill="1" applyBorder="1" applyAlignment="1">
      <alignment horizontal="right"/>
    </xf>
    <xf numFmtId="165" fontId="0" fillId="0" borderId="5" xfId="1" quotePrefix="1" applyNumberFormat="1" applyFont="1" applyFill="1" applyBorder="1" applyAlignment="1">
      <alignment horizontal="right"/>
    </xf>
    <xf numFmtId="165" fontId="0" fillId="10" borderId="0" xfId="1" quotePrefix="1" applyNumberFormat="1" applyFont="1" applyFill="1" applyBorder="1" applyAlignment="1">
      <alignment horizontal="right"/>
    </xf>
    <xf numFmtId="10" fontId="1" fillId="0" borderId="0" xfId="2" quotePrefix="1" applyNumberFormat="1" applyFont="1" applyFill="1" applyBorder="1" applyAlignment="1">
      <alignment horizontal="right"/>
    </xf>
    <xf numFmtId="10" fontId="1" fillId="10" borderId="3" xfId="2" quotePrefix="1" applyNumberFormat="1" applyFont="1" applyFill="1" applyBorder="1" applyAlignment="1">
      <alignment horizontal="right"/>
    </xf>
    <xf numFmtId="10" fontId="1" fillId="10" borderId="0" xfId="2" quotePrefix="1" applyNumberFormat="1" applyFont="1" applyFill="1" applyBorder="1" applyAlignment="1">
      <alignment horizontal="right"/>
    </xf>
    <xf numFmtId="10" fontId="1" fillId="10" borderId="4" xfId="2" quotePrefix="1" applyNumberFormat="1" applyFont="1" applyFill="1" applyBorder="1" applyAlignment="1">
      <alignment horizontal="right"/>
    </xf>
    <xf numFmtId="43" fontId="1" fillId="0" borderId="9" xfId="1" applyFont="1" applyFill="1" applyBorder="1" applyAlignment="1">
      <alignment horizontal="right"/>
    </xf>
    <xf numFmtId="0" fontId="0" fillId="0" borderId="3" xfId="0" applyFont="1" applyFill="1" applyBorder="1" applyAlignment="1">
      <alignment horizontal="left"/>
    </xf>
    <xf numFmtId="0" fontId="0" fillId="0" borderId="6" xfId="0" applyFont="1" applyFill="1" applyBorder="1" applyAlignment="1">
      <alignment horizontal="left"/>
    </xf>
    <xf numFmtId="0" fontId="8" fillId="0" borderId="4" xfId="0" applyFont="1" applyBorder="1" applyAlignment="1">
      <alignment horizontal="left"/>
    </xf>
    <xf numFmtId="0" fontId="0" fillId="0" borderId="24" xfId="0" applyFont="1" applyFill="1" applyBorder="1" applyAlignment="1">
      <alignment horizontal="left"/>
    </xf>
    <xf numFmtId="43" fontId="0" fillId="0" borderId="0" xfId="1" quotePrefix="1" applyNumberFormat="1" applyFont="1" applyFill="1" applyBorder="1" applyAlignment="1">
      <alignment horizontal="right"/>
    </xf>
    <xf numFmtId="0" fontId="68" fillId="0" borderId="3" xfId="0" applyFont="1" applyBorder="1" applyAlignment="1">
      <alignment horizontal="left"/>
    </xf>
    <xf numFmtId="0" fontId="2" fillId="0" borderId="24" xfId="0" applyFont="1" applyFill="1" applyBorder="1" applyAlignment="1">
      <alignment horizontal="left"/>
    </xf>
    <xf numFmtId="165" fontId="2" fillId="0" borderId="29" xfId="1" quotePrefix="1" applyNumberFormat="1" applyFont="1" applyBorder="1" applyAlignment="1">
      <alignment horizontal="right"/>
    </xf>
    <xf numFmtId="165" fontId="2" fillId="0" borderId="30" xfId="1" quotePrefix="1" applyNumberFormat="1" applyFont="1" applyBorder="1" applyAlignment="1">
      <alignment horizontal="right"/>
    </xf>
    <xf numFmtId="165" fontId="4" fillId="0" borderId="0" xfId="1" quotePrefix="1" applyNumberFormat="1" applyFont="1" applyBorder="1" applyAlignment="1">
      <alignment horizontal="right"/>
    </xf>
    <xf numFmtId="165" fontId="4" fillId="0" borderId="5" xfId="1" quotePrefix="1" applyNumberFormat="1" applyFont="1" applyBorder="1" applyAlignment="1">
      <alignment horizontal="right"/>
    </xf>
    <xf numFmtId="166" fontId="66" fillId="0" borderId="0" xfId="2" quotePrefix="1" applyNumberFormat="1" applyFont="1" applyFill="1" applyBorder="1" applyAlignment="1">
      <alignment horizontal="right"/>
    </xf>
    <xf numFmtId="166" fontId="66" fillId="0" borderId="0" xfId="2" quotePrefix="1" applyNumberFormat="1" applyFont="1" applyBorder="1" applyAlignment="1">
      <alignment horizontal="right"/>
    </xf>
    <xf numFmtId="165" fontId="66" fillId="0" borderId="5" xfId="1" quotePrefix="1" applyNumberFormat="1" applyFont="1" applyBorder="1" applyAlignment="1">
      <alignment horizontal="right"/>
    </xf>
    <xf numFmtId="166" fontId="66" fillId="10" borderId="0" xfId="2" quotePrefix="1" applyNumberFormat="1" applyFont="1" applyFill="1" applyBorder="1" applyAlignment="1">
      <alignment horizontal="right"/>
    </xf>
    <xf numFmtId="43" fontId="4" fillId="0" borderId="0" xfId="1" quotePrefix="1" applyFont="1" applyFill="1" applyBorder="1" applyAlignment="1">
      <alignment horizontal="right"/>
    </xf>
    <xf numFmtId="43" fontId="4" fillId="0" borderId="5" xfId="1" quotePrefix="1" applyFont="1" applyFill="1" applyBorder="1" applyAlignment="1">
      <alignment horizontal="right"/>
    </xf>
    <xf numFmtId="43" fontId="4" fillId="0" borderId="0" xfId="1" quotePrefix="1" applyNumberFormat="1" applyFont="1" applyFill="1" applyBorder="1" applyAlignment="1">
      <alignment horizontal="right"/>
    </xf>
    <xf numFmtId="43" fontId="4" fillId="10" borderId="0" xfId="1" quotePrefix="1" applyNumberFormat="1" applyFont="1" applyFill="1" applyBorder="1" applyAlignment="1">
      <alignment horizontal="right"/>
    </xf>
    <xf numFmtId="166" fontId="2" fillId="0" borderId="29" xfId="2" quotePrefix="1" applyNumberFormat="1" applyFont="1" applyFill="1" applyBorder="1" applyAlignment="1">
      <alignment horizontal="right"/>
    </xf>
    <xf numFmtId="166" fontId="2" fillId="0" borderId="29" xfId="2" quotePrefix="1" applyNumberFormat="1" applyFont="1" applyBorder="1" applyAlignment="1">
      <alignment horizontal="right"/>
    </xf>
    <xf numFmtId="43" fontId="1" fillId="0" borderId="29" xfId="1" quotePrefix="1" applyFont="1" applyFill="1" applyBorder="1" applyAlignment="1">
      <alignment horizontal="right"/>
    </xf>
    <xf numFmtId="43" fontId="1" fillId="0" borderId="30" xfId="1" quotePrefix="1" applyFont="1" applyFill="1" applyBorder="1" applyAlignment="1">
      <alignment horizontal="right"/>
    </xf>
    <xf numFmtId="0" fontId="68" fillId="0" borderId="23" xfId="0" applyFont="1" applyBorder="1" applyAlignment="1">
      <alignment horizontal="left"/>
    </xf>
    <xf numFmtId="0" fontId="0" fillId="0" borderId="29" xfId="0" applyFont="1" applyFill="1" applyBorder="1" applyAlignment="1">
      <alignment horizontal="left"/>
    </xf>
    <xf numFmtId="165" fontId="0" fillId="0" borderId="29" xfId="1" quotePrefix="1" applyNumberFormat="1" applyFont="1" applyFill="1" applyBorder="1" applyAlignment="1">
      <alignment horizontal="right"/>
    </xf>
    <xf numFmtId="165" fontId="0" fillId="0" borderId="30" xfId="1" quotePrefix="1" applyNumberFormat="1" applyFont="1" applyFill="1" applyBorder="1" applyAlignment="1">
      <alignment horizontal="right"/>
    </xf>
    <xf numFmtId="0" fontId="0" fillId="0" borderId="26" xfId="0" applyFont="1" applyFill="1" applyBorder="1" applyAlignment="1">
      <alignment horizontal="left"/>
    </xf>
    <xf numFmtId="0" fontId="66" fillId="0" borderId="28" xfId="0" applyFont="1" applyFill="1" applyBorder="1" applyAlignment="1">
      <alignment horizontal="left"/>
    </xf>
    <xf numFmtId="9" fontId="1" fillId="0" borderId="26" xfId="2" quotePrefix="1" applyFont="1" applyFill="1" applyBorder="1" applyAlignment="1">
      <alignment horizontal="right"/>
    </xf>
    <xf numFmtId="9" fontId="1" fillId="0" borderId="28" xfId="2" quotePrefix="1" applyFont="1" applyFill="1" applyBorder="1" applyAlignment="1">
      <alignment horizontal="right"/>
    </xf>
    <xf numFmtId="9" fontId="1" fillId="0" borderId="27" xfId="2" quotePrefix="1" applyFont="1" applyFill="1" applyBorder="1" applyAlignment="1">
      <alignment horizontal="right"/>
    </xf>
    <xf numFmtId="9" fontId="1" fillId="0" borderId="25" xfId="2" quotePrefix="1" applyFont="1" applyFill="1" applyBorder="1" applyAlignment="1">
      <alignment horizontal="right"/>
    </xf>
    <xf numFmtId="9" fontId="1" fillId="0" borderId="25" xfId="2" quotePrefix="1" applyNumberFormat="1" applyFont="1" applyFill="1" applyBorder="1" applyAlignment="1">
      <alignment horizontal="right"/>
    </xf>
    <xf numFmtId="0" fontId="66" fillId="0" borderId="7" xfId="0" applyFont="1" applyFill="1" applyBorder="1" applyAlignment="1">
      <alignment horizontal="left"/>
    </xf>
    <xf numFmtId="9" fontId="1" fillId="0" borderId="6" xfId="2" quotePrefix="1" applyFont="1" applyFill="1" applyBorder="1" applyAlignment="1">
      <alignment horizontal="right"/>
    </xf>
    <xf numFmtId="9" fontId="1" fillId="0" borderId="7" xfId="2" quotePrefix="1" applyFont="1" applyFill="1" applyBorder="1" applyAlignment="1">
      <alignment horizontal="right"/>
    </xf>
    <xf numFmtId="9" fontId="1" fillId="0" borderId="10" xfId="2" quotePrefix="1" applyFont="1" applyFill="1" applyBorder="1" applyAlignment="1">
      <alignment horizontal="right"/>
    </xf>
    <xf numFmtId="9" fontId="1" fillId="0" borderId="8" xfId="2" quotePrefix="1" applyFont="1" applyFill="1" applyBorder="1" applyAlignment="1">
      <alignment horizontal="right"/>
    </xf>
    <xf numFmtId="164" fontId="0" fillId="0" borderId="7" xfId="1" applyNumberFormat="1" applyFont="1" applyFill="1" applyBorder="1" applyAlignment="1">
      <alignment horizontal="right"/>
    </xf>
    <xf numFmtId="9" fontId="1" fillId="0" borderId="8" xfId="2" quotePrefix="1" applyNumberFormat="1" applyFont="1" applyFill="1" applyBorder="1" applyAlignment="1">
      <alignment horizontal="right"/>
    </xf>
    <xf numFmtId="165" fontId="4" fillId="11" borderId="0" xfId="1" quotePrefix="1" applyNumberFormat="1" applyFont="1" applyFill="1" applyBorder="1" applyAlignment="1">
      <alignment horizontal="right"/>
    </xf>
    <xf numFmtId="165" fontId="4" fillId="11" borderId="5" xfId="1" quotePrefix="1" applyNumberFormat="1" applyFont="1" applyFill="1" applyBorder="1" applyAlignment="1">
      <alignment horizontal="right"/>
    </xf>
    <xf numFmtId="43" fontId="2" fillId="11" borderId="0" xfId="1" quotePrefix="1" applyFont="1" applyFill="1" applyBorder="1" applyAlignment="1">
      <alignment horizontal="right"/>
    </xf>
    <xf numFmtId="43" fontId="2" fillId="11" borderId="5" xfId="1" quotePrefix="1" applyFont="1" applyFill="1" applyBorder="1" applyAlignment="1">
      <alignment horizontal="right"/>
    </xf>
    <xf numFmtId="43" fontId="1" fillId="11" borderId="5" xfId="1" quotePrefix="1" applyFont="1" applyFill="1" applyBorder="1" applyAlignment="1">
      <alignment horizontal="right"/>
    </xf>
    <xf numFmtId="43" fontId="1" fillId="11" borderId="31" xfId="1" quotePrefix="1" applyFont="1" applyFill="1" applyBorder="1" applyAlignment="1">
      <alignment horizontal="right"/>
    </xf>
    <xf numFmtId="165" fontId="1" fillId="11" borderId="0" xfId="1" quotePrefix="1" applyNumberFormat="1" applyFont="1" applyFill="1" applyBorder="1" applyAlignment="1">
      <alignment horizontal="right"/>
    </xf>
    <xf numFmtId="9" fontId="1" fillId="11" borderId="0" xfId="1" quotePrefix="1" applyNumberFormat="1" applyFont="1" applyFill="1" applyBorder="1" applyAlignment="1">
      <alignment horizontal="right"/>
    </xf>
    <xf numFmtId="165" fontId="1" fillId="11" borderId="34" xfId="1" quotePrefix="1" applyNumberFormat="1" applyFont="1" applyFill="1" applyBorder="1" applyAlignment="1">
      <alignment horizontal="right"/>
    </xf>
    <xf numFmtId="165" fontId="1" fillId="11" borderId="5" xfId="1" quotePrefix="1" applyNumberFormat="1" applyFont="1" applyFill="1" applyBorder="1" applyAlignment="1">
      <alignment horizontal="right"/>
    </xf>
    <xf numFmtId="9" fontId="1" fillId="11" borderId="5" xfId="2" quotePrefix="1" applyFont="1" applyFill="1" applyBorder="1" applyAlignment="1">
      <alignment horizontal="right"/>
    </xf>
    <xf numFmtId="0" fontId="0" fillId="11" borderId="3" xfId="0" applyFont="1" applyFill="1" applyBorder="1" applyAlignment="1">
      <alignment horizontal="left"/>
    </xf>
    <xf numFmtId="0" fontId="0" fillId="11" borderId="4" xfId="0" applyFont="1" applyFill="1" applyBorder="1" applyAlignment="1">
      <alignment horizontal="left"/>
    </xf>
    <xf numFmtId="43" fontId="1" fillId="11" borderId="0" xfId="1" quotePrefix="1" applyFont="1" applyFill="1" applyBorder="1" applyAlignment="1">
      <alignment horizontal="right"/>
    </xf>
    <xf numFmtId="0" fontId="0" fillId="11" borderId="32" xfId="0" applyFont="1" applyFill="1" applyBorder="1" applyAlignment="1">
      <alignment horizontal="left"/>
    </xf>
    <xf numFmtId="0" fontId="0" fillId="11" borderId="33" xfId="0" applyFont="1" applyFill="1" applyBorder="1" applyAlignment="1">
      <alignment horizontal="left"/>
    </xf>
    <xf numFmtId="43" fontId="1" fillId="11" borderId="34" xfId="1" quotePrefix="1" applyFont="1" applyFill="1" applyBorder="1" applyAlignment="1">
      <alignment horizontal="right"/>
    </xf>
    <xf numFmtId="9" fontId="1" fillId="11" borderId="0" xfId="2" quotePrefix="1" applyFont="1" applyFill="1" applyBorder="1" applyAlignment="1">
      <alignment horizontal="right"/>
    </xf>
    <xf numFmtId="166" fontId="0" fillId="9" borderId="5" xfId="2" quotePrefix="1" applyNumberFormat="1" applyFont="1" applyFill="1" applyBorder="1" applyAlignment="1">
      <alignment horizontal="right"/>
    </xf>
    <xf numFmtId="166" fontId="1" fillId="9" borderId="5" xfId="2" quotePrefix="1" applyNumberFormat="1" applyFont="1" applyFill="1" applyBorder="1" applyAlignment="1">
      <alignment horizontal="right"/>
    </xf>
    <xf numFmtId="166" fontId="1" fillId="9" borderId="25" xfId="2" quotePrefix="1" applyNumberFormat="1" applyFont="1" applyFill="1" applyBorder="1" applyAlignment="1">
      <alignment horizontal="right"/>
    </xf>
    <xf numFmtId="43" fontId="4" fillId="0" borderId="4" xfId="1" applyFont="1" applyFill="1" applyBorder="1" applyAlignment="1">
      <alignment horizontal="right"/>
    </xf>
    <xf numFmtId="166" fontId="0" fillId="0" borderId="23" xfId="2" quotePrefix="1" applyNumberFormat="1" applyFont="1" applyFill="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43" fontId="1" fillId="0" borderId="4" xfId="1" quotePrefix="1" applyNumberFormat="1" applyFont="1" applyFill="1" applyBorder="1" applyAlignment="1">
      <alignment horizontal="right"/>
    </xf>
    <xf numFmtId="43" fontId="1" fillId="0" borderId="0" xfId="1" quotePrefix="1" applyFont="1" applyFill="1" applyBorder="1" applyAlignment="1">
      <alignment horizontal="right"/>
    </xf>
    <xf numFmtId="43" fontId="1" fillId="0" borderId="5" xfId="1" quotePrefix="1" applyFont="1" applyFill="1" applyBorder="1" applyAlignment="1">
      <alignment horizontal="right"/>
    </xf>
    <xf numFmtId="0" fontId="68" fillId="0" borderId="23"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164" fontId="69" fillId="3" borderId="2" xfId="1" quotePrefix="1" applyNumberFormat="1" applyFont="1" applyFill="1" applyBorder="1" applyAlignment="1">
      <alignment horizontal="right"/>
    </xf>
    <xf numFmtId="164" fontId="69" fillId="3" borderId="11" xfId="1" quotePrefix="1" applyNumberFormat="1" applyFont="1" applyFill="1" applyBorder="1" applyAlignment="1">
      <alignment horizontal="right"/>
    </xf>
    <xf numFmtId="164" fontId="70" fillId="3" borderId="0" xfId="1" quotePrefix="1" applyNumberFormat="1" applyFont="1" applyFill="1" applyBorder="1" applyAlignment="1">
      <alignment horizontal="right"/>
    </xf>
    <xf numFmtId="164" fontId="70" fillId="3" borderId="4" xfId="1" quotePrefix="1" applyNumberFormat="1" applyFont="1" applyFill="1" applyBorder="1" applyAlignment="1">
      <alignment horizontal="right"/>
    </xf>
    <xf numFmtId="0" fontId="0" fillId="0" borderId="3" xfId="0" applyFont="1" applyBorder="1" applyAlignment="1"/>
    <xf numFmtId="0" fontId="0" fillId="0" borderId="4" xfId="0" applyFont="1" applyBorder="1" applyAlignment="1"/>
    <xf numFmtId="0" fontId="0" fillId="0" borderId="3" xfId="0" applyFill="1" applyBorder="1"/>
    <xf numFmtId="0" fontId="0" fillId="0" borderId="4" xfId="0" applyBorder="1"/>
    <xf numFmtId="166" fontId="0" fillId="0" borderId="0" xfId="2" applyNumberFormat="1" applyFont="1" applyBorder="1"/>
    <xf numFmtId="0" fontId="0" fillId="0" borderId="1" xfId="0" applyFill="1" applyBorder="1"/>
    <xf numFmtId="0" fontId="0" fillId="0" borderId="11" xfId="0" applyBorder="1"/>
    <xf numFmtId="165" fontId="0" fillId="0" borderId="2" xfId="1" applyNumberFormat="1" applyFont="1" applyBorder="1"/>
    <xf numFmtId="165" fontId="0" fillId="0" borderId="11" xfId="1" applyNumberFormat="1" applyFont="1" applyBorder="1"/>
    <xf numFmtId="0" fontId="0" fillId="0" borderId="0" xfId="0" applyFill="1" applyBorder="1"/>
    <xf numFmtId="0" fontId="0" fillId="0" borderId="0" xfId="0" applyBorder="1"/>
    <xf numFmtId="0" fontId="0" fillId="3" borderId="0" xfId="0" applyFill="1"/>
    <xf numFmtId="9" fontId="0" fillId="0" borderId="0" xfId="2" applyFont="1" applyBorder="1"/>
    <xf numFmtId="9" fontId="0" fillId="0" borderId="4" xfId="2" applyFont="1" applyBorder="1"/>
    <xf numFmtId="226" fontId="0" fillId="0" borderId="0" xfId="2" applyNumberFormat="1" applyFont="1" applyBorder="1"/>
    <xf numFmtId="226" fontId="0" fillId="0" borderId="10" xfId="2" applyNumberFormat="1" applyFont="1" applyBorder="1"/>
    <xf numFmtId="0" fontId="0" fillId="0" borderId="3" xfId="0" applyFont="1" applyBorder="1" applyAlignment="1">
      <alignment horizontal="left"/>
    </xf>
    <xf numFmtId="0" fontId="0" fillId="0" borderId="4"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12" xfId="0" applyBorder="1" applyAlignment="1">
      <alignment horizontal="left" vertical="top" wrapText="1"/>
    </xf>
    <xf numFmtId="0" fontId="0" fillId="0" borderId="13" xfId="0" applyBorder="1" applyAlignment="1">
      <alignment horizontal="left" vertical="top" wrapText="1"/>
    </xf>
    <xf numFmtId="0" fontId="17" fillId="2" borderId="3" xfId="0" applyFont="1" applyFill="1" applyBorder="1" applyAlignment="1">
      <alignment horizontal="left"/>
    </xf>
    <xf numFmtId="0" fontId="17" fillId="2" borderId="0" xfId="0" applyFont="1" applyFill="1" applyBorder="1" applyAlignment="1">
      <alignment horizontal="left"/>
    </xf>
    <xf numFmtId="0" fontId="15" fillId="2" borderId="1" xfId="0" applyFont="1" applyFill="1" applyBorder="1" applyAlignment="1">
      <alignment horizontal="left"/>
    </xf>
    <xf numFmtId="0" fontId="15" fillId="2" borderId="2" xfId="0" applyFont="1" applyFill="1" applyBorder="1" applyAlignment="1">
      <alignment horizontal="left"/>
    </xf>
    <xf numFmtId="0" fontId="2" fillId="0" borderId="26" xfId="0" applyFont="1" applyFill="1" applyBorder="1" applyAlignment="1">
      <alignment horizontal="left"/>
    </xf>
    <xf numFmtId="0" fontId="2" fillId="0" borderId="27" xfId="0" applyFont="1" applyFill="1" applyBorder="1" applyAlignment="1">
      <alignment horizontal="left"/>
    </xf>
    <xf numFmtId="0" fontId="0" fillId="11" borderId="3" xfId="0" applyFont="1" applyFill="1" applyBorder="1" applyAlignment="1">
      <alignment horizontal="left"/>
    </xf>
    <xf numFmtId="0" fontId="0" fillId="11" borderId="4" xfId="0" applyFont="1" applyFill="1" applyBorder="1" applyAlignment="1">
      <alignment horizontal="left"/>
    </xf>
    <xf numFmtId="0" fontId="0" fillId="10" borderId="1" xfId="0" applyFont="1" applyFill="1" applyBorder="1" applyAlignment="1">
      <alignment horizontal="left"/>
    </xf>
    <xf numFmtId="0" fontId="0" fillId="10" borderId="11" xfId="0" applyFont="1" applyFill="1" applyBorder="1" applyAlignment="1">
      <alignment horizontal="left"/>
    </xf>
    <xf numFmtId="0" fontId="0" fillId="9" borderId="3" xfId="0" applyFont="1" applyFill="1" applyBorder="1" applyAlignment="1">
      <alignment horizontal="left"/>
    </xf>
    <xf numFmtId="0" fontId="0" fillId="9" borderId="4" xfId="0" applyFont="1" applyFill="1" applyBorder="1" applyAlignment="1">
      <alignment horizontal="left"/>
    </xf>
    <xf numFmtId="0" fontId="0" fillId="0" borderId="6" xfId="0" applyFont="1" applyFill="1" applyBorder="1" applyAlignment="1">
      <alignment horizontal="left"/>
    </xf>
    <xf numFmtId="0" fontId="0" fillId="0" borderId="10"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166" fontId="0" fillId="0" borderId="3" xfId="2" applyNumberFormat="1" applyFont="1" applyFill="1" applyBorder="1" applyAlignment="1">
      <alignment horizontal="left"/>
    </xf>
    <xf numFmtId="166" fontId="0" fillId="0" borderId="4" xfId="2" applyNumberFormat="1" applyFont="1" applyFill="1" applyBorder="1" applyAlignment="1">
      <alignment horizontal="left"/>
    </xf>
    <xf numFmtId="0" fontId="68" fillId="11" borderId="23" xfId="0" applyFont="1" applyFill="1" applyBorder="1" applyAlignment="1">
      <alignment horizontal="left"/>
    </xf>
    <xf numFmtId="0" fontId="68" fillId="11" borderId="24" xfId="0" applyFont="1" applyFill="1" applyBorder="1" applyAlignment="1">
      <alignment horizontal="left"/>
    </xf>
    <xf numFmtId="0" fontId="15" fillId="2" borderId="12" xfId="0" applyFont="1" applyFill="1" applyBorder="1" applyAlignment="1">
      <alignment horizontal="left"/>
    </xf>
    <xf numFmtId="0" fontId="15" fillId="2" borderId="13" xfId="0" applyFont="1" applyFill="1" applyBorder="1" applyAlignment="1">
      <alignment horizontal="left"/>
    </xf>
    <xf numFmtId="0" fontId="2" fillId="0" borderId="6" xfId="0" applyFont="1" applyFill="1" applyBorder="1"/>
    <xf numFmtId="7" fontId="2" fillId="0" borderId="10" xfId="1" applyNumberFormat="1" applyFont="1" applyBorder="1" applyAlignment="1">
      <alignment horizontal="right"/>
    </xf>
    <xf numFmtId="0" fontId="2" fillId="0" borderId="12" xfId="0" applyFont="1" applyFill="1" applyBorder="1" applyAlignment="1">
      <alignment horizontal="right"/>
    </xf>
    <xf numFmtId="5" fontId="2" fillId="0" borderId="13" xfId="1" applyNumberFormat="1" applyFont="1" applyBorder="1" applyAlignment="1">
      <alignment horizontal="right"/>
    </xf>
  </cellXfs>
  <cellStyles count="329">
    <cellStyle name="_%(SignOnly)" xfId="6"/>
    <cellStyle name="_%(SignSpaceOnly)" xfId="7"/>
    <cellStyle name="_Comma" xfId="8"/>
    <cellStyle name="_Currency" xfId="9"/>
    <cellStyle name="_CurrencySpace" xfId="10"/>
    <cellStyle name="_Euro" xfId="11"/>
    <cellStyle name="_Heading" xfId="12"/>
    <cellStyle name="_Heading_prestemp" xfId="13"/>
    <cellStyle name="_Heading_prestemp_1st Qtr PL FY07" xfId="14"/>
    <cellStyle name="_Heading_prestemp_Financial Statements" xfId="15"/>
    <cellStyle name="_Heading_prestemp_Financial Statementsvs1" xfId="16"/>
    <cellStyle name="_Highlight" xfId="17"/>
    <cellStyle name="_Multiple" xfId="18"/>
    <cellStyle name="_MultipleSpace" xfId="19"/>
    <cellStyle name="_SubHeading" xfId="20"/>
    <cellStyle name="_SubHeading_prestemp" xfId="21"/>
    <cellStyle name="_SubHeading_prestemp_1st Qtr PL FY07" xfId="22"/>
    <cellStyle name="_SubHeading_prestemp_Financial Statements" xfId="23"/>
    <cellStyle name="_SubHeading_prestemp_Financial Statementsvs1" xfId="24"/>
    <cellStyle name="_Table" xfId="25"/>
    <cellStyle name="_TableHead" xfId="26"/>
    <cellStyle name="_TableRowHead" xfId="27"/>
    <cellStyle name="_TableSuperHead" xfId="28"/>
    <cellStyle name="=C:\WINNT\SYSTEM32\COMMAND.COM" xfId="29"/>
    <cellStyle name="=C:\WINNT\SYSTEM32\COMMAND.COM 2" xfId="30"/>
    <cellStyle name="6-0" xfId="31"/>
    <cellStyle name="Bold12" xfId="32"/>
    <cellStyle name="BoldItal12" xfId="33"/>
    <cellStyle name="Border" xfId="34"/>
    <cellStyle name="Border 10" xfId="35"/>
    <cellStyle name="Border 11" xfId="36"/>
    <cellStyle name="Border 12" xfId="37"/>
    <cellStyle name="Border 13" xfId="38"/>
    <cellStyle name="Border 14" xfId="39"/>
    <cellStyle name="Border 15" xfId="40"/>
    <cellStyle name="Border 16" xfId="41"/>
    <cellStyle name="Border 17" xfId="42"/>
    <cellStyle name="Border 18" xfId="43"/>
    <cellStyle name="Border 19" xfId="44"/>
    <cellStyle name="Border 2" xfId="45"/>
    <cellStyle name="Border 20" xfId="46"/>
    <cellStyle name="Border 21" xfId="47"/>
    <cellStyle name="Border 22" xfId="48"/>
    <cellStyle name="Border 23" xfId="49"/>
    <cellStyle name="Border 24" xfId="50"/>
    <cellStyle name="Border 25" xfId="51"/>
    <cellStyle name="Border 26" xfId="52"/>
    <cellStyle name="Border 27" xfId="53"/>
    <cellStyle name="Border 28" xfId="54"/>
    <cellStyle name="Border 29" xfId="55"/>
    <cellStyle name="Border 3" xfId="56"/>
    <cellStyle name="Border 30" xfId="57"/>
    <cellStyle name="Border 31" xfId="58"/>
    <cellStyle name="Border 32" xfId="59"/>
    <cellStyle name="Border 33" xfId="60"/>
    <cellStyle name="Border 34" xfId="61"/>
    <cellStyle name="Border 35" xfId="62"/>
    <cellStyle name="Border 36" xfId="63"/>
    <cellStyle name="Border 37" xfId="64"/>
    <cellStyle name="Border 38" xfId="65"/>
    <cellStyle name="Border 39" xfId="66"/>
    <cellStyle name="Border 4" xfId="67"/>
    <cellStyle name="Border 40" xfId="68"/>
    <cellStyle name="Border 41" xfId="69"/>
    <cellStyle name="Border 42" xfId="70"/>
    <cellStyle name="Border 5" xfId="71"/>
    <cellStyle name="Border 6" xfId="72"/>
    <cellStyle name="Border 7" xfId="73"/>
    <cellStyle name="Border 8" xfId="74"/>
    <cellStyle name="Border 9" xfId="75"/>
    <cellStyle name="Calc Currency (0)" xfId="76"/>
    <cellStyle name="Calc Currency (0) 2" xfId="77"/>
    <cellStyle name="Calc Currency (2)" xfId="78"/>
    <cellStyle name="Calc Currency (2) 2" xfId="79"/>
    <cellStyle name="Calc Percent (0)" xfId="80"/>
    <cellStyle name="Calc Percent (0) 2" xfId="81"/>
    <cellStyle name="Calc Percent (1)" xfId="82"/>
    <cellStyle name="Calc Percent (1) 2" xfId="83"/>
    <cellStyle name="Calc Percent (2)" xfId="84"/>
    <cellStyle name="Calc Percent (2) 2" xfId="85"/>
    <cellStyle name="Calc Units (0)" xfId="86"/>
    <cellStyle name="Calc Units (0) 2" xfId="87"/>
    <cellStyle name="Calc Units (1)" xfId="88"/>
    <cellStyle name="Calc Units (1) 2" xfId="89"/>
    <cellStyle name="Calc Units (2)" xfId="90"/>
    <cellStyle name="Calc Units (2) 2" xfId="91"/>
    <cellStyle name="Centered Heading" xfId="92"/>
    <cellStyle name="columns" xfId="93"/>
    <cellStyle name="Comma" xfId="1" builtinId="3"/>
    <cellStyle name="Comma  - Style1" xfId="94"/>
    <cellStyle name="Comma  - Style2" xfId="95"/>
    <cellStyle name="Comma  - Style3" xfId="96"/>
    <cellStyle name="Comma  - Style4" xfId="97"/>
    <cellStyle name="Comma  - Style5" xfId="98"/>
    <cellStyle name="Comma  - Style6" xfId="99"/>
    <cellStyle name="Comma  - Style7" xfId="100"/>
    <cellStyle name="Comma  - Style8" xfId="101"/>
    <cellStyle name="comma (0)" xfId="102"/>
    <cellStyle name="comma (0) 2" xfId="103"/>
    <cellStyle name="comma (0) 2 2" xfId="104"/>
    <cellStyle name="comma (0) 3" xfId="105"/>
    <cellStyle name="Comma [00]" xfId="106"/>
    <cellStyle name="Comma [00] 2" xfId="107"/>
    <cellStyle name="Comma 2" xfId="5"/>
    <cellStyle name="Comma 2 2" xfId="108"/>
    <cellStyle name="Comma 2 2 2" xfId="109"/>
    <cellStyle name="Comma 2 3" xfId="110"/>
    <cellStyle name="Comma 2 4" xfId="111"/>
    <cellStyle name="Comma 2 5" xfId="112"/>
    <cellStyle name="Comma 2 6" xfId="113"/>
    <cellStyle name="Comma 3" xfId="114"/>
    <cellStyle name="Comma 3 2" xfId="115"/>
    <cellStyle name="Comma 4" xfId="116"/>
    <cellStyle name="Comma 4 2" xfId="117"/>
    <cellStyle name="Comma 5" xfId="118"/>
    <cellStyle name="Comma 5 2" xfId="119"/>
    <cellStyle name="Comma Acctg" xfId="120"/>
    <cellStyle name="Comma Acctg 2" xfId="121"/>
    <cellStyle name="Comma0" xfId="122"/>
    <cellStyle name="Company Name" xfId="123"/>
    <cellStyle name="Contracts" xfId="124"/>
    <cellStyle name="CR Comma" xfId="125"/>
    <cellStyle name="CR Currency" xfId="126"/>
    <cellStyle name="curr" xfId="127"/>
    <cellStyle name="Currency [00]" xfId="128"/>
    <cellStyle name="Currency [00] 2" xfId="129"/>
    <cellStyle name="Currency 2" xfId="130"/>
    <cellStyle name="Currency Acctg" xfId="131"/>
    <cellStyle name="Currency0" xfId="132"/>
    <cellStyle name="Data" xfId="133"/>
    <cellStyle name="Date" xfId="134"/>
    <cellStyle name="Date Short" xfId="135"/>
    <cellStyle name="DateJoel" xfId="136"/>
    <cellStyle name="debbie" xfId="137"/>
    <cellStyle name="Dezimal [0]_laroux" xfId="138"/>
    <cellStyle name="Dezimal_laroux" xfId="139"/>
    <cellStyle name="Enter Currency (0)" xfId="140"/>
    <cellStyle name="Enter Currency (0) 2" xfId="141"/>
    <cellStyle name="Enter Currency (2)" xfId="142"/>
    <cellStyle name="Enter Currency (2) 2" xfId="143"/>
    <cellStyle name="Enter Units (0)" xfId="144"/>
    <cellStyle name="Enter Units (0) 2" xfId="145"/>
    <cellStyle name="Enter Units (1)" xfId="146"/>
    <cellStyle name="Enter Units (1) 2" xfId="147"/>
    <cellStyle name="Enter Units (2)" xfId="148"/>
    <cellStyle name="Enter Units (2) 2" xfId="149"/>
    <cellStyle name="eps" xfId="150"/>
    <cellStyle name="Euro" xfId="151"/>
    <cellStyle name="Grey" xfId="152"/>
    <cellStyle name="Header1" xfId="153"/>
    <cellStyle name="Header2" xfId="154"/>
    <cellStyle name="Header2 10" xfId="155"/>
    <cellStyle name="Header2 11" xfId="156"/>
    <cellStyle name="Header2 12" xfId="157"/>
    <cellStyle name="Header2 13" xfId="158"/>
    <cellStyle name="Header2 14" xfId="159"/>
    <cellStyle name="Header2 15" xfId="160"/>
    <cellStyle name="Header2 16" xfId="161"/>
    <cellStyle name="Header2 17" xfId="162"/>
    <cellStyle name="Header2 18" xfId="163"/>
    <cellStyle name="Header2 19" xfId="164"/>
    <cellStyle name="Header2 2" xfId="165"/>
    <cellStyle name="Header2 20" xfId="166"/>
    <cellStyle name="Header2 21" xfId="167"/>
    <cellStyle name="Header2 22" xfId="168"/>
    <cellStyle name="Header2 23" xfId="169"/>
    <cellStyle name="Header2 24" xfId="170"/>
    <cellStyle name="Header2 25" xfId="171"/>
    <cellStyle name="Header2 26" xfId="172"/>
    <cellStyle name="Header2 27" xfId="173"/>
    <cellStyle name="Header2 28" xfId="174"/>
    <cellStyle name="Header2 29" xfId="175"/>
    <cellStyle name="Header2 3" xfId="176"/>
    <cellStyle name="Header2 30" xfId="177"/>
    <cellStyle name="Header2 31" xfId="178"/>
    <cellStyle name="Header2 32" xfId="179"/>
    <cellStyle name="Header2 33" xfId="180"/>
    <cellStyle name="Header2 34" xfId="181"/>
    <cellStyle name="Header2 35" xfId="182"/>
    <cellStyle name="Header2 36" xfId="183"/>
    <cellStyle name="Header2 37" xfId="184"/>
    <cellStyle name="Header2 38" xfId="185"/>
    <cellStyle name="Header2 39" xfId="186"/>
    <cellStyle name="Header2 4" xfId="187"/>
    <cellStyle name="Header2 40" xfId="188"/>
    <cellStyle name="Header2 41" xfId="189"/>
    <cellStyle name="Header2 42" xfId="190"/>
    <cellStyle name="Header2 5" xfId="191"/>
    <cellStyle name="Header2 6" xfId="192"/>
    <cellStyle name="Header2 7" xfId="193"/>
    <cellStyle name="Header2 8" xfId="194"/>
    <cellStyle name="Header2 9" xfId="195"/>
    <cellStyle name="Heading" xfId="196"/>
    <cellStyle name="Heading 1 2" xfId="197"/>
    <cellStyle name="Heading 1 3" xfId="198"/>
    <cellStyle name="Heading 1 4" xfId="199"/>
    <cellStyle name="Heading 2 2" xfId="200"/>
    <cellStyle name="Heading 2 3" xfId="201"/>
    <cellStyle name="Heading 2 4" xfId="202"/>
    <cellStyle name="Heading No Underline" xfId="203"/>
    <cellStyle name="Heading With Underline" xfId="204"/>
    <cellStyle name="Hyperlink 2" xfId="205"/>
    <cellStyle name="Hyperlink 2 2" xfId="206"/>
    <cellStyle name="Hyperlink 2 2 2" xfId="207"/>
    <cellStyle name="Hyperlink 3" xfId="208"/>
    <cellStyle name="Hyperlink 4" xfId="209"/>
    <cellStyle name="Input [yellow]" xfId="210"/>
    <cellStyle name="Link Currency (0)" xfId="211"/>
    <cellStyle name="Link Currency (0) 2" xfId="212"/>
    <cellStyle name="Link Currency (2)" xfId="213"/>
    <cellStyle name="Link Currency (2) 2" xfId="214"/>
    <cellStyle name="Link Units (0)" xfId="215"/>
    <cellStyle name="Link Units (0) 2" xfId="216"/>
    <cellStyle name="Link Units (1)" xfId="217"/>
    <cellStyle name="Link Units (1) 2" xfId="218"/>
    <cellStyle name="Link Units (2)" xfId="219"/>
    <cellStyle name="Link Units (2) 2" xfId="220"/>
    <cellStyle name="Millares [0]_pldt" xfId="221"/>
    <cellStyle name="Millares_pldt" xfId="222"/>
    <cellStyle name="Milliers [0]_AR1194" xfId="223"/>
    <cellStyle name="Milliers_AR1194" xfId="224"/>
    <cellStyle name="Moneda [0]_pldt" xfId="225"/>
    <cellStyle name="Moneda_pldt" xfId="226"/>
    <cellStyle name="Monétaire [0]_AR1194" xfId="227"/>
    <cellStyle name="Monétaire_AR1194" xfId="228"/>
    <cellStyle name="negativ" xfId="229"/>
    <cellStyle name="no dec" xfId="230"/>
    <cellStyle name="nodollars" xfId="231"/>
    <cellStyle name="nodollars 2" xfId="232"/>
    <cellStyle name="Normal" xfId="0" builtinId="0"/>
    <cellStyle name="Normal - Style1" xfId="233"/>
    <cellStyle name="Normal - Style1 2" xfId="234"/>
    <cellStyle name="Normal - Style2" xfId="235"/>
    <cellStyle name="Normal - Style3" xfId="236"/>
    <cellStyle name="Normal - Style4" xfId="237"/>
    <cellStyle name="Normal - Style5" xfId="238"/>
    <cellStyle name="Normal 10" xfId="239"/>
    <cellStyle name="Normal 2" xfId="3"/>
    <cellStyle name="Normal 2 2" xfId="240"/>
    <cellStyle name="Normal 2 2 2" xfId="241"/>
    <cellStyle name="Normal 2 3" xfId="242"/>
    <cellStyle name="Normal 2 3 2" xfId="243"/>
    <cellStyle name="Normal 2 4" xfId="244"/>
    <cellStyle name="Normal 2 5" xfId="245"/>
    <cellStyle name="Normal 2 6" xfId="246"/>
    <cellStyle name="Normal 2 7" xfId="247"/>
    <cellStyle name="Normal 2 8" xfId="248"/>
    <cellStyle name="Normal 3" xfId="4"/>
    <cellStyle name="Normal 3 2" xfId="249"/>
    <cellStyle name="Normal 3 3" xfId="250"/>
    <cellStyle name="Normal 3 4" xfId="251"/>
    <cellStyle name="Normal 4" xfId="252"/>
    <cellStyle name="Normal 5" xfId="253"/>
    <cellStyle name="Normal 5 2" xfId="254"/>
    <cellStyle name="Normal 6" xfId="255"/>
    <cellStyle name="Normal 6 2" xfId="256"/>
    <cellStyle name="Normal 6 3" xfId="257"/>
    <cellStyle name="Normal 7" xfId="258"/>
    <cellStyle name="Normal 7 2" xfId="259"/>
    <cellStyle name="Normal 8" xfId="260"/>
    <cellStyle name="Normal 8 2" xfId="261"/>
    <cellStyle name="Normal 8 3" xfId="262"/>
    <cellStyle name="Normal 9" xfId="263"/>
    <cellStyle name="Number0DecimalStyle" xfId="264"/>
    <cellStyle name="Number0DecimalStyle 2" xfId="265"/>
    <cellStyle name="Number10DecimalStyle" xfId="266"/>
    <cellStyle name="Number1DecimalStyle" xfId="267"/>
    <cellStyle name="Number2DecimalStyle" xfId="268"/>
    <cellStyle name="Number2DecimalStyle 2" xfId="269"/>
    <cellStyle name="Number3DecimalStyle" xfId="270"/>
    <cellStyle name="Number4DecimalStyle" xfId="271"/>
    <cellStyle name="Number5DecimalStyle" xfId="272"/>
    <cellStyle name="Number6DecimalStyle" xfId="273"/>
    <cellStyle name="Number7DecimalStyle" xfId="274"/>
    <cellStyle name="Number8DecimalStyle" xfId="275"/>
    <cellStyle name="Number9DecimalStyle" xfId="276"/>
    <cellStyle name="over" xfId="277"/>
    <cellStyle name="Percent" xfId="2" builtinId="5"/>
    <cellStyle name="percent (0)" xfId="278"/>
    <cellStyle name="Percent [0]" xfId="279"/>
    <cellStyle name="Percent [0] 2" xfId="280"/>
    <cellStyle name="Percent [00]" xfId="281"/>
    <cellStyle name="Percent [00] 2" xfId="282"/>
    <cellStyle name="Percent [2]" xfId="283"/>
    <cellStyle name="Percent 10" xfId="284"/>
    <cellStyle name="Percent 2" xfId="285"/>
    <cellStyle name="Percent 2 2" xfId="286"/>
    <cellStyle name="Percent 2 3" xfId="287"/>
    <cellStyle name="Percent 2 4" xfId="288"/>
    <cellStyle name="Percent 3" xfId="289"/>
    <cellStyle name="Percent 3 2" xfId="290"/>
    <cellStyle name="Percent 4" xfId="291"/>
    <cellStyle name="Percent 6" xfId="292"/>
    <cellStyle name="PERCENTAGE" xfId="293"/>
    <cellStyle name="posit" xfId="294"/>
    <cellStyle name="Powerpoint Style" xfId="295"/>
    <cellStyle name="PrePop Currency (0)" xfId="296"/>
    <cellStyle name="PrePop Currency (0) 2" xfId="297"/>
    <cellStyle name="PrePop Currency (2)" xfId="298"/>
    <cellStyle name="PrePop Currency (2) 2" xfId="299"/>
    <cellStyle name="PrePop Units (0)" xfId="300"/>
    <cellStyle name="PrePop Units (0) 2" xfId="301"/>
    <cellStyle name="PrePop Units (1)" xfId="302"/>
    <cellStyle name="PrePop Units (1) 2" xfId="303"/>
    <cellStyle name="PrePop Units (2)" xfId="304"/>
    <cellStyle name="PrePop Units (2) 2" xfId="305"/>
    <cellStyle name="SingleTopDoubleBott" xfId="306"/>
    <cellStyle name="Standard_A" xfId="307"/>
    <cellStyle name="Style 1" xfId="308"/>
    <cellStyle name="Style 2" xfId="309"/>
    <cellStyle name="Style 3" xfId="310"/>
    <cellStyle name="Style 4" xfId="311"/>
    <cellStyle name="Text Indent A" xfId="312"/>
    <cellStyle name="Text Indent B" xfId="313"/>
    <cellStyle name="Text Indent B 2" xfId="314"/>
    <cellStyle name="Text Indent C" xfId="315"/>
    <cellStyle name="Text Indent C 2" xfId="316"/>
    <cellStyle name="TextStyle" xfId="317"/>
    <cellStyle name="Tickmark" xfId="318"/>
    <cellStyle name="TimStyle" xfId="319"/>
    <cellStyle name="Total 2" xfId="320"/>
    <cellStyle name="Total 3" xfId="321"/>
    <cellStyle name="Total 4" xfId="322"/>
    <cellStyle name="Underline" xfId="323"/>
    <cellStyle name="UnderlineDouble" xfId="324"/>
    <cellStyle name="Währung [0]_RESULTS" xfId="325"/>
    <cellStyle name="Währung_RESULTS" xfId="326"/>
    <cellStyle name="표준_BINV" xfId="327"/>
    <cellStyle name="標準_99B-05PE_IC2" xfId="3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191A-4071-98C1-3209EC112837}"/>
            </c:ext>
          </c:extLst>
        </c:ser>
        <c:dLbls>
          <c:showLegendKey val="0"/>
          <c:showVal val="0"/>
          <c:showCatName val="0"/>
          <c:showSerName val="0"/>
          <c:showPercent val="0"/>
          <c:showBubbleSize val="0"/>
        </c:dLbls>
        <c:smooth val="0"/>
        <c:axId val="133102592"/>
        <c:axId val="137717248"/>
      </c:lineChart>
      <c:catAx>
        <c:axId val="13310259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37717248"/>
        <c:crosses val="autoZero"/>
        <c:auto val="1"/>
        <c:lblAlgn val="ctr"/>
        <c:lblOffset val="100"/>
        <c:tickLblSkip val="7"/>
        <c:noMultiLvlLbl val="1"/>
      </c:catAx>
      <c:valAx>
        <c:axId val="137717248"/>
        <c:scaling>
          <c:orientation val="minMax"/>
        </c:scaling>
        <c:delete val="0"/>
        <c:axPos val="l"/>
        <c:majorGridlines/>
        <c:numFmt formatCode="0.0\x" sourceLinked="0"/>
        <c:majorTickMark val="out"/>
        <c:minorTickMark val="none"/>
        <c:tickLblPos val="nextTo"/>
        <c:crossAx val="13310259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500"/>
              <a:t>Facebook Ad Impression Growth</a:t>
            </a:r>
          </a:p>
        </c:rich>
      </c:tx>
      <c:layout>
        <c:manualLayout>
          <c:xMode val="edge"/>
          <c:yMode val="edge"/>
          <c:x val="0.24414969114056415"/>
          <c:y val="1.3123359580052493E-2"/>
        </c:manualLayout>
      </c:layout>
      <c:overlay val="0"/>
    </c:title>
    <c:autoTitleDeleted val="0"/>
    <c:plotArea>
      <c:layout>
        <c:manualLayout>
          <c:layoutTarget val="inner"/>
          <c:xMode val="edge"/>
          <c:yMode val="edge"/>
          <c:x val="0.11265747562237509"/>
          <c:y val="0.13799195555101068"/>
          <c:w val="0.80273444698731689"/>
          <c:h val="0.60690302491716097"/>
        </c:manualLayout>
      </c:layout>
      <c:barChart>
        <c:barDir val="col"/>
        <c:grouping val="clustered"/>
        <c:varyColors val="0"/>
        <c:ser>
          <c:idx val="0"/>
          <c:order val="0"/>
          <c:tx>
            <c:strRef>
              <c:f>Charts!$B$4</c:f>
              <c:strCache>
                <c:ptCount val="1"/>
                <c:pt idx="0">
                  <c:v>Growth in number of ad impressions (%, year-over-year)</c:v>
                </c:pt>
              </c:strCache>
            </c:strRef>
          </c:tx>
          <c:spPr>
            <a:solidFill>
              <a:schemeClr val="tx1">
                <a:lumMod val="65000"/>
                <a:lumOff val="35000"/>
              </a:schemeClr>
            </a:solidFill>
            <a:ln>
              <a:noFill/>
            </a:ln>
          </c:spPr>
          <c:invertIfNegative val="0"/>
          <c:dPt>
            <c:idx val="5"/>
            <c:invertIfNegative val="0"/>
            <c:bubble3D val="0"/>
            <c:extLst>
              <c:ext xmlns:c16="http://schemas.microsoft.com/office/drawing/2014/chart" uri="{C3380CC4-5D6E-409C-BE32-E72D297353CC}">
                <c16:uniqueId val="{00000001-19B7-485F-A621-52AC5E00CF32}"/>
              </c:ext>
            </c:extLst>
          </c:dPt>
          <c:dPt>
            <c:idx val="6"/>
            <c:invertIfNegative val="0"/>
            <c:bubble3D val="0"/>
            <c:extLst>
              <c:ext xmlns:c16="http://schemas.microsoft.com/office/drawing/2014/chart" uri="{C3380CC4-5D6E-409C-BE32-E72D297353CC}">
                <c16:uniqueId val="{00000003-19B7-485F-A621-52AC5E00CF32}"/>
              </c:ext>
            </c:extLst>
          </c:dPt>
          <c:dPt>
            <c:idx val="9"/>
            <c:invertIfNegative val="0"/>
            <c:bubble3D val="0"/>
            <c:extLst>
              <c:ext xmlns:c16="http://schemas.microsoft.com/office/drawing/2014/chart" uri="{C3380CC4-5D6E-409C-BE32-E72D297353CC}">
                <c16:uniqueId val="{00000004-19B7-485F-A621-52AC5E00CF32}"/>
              </c:ext>
            </c:extLst>
          </c:dPt>
          <c:dPt>
            <c:idx val="11"/>
            <c:invertIfNegative val="0"/>
            <c:bubble3D val="0"/>
            <c:extLst>
              <c:ext xmlns:c16="http://schemas.microsoft.com/office/drawing/2014/chart" uri="{C3380CC4-5D6E-409C-BE32-E72D297353CC}">
                <c16:uniqueId val="{00000006-19B7-485F-A621-52AC5E00CF32}"/>
              </c:ext>
            </c:extLst>
          </c:dPt>
          <c:cat>
            <c:strRef>
              <c:f>Charts!$D$2:$N$2</c:f>
              <c:strCache>
                <c:ptCount val="11"/>
                <c:pt idx="0">
                  <c:v>Mar-14</c:v>
                </c:pt>
                <c:pt idx="1">
                  <c:v>June-14</c:v>
                </c:pt>
                <c:pt idx="2">
                  <c:v>Sept-14</c:v>
                </c:pt>
                <c:pt idx="3">
                  <c:v>Dec-14</c:v>
                </c:pt>
                <c:pt idx="4">
                  <c:v>Mar-15</c:v>
                </c:pt>
                <c:pt idx="5">
                  <c:v>June-15</c:v>
                </c:pt>
                <c:pt idx="6">
                  <c:v>Sept-15</c:v>
                </c:pt>
                <c:pt idx="7">
                  <c:v>Dec-15</c:v>
                </c:pt>
                <c:pt idx="8">
                  <c:v>Mar-16</c:v>
                </c:pt>
                <c:pt idx="9">
                  <c:v>June-16</c:v>
                </c:pt>
                <c:pt idx="10">
                  <c:v>Sept-16</c:v>
                </c:pt>
              </c:strCache>
            </c:strRef>
          </c:cat>
          <c:val>
            <c:numRef>
              <c:f>Charts!$D$4:$N$4</c:f>
              <c:numCache>
                <c:formatCode>0%</c:formatCode>
                <c:ptCount val="11"/>
                <c:pt idx="0">
                  <c:v>-0.17</c:v>
                </c:pt>
                <c:pt idx="1">
                  <c:v>-0.25</c:v>
                </c:pt>
                <c:pt idx="2">
                  <c:v>-0.56000000000000005</c:v>
                </c:pt>
                <c:pt idx="3">
                  <c:v>-0.65</c:v>
                </c:pt>
                <c:pt idx="4">
                  <c:v>-0.62</c:v>
                </c:pt>
                <c:pt idx="5">
                  <c:v>-0.55000000000000004</c:v>
                </c:pt>
                <c:pt idx="6">
                  <c:v>-0.1</c:v>
                </c:pt>
                <c:pt idx="7">
                  <c:v>0.28999999999999998</c:v>
                </c:pt>
                <c:pt idx="8">
                  <c:v>0.5</c:v>
                </c:pt>
                <c:pt idx="9">
                  <c:v>0.49</c:v>
                </c:pt>
                <c:pt idx="10">
                  <c:v>0.5</c:v>
                </c:pt>
              </c:numCache>
            </c:numRef>
          </c:val>
          <c:extLst>
            <c:ext xmlns:c16="http://schemas.microsoft.com/office/drawing/2014/chart" uri="{C3380CC4-5D6E-409C-BE32-E72D297353CC}">
              <c16:uniqueId val="{00000007-19B7-485F-A621-52AC5E00CF32}"/>
            </c:ext>
          </c:extLst>
        </c:ser>
        <c:dLbls>
          <c:showLegendKey val="0"/>
          <c:showVal val="0"/>
          <c:showCatName val="0"/>
          <c:showSerName val="0"/>
          <c:showPercent val="0"/>
          <c:showBubbleSize val="0"/>
        </c:dLbls>
        <c:gapWidth val="150"/>
        <c:axId val="145695488"/>
        <c:axId val="145697024"/>
      </c:barChart>
      <c:catAx>
        <c:axId val="145695488"/>
        <c:scaling>
          <c:orientation val="minMax"/>
        </c:scaling>
        <c:delete val="0"/>
        <c:axPos val="b"/>
        <c:numFmt formatCode="[$-409]mmmm\-yy;@" sourceLinked="0"/>
        <c:majorTickMark val="none"/>
        <c:minorTickMark val="none"/>
        <c:tickLblPos val="low"/>
        <c:txPr>
          <a:bodyPr rot="-4440000"/>
          <a:lstStyle/>
          <a:p>
            <a:pPr>
              <a:defRPr/>
            </a:pPr>
            <a:endParaRPr lang="en-US"/>
          </a:p>
        </c:txPr>
        <c:crossAx val="145697024"/>
        <c:crosses val="autoZero"/>
        <c:auto val="1"/>
        <c:lblAlgn val="ctr"/>
        <c:lblOffset val="100"/>
        <c:noMultiLvlLbl val="0"/>
      </c:catAx>
      <c:valAx>
        <c:axId val="145697024"/>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695488"/>
        <c:crosses val="autoZero"/>
        <c:crossBetween val="between"/>
        <c:majorUnit val="0.30000000000000004"/>
      </c:valAx>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500"/>
              <a:t>Facebook Price Per</a:t>
            </a:r>
            <a:r>
              <a:rPr lang="en-US" sz="1500" baseline="0"/>
              <a:t> Ad </a:t>
            </a:r>
            <a:r>
              <a:rPr lang="en-US" sz="1500"/>
              <a:t>Growth</a:t>
            </a:r>
          </a:p>
        </c:rich>
      </c:tx>
      <c:layout>
        <c:manualLayout>
          <c:xMode val="edge"/>
          <c:yMode val="edge"/>
          <c:x val="0.24414969114056415"/>
          <c:y val="1.3123359580052493E-2"/>
        </c:manualLayout>
      </c:layout>
      <c:overlay val="0"/>
    </c:title>
    <c:autoTitleDeleted val="0"/>
    <c:plotArea>
      <c:layout>
        <c:manualLayout>
          <c:layoutTarget val="inner"/>
          <c:xMode val="edge"/>
          <c:yMode val="edge"/>
          <c:x val="0.11265747562237509"/>
          <c:y val="0.13799195555101068"/>
          <c:w val="0.80273444698731689"/>
          <c:h val="0.60690302491716097"/>
        </c:manualLayout>
      </c:layout>
      <c:barChart>
        <c:barDir val="col"/>
        <c:grouping val="clustered"/>
        <c:varyColors val="0"/>
        <c:ser>
          <c:idx val="0"/>
          <c:order val="0"/>
          <c:tx>
            <c:strRef>
              <c:f>Charts!$B$5</c:f>
              <c:strCache>
                <c:ptCount val="1"/>
                <c:pt idx="0">
                  <c:v>Growth in price per ad (%, year-over-year)</c:v>
                </c:pt>
              </c:strCache>
            </c:strRef>
          </c:tx>
          <c:spPr>
            <a:solidFill>
              <a:schemeClr val="tx1">
                <a:lumMod val="65000"/>
                <a:lumOff val="35000"/>
              </a:schemeClr>
            </a:solidFill>
            <a:ln>
              <a:noFill/>
            </a:ln>
          </c:spPr>
          <c:invertIfNegative val="0"/>
          <c:dPt>
            <c:idx val="5"/>
            <c:invertIfNegative val="0"/>
            <c:bubble3D val="0"/>
            <c:extLst>
              <c:ext xmlns:c16="http://schemas.microsoft.com/office/drawing/2014/chart" uri="{C3380CC4-5D6E-409C-BE32-E72D297353CC}">
                <c16:uniqueId val="{00000000-9201-4F5B-A96D-3CCDF0422B0C}"/>
              </c:ext>
            </c:extLst>
          </c:dPt>
          <c:dPt>
            <c:idx val="6"/>
            <c:invertIfNegative val="0"/>
            <c:bubble3D val="0"/>
            <c:extLst>
              <c:ext xmlns:c16="http://schemas.microsoft.com/office/drawing/2014/chart" uri="{C3380CC4-5D6E-409C-BE32-E72D297353CC}">
                <c16:uniqueId val="{00000001-9201-4F5B-A96D-3CCDF0422B0C}"/>
              </c:ext>
            </c:extLst>
          </c:dPt>
          <c:dPt>
            <c:idx val="9"/>
            <c:invertIfNegative val="0"/>
            <c:bubble3D val="0"/>
            <c:extLst>
              <c:ext xmlns:c16="http://schemas.microsoft.com/office/drawing/2014/chart" uri="{C3380CC4-5D6E-409C-BE32-E72D297353CC}">
                <c16:uniqueId val="{00000002-9201-4F5B-A96D-3CCDF0422B0C}"/>
              </c:ext>
            </c:extLst>
          </c:dPt>
          <c:dPt>
            <c:idx val="11"/>
            <c:invertIfNegative val="0"/>
            <c:bubble3D val="0"/>
            <c:extLst>
              <c:ext xmlns:c16="http://schemas.microsoft.com/office/drawing/2014/chart" uri="{C3380CC4-5D6E-409C-BE32-E72D297353CC}">
                <c16:uniqueId val="{00000003-9201-4F5B-A96D-3CCDF0422B0C}"/>
              </c:ext>
            </c:extLst>
          </c:dPt>
          <c:cat>
            <c:strRef>
              <c:f>Charts!$D$2:$N$2</c:f>
              <c:strCache>
                <c:ptCount val="11"/>
                <c:pt idx="0">
                  <c:v>Mar-14</c:v>
                </c:pt>
                <c:pt idx="1">
                  <c:v>June-14</c:v>
                </c:pt>
                <c:pt idx="2">
                  <c:v>Sept-14</c:v>
                </c:pt>
                <c:pt idx="3">
                  <c:v>Dec-14</c:v>
                </c:pt>
                <c:pt idx="4">
                  <c:v>Mar-15</c:v>
                </c:pt>
                <c:pt idx="5">
                  <c:v>June-15</c:v>
                </c:pt>
                <c:pt idx="6">
                  <c:v>Sept-15</c:v>
                </c:pt>
                <c:pt idx="7">
                  <c:v>Dec-15</c:v>
                </c:pt>
                <c:pt idx="8">
                  <c:v>Mar-16</c:v>
                </c:pt>
                <c:pt idx="9">
                  <c:v>June-16</c:v>
                </c:pt>
                <c:pt idx="10">
                  <c:v>Sept-16</c:v>
                </c:pt>
              </c:strCache>
            </c:strRef>
          </c:cat>
          <c:val>
            <c:numRef>
              <c:f>Charts!$D$5:$N$5</c:f>
              <c:numCache>
                <c:formatCode>0%</c:formatCode>
                <c:ptCount val="11"/>
                <c:pt idx="0">
                  <c:v>1.18</c:v>
                </c:pt>
                <c:pt idx="1">
                  <c:v>1.23</c:v>
                </c:pt>
                <c:pt idx="2">
                  <c:v>2.74</c:v>
                </c:pt>
                <c:pt idx="3">
                  <c:v>3.35</c:v>
                </c:pt>
                <c:pt idx="4">
                  <c:v>2.85</c:v>
                </c:pt>
                <c:pt idx="5">
                  <c:v>2.2000000000000002</c:v>
                </c:pt>
                <c:pt idx="6">
                  <c:v>0.61</c:v>
                </c:pt>
                <c:pt idx="7">
                  <c:v>0.21</c:v>
                </c:pt>
                <c:pt idx="8">
                  <c:v>0.05</c:v>
                </c:pt>
                <c:pt idx="9">
                  <c:v>0.09</c:v>
                </c:pt>
                <c:pt idx="10">
                  <c:v>0.06</c:v>
                </c:pt>
              </c:numCache>
            </c:numRef>
          </c:val>
          <c:extLst>
            <c:ext xmlns:c16="http://schemas.microsoft.com/office/drawing/2014/chart" uri="{C3380CC4-5D6E-409C-BE32-E72D297353CC}">
              <c16:uniqueId val="{00000004-9201-4F5B-A96D-3CCDF0422B0C}"/>
            </c:ext>
          </c:extLst>
        </c:ser>
        <c:dLbls>
          <c:showLegendKey val="0"/>
          <c:showVal val="0"/>
          <c:showCatName val="0"/>
          <c:showSerName val="0"/>
          <c:showPercent val="0"/>
          <c:showBubbleSize val="0"/>
        </c:dLbls>
        <c:gapWidth val="150"/>
        <c:axId val="145695488"/>
        <c:axId val="145697024"/>
      </c:barChart>
      <c:catAx>
        <c:axId val="145695488"/>
        <c:scaling>
          <c:orientation val="minMax"/>
        </c:scaling>
        <c:delete val="0"/>
        <c:axPos val="b"/>
        <c:numFmt formatCode="[$-409]mmmm\-yy;@" sourceLinked="0"/>
        <c:majorTickMark val="none"/>
        <c:minorTickMark val="none"/>
        <c:tickLblPos val="low"/>
        <c:txPr>
          <a:bodyPr rot="-4440000"/>
          <a:lstStyle/>
          <a:p>
            <a:pPr>
              <a:defRPr/>
            </a:pPr>
            <a:endParaRPr lang="en-US"/>
          </a:p>
        </c:txPr>
        <c:crossAx val="145697024"/>
        <c:crosses val="autoZero"/>
        <c:auto val="1"/>
        <c:lblAlgn val="ctr"/>
        <c:lblOffset val="100"/>
        <c:noMultiLvlLbl val="0"/>
      </c:catAx>
      <c:valAx>
        <c:axId val="145697024"/>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695488"/>
        <c:crosses val="autoZero"/>
        <c:crossBetween val="between"/>
        <c:majorUnit val="0.75000000000000011"/>
      </c:valAx>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500"/>
              <a:t>Facebook User Statistics</a:t>
            </a:r>
          </a:p>
        </c:rich>
      </c:tx>
      <c:layout>
        <c:manualLayout>
          <c:xMode val="edge"/>
          <c:yMode val="edge"/>
          <c:x val="0.3089212039152292"/>
          <c:y val="2.1781368238061153E-2"/>
        </c:manualLayout>
      </c:layout>
      <c:overlay val="0"/>
    </c:title>
    <c:autoTitleDeleted val="0"/>
    <c:plotArea>
      <c:layout>
        <c:manualLayout>
          <c:layoutTarget val="inner"/>
          <c:xMode val="edge"/>
          <c:yMode val="edge"/>
          <c:x val="0.13664692479817697"/>
          <c:y val="0.13799195555101068"/>
          <c:w val="0.74276075870127545"/>
          <c:h val="0.59391587415209457"/>
        </c:manualLayout>
      </c:layout>
      <c:barChart>
        <c:barDir val="col"/>
        <c:grouping val="clustered"/>
        <c:varyColors val="0"/>
        <c:ser>
          <c:idx val="0"/>
          <c:order val="0"/>
          <c:tx>
            <c:strRef>
              <c:f>Charts!$B$6</c:f>
              <c:strCache>
                <c:ptCount val="1"/>
                <c:pt idx="0">
                  <c:v>Monthly Active Users (in millions) </c:v>
                </c:pt>
              </c:strCache>
            </c:strRef>
          </c:tx>
          <c:spPr>
            <a:solidFill>
              <a:schemeClr val="tx1">
                <a:lumMod val="65000"/>
                <a:lumOff val="35000"/>
              </a:schemeClr>
            </a:solidFill>
            <a:ln>
              <a:noFill/>
            </a:ln>
          </c:spPr>
          <c:invertIfNegative val="0"/>
          <c:dPt>
            <c:idx val="5"/>
            <c:invertIfNegative val="0"/>
            <c:bubble3D val="0"/>
            <c:extLst>
              <c:ext xmlns:c16="http://schemas.microsoft.com/office/drawing/2014/chart" uri="{C3380CC4-5D6E-409C-BE32-E72D297353CC}">
                <c16:uniqueId val="{00000000-0D07-46AF-B9CF-F4E65C324AD5}"/>
              </c:ext>
            </c:extLst>
          </c:dPt>
          <c:dPt>
            <c:idx val="6"/>
            <c:invertIfNegative val="0"/>
            <c:bubble3D val="0"/>
            <c:extLst>
              <c:ext xmlns:c16="http://schemas.microsoft.com/office/drawing/2014/chart" uri="{C3380CC4-5D6E-409C-BE32-E72D297353CC}">
                <c16:uniqueId val="{00000001-0D07-46AF-B9CF-F4E65C324AD5}"/>
              </c:ext>
            </c:extLst>
          </c:dPt>
          <c:dPt>
            <c:idx val="9"/>
            <c:invertIfNegative val="0"/>
            <c:bubble3D val="0"/>
            <c:extLst>
              <c:ext xmlns:c16="http://schemas.microsoft.com/office/drawing/2014/chart" uri="{C3380CC4-5D6E-409C-BE32-E72D297353CC}">
                <c16:uniqueId val="{00000002-0D07-46AF-B9CF-F4E65C324AD5}"/>
              </c:ext>
            </c:extLst>
          </c:dPt>
          <c:dPt>
            <c:idx val="11"/>
            <c:invertIfNegative val="0"/>
            <c:bubble3D val="0"/>
            <c:extLst>
              <c:ext xmlns:c16="http://schemas.microsoft.com/office/drawing/2014/chart" uri="{C3380CC4-5D6E-409C-BE32-E72D297353CC}">
                <c16:uniqueId val="{00000003-0D07-46AF-B9CF-F4E65C324AD5}"/>
              </c:ext>
            </c:extLst>
          </c:dPt>
          <c:cat>
            <c:strRef>
              <c:f>Charts!$D$2:$N$2</c:f>
              <c:strCache>
                <c:ptCount val="11"/>
                <c:pt idx="0">
                  <c:v>Mar-14</c:v>
                </c:pt>
                <c:pt idx="1">
                  <c:v>June-14</c:v>
                </c:pt>
                <c:pt idx="2">
                  <c:v>Sept-14</c:v>
                </c:pt>
                <c:pt idx="3">
                  <c:v>Dec-14</c:v>
                </c:pt>
                <c:pt idx="4">
                  <c:v>Mar-15</c:v>
                </c:pt>
                <c:pt idx="5">
                  <c:v>June-15</c:v>
                </c:pt>
                <c:pt idx="6">
                  <c:v>Sept-15</c:v>
                </c:pt>
                <c:pt idx="7">
                  <c:v>Dec-15</c:v>
                </c:pt>
                <c:pt idx="8">
                  <c:v>Mar-16</c:v>
                </c:pt>
                <c:pt idx="9">
                  <c:v>June-16</c:v>
                </c:pt>
                <c:pt idx="10">
                  <c:v>Sept-16</c:v>
                </c:pt>
              </c:strCache>
            </c:strRef>
          </c:cat>
          <c:val>
            <c:numRef>
              <c:f>Charts!$D$6:$N$6</c:f>
              <c:numCache>
                <c:formatCode>_(* #,##0_);_(* \(#,##0\);_(* "-"??_);_(@_)</c:formatCode>
                <c:ptCount val="11"/>
                <c:pt idx="0">
                  <c:v>1276</c:v>
                </c:pt>
                <c:pt idx="1">
                  <c:v>1317</c:v>
                </c:pt>
                <c:pt idx="2">
                  <c:v>1351</c:v>
                </c:pt>
                <c:pt idx="3">
                  <c:v>1394</c:v>
                </c:pt>
                <c:pt idx="4">
                  <c:v>1441</c:v>
                </c:pt>
                <c:pt idx="5">
                  <c:v>1491</c:v>
                </c:pt>
                <c:pt idx="6">
                  <c:v>1546</c:v>
                </c:pt>
                <c:pt idx="7">
                  <c:v>1591</c:v>
                </c:pt>
                <c:pt idx="8">
                  <c:v>1654</c:v>
                </c:pt>
                <c:pt idx="9">
                  <c:v>1712</c:v>
                </c:pt>
                <c:pt idx="10">
                  <c:v>1787</c:v>
                </c:pt>
              </c:numCache>
            </c:numRef>
          </c:val>
          <c:extLst>
            <c:ext xmlns:c16="http://schemas.microsoft.com/office/drawing/2014/chart" uri="{C3380CC4-5D6E-409C-BE32-E72D297353CC}">
              <c16:uniqueId val="{00000004-0D07-46AF-B9CF-F4E65C324AD5}"/>
            </c:ext>
          </c:extLst>
        </c:ser>
        <c:dLbls>
          <c:showLegendKey val="0"/>
          <c:showVal val="0"/>
          <c:showCatName val="0"/>
          <c:showSerName val="0"/>
          <c:showPercent val="0"/>
          <c:showBubbleSize val="0"/>
        </c:dLbls>
        <c:gapWidth val="150"/>
        <c:axId val="145695488"/>
        <c:axId val="145697024"/>
      </c:barChart>
      <c:lineChart>
        <c:grouping val="standard"/>
        <c:varyColors val="0"/>
        <c:ser>
          <c:idx val="1"/>
          <c:order val="1"/>
          <c:tx>
            <c:strRef>
              <c:f>Charts!$B$7</c:f>
              <c:strCache>
                <c:ptCount val="1"/>
                <c:pt idx="0">
                  <c:v>Average Quarterly Revenue Per User (ARPU) </c:v>
                </c:pt>
              </c:strCache>
            </c:strRef>
          </c:tx>
          <c:spPr>
            <a:ln>
              <a:solidFill>
                <a:schemeClr val="tx2">
                  <a:lumMod val="60000"/>
                  <a:lumOff val="40000"/>
                </a:schemeClr>
              </a:solidFill>
            </a:ln>
          </c:spPr>
          <c:marker>
            <c:symbol val="none"/>
          </c:marker>
          <c:val>
            <c:numRef>
              <c:f>Charts!$D$7:$N$7</c:f>
              <c:numCache>
                <c:formatCode>"$"#,##0.00</c:formatCode>
                <c:ptCount val="11"/>
                <c:pt idx="0">
                  <c:v>1.9984025559105432</c:v>
                </c:pt>
                <c:pt idx="1">
                  <c:v>2.2445044350173546</c:v>
                </c:pt>
                <c:pt idx="2">
                  <c:v>2.401049475262369</c:v>
                </c:pt>
                <c:pt idx="3">
                  <c:v>2.8058287795992713</c:v>
                </c:pt>
                <c:pt idx="4">
                  <c:v>2.4994708994708996</c:v>
                </c:pt>
                <c:pt idx="5">
                  <c:v>2.7571623465211461</c:v>
                </c:pt>
                <c:pt idx="6">
                  <c:v>2.9641093184063219</c:v>
                </c:pt>
                <c:pt idx="7">
                  <c:v>3.7239400701306979</c:v>
                </c:pt>
                <c:pt idx="8">
                  <c:v>3.3171032357473034</c:v>
                </c:pt>
                <c:pt idx="9">
                  <c:v>3.8241235888294711</c:v>
                </c:pt>
                <c:pt idx="10">
                  <c:v>4.007430694484138</c:v>
                </c:pt>
              </c:numCache>
            </c:numRef>
          </c:val>
          <c:smooth val="0"/>
          <c:extLst>
            <c:ext xmlns:c16="http://schemas.microsoft.com/office/drawing/2014/chart" uri="{C3380CC4-5D6E-409C-BE32-E72D297353CC}">
              <c16:uniqueId val="{00000005-0D07-46AF-B9CF-F4E65C324AD5}"/>
            </c:ext>
          </c:extLst>
        </c:ser>
        <c:dLbls>
          <c:showLegendKey val="0"/>
          <c:showVal val="0"/>
          <c:showCatName val="0"/>
          <c:showSerName val="0"/>
          <c:showPercent val="0"/>
          <c:showBubbleSize val="0"/>
        </c:dLbls>
        <c:marker val="1"/>
        <c:smooth val="0"/>
        <c:axId val="582878248"/>
        <c:axId val="582872016"/>
      </c:lineChart>
      <c:catAx>
        <c:axId val="145695488"/>
        <c:scaling>
          <c:orientation val="minMax"/>
        </c:scaling>
        <c:delete val="0"/>
        <c:axPos val="b"/>
        <c:numFmt formatCode="[$-409]mmmm\-yy;@" sourceLinked="0"/>
        <c:majorTickMark val="none"/>
        <c:minorTickMark val="none"/>
        <c:tickLblPos val="low"/>
        <c:txPr>
          <a:bodyPr rot="-4440000"/>
          <a:lstStyle/>
          <a:p>
            <a:pPr>
              <a:defRPr/>
            </a:pPr>
            <a:endParaRPr lang="en-US"/>
          </a:p>
        </c:txPr>
        <c:crossAx val="145697024"/>
        <c:crosses val="autoZero"/>
        <c:auto val="1"/>
        <c:lblAlgn val="ctr"/>
        <c:lblOffset val="100"/>
        <c:noMultiLvlLbl val="0"/>
      </c:catAx>
      <c:valAx>
        <c:axId val="145697024"/>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695488"/>
        <c:crosses val="autoZero"/>
        <c:crossBetween val="between"/>
        <c:majorUnit val="500"/>
      </c:valAx>
      <c:valAx>
        <c:axId val="582872016"/>
        <c:scaling>
          <c:orientation val="minMax"/>
        </c:scaling>
        <c:delete val="0"/>
        <c:axPos val="r"/>
        <c:numFmt formatCode="&quot;$&quot;#,##0.00" sourceLinked="1"/>
        <c:majorTickMark val="out"/>
        <c:minorTickMark val="none"/>
        <c:tickLblPos val="nextTo"/>
        <c:crossAx val="582878248"/>
        <c:crosses val="max"/>
        <c:crossBetween val="between"/>
      </c:valAx>
      <c:catAx>
        <c:axId val="582878248"/>
        <c:scaling>
          <c:orientation val="minMax"/>
        </c:scaling>
        <c:delete val="1"/>
        <c:axPos val="b"/>
        <c:majorTickMark val="out"/>
        <c:minorTickMark val="none"/>
        <c:tickLblPos val="nextTo"/>
        <c:crossAx val="582872016"/>
        <c:crosses val="autoZero"/>
        <c:auto val="1"/>
        <c:lblAlgn val="ctr"/>
        <c:lblOffset val="100"/>
        <c:noMultiLvlLbl val="0"/>
      </c:catAx>
    </c:plotArea>
    <c:legend>
      <c:legendPos val="b"/>
      <c:layout>
        <c:manualLayout>
          <c:xMode val="edge"/>
          <c:yMode val="edge"/>
          <c:x val="5.959583633831092E-2"/>
          <c:y val="0.91306098101373689"/>
          <c:w val="0.89999988666401964"/>
          <c:h val="7.8281010328254422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236802</xdr:colOff>
      <xdr:row>36</xdr:row>
      <xdr:rowOff>0</xdr:rowOff>
    </xdr:from>
    <xdr:to>
      <xdr:col>11</xdr:col>
      <xdr:colOff>718343</xdr:colOff>
      <xdr:row>36</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40006</xdr:colOff>
      <xdr:row>9</xdr:row>
      <xdr:rowOff>38101</xdr:rowOff>
    </xdr:from>
    <xdr:to>
      <xdr:col>2</xdr:col>
      <xdr:colOff>0</xdr:colOff>
      <xdr:row>10</xdr:row>
      <xdr:rowOff>1</xdr:rowOff>
    </xdr:to>
    <xdr:graphicFrame macro="">
      <xdr:nvGraphicFramePr>
        <xdr:cNvPr id="3" name="Chart 2">
          <a:extLst>
            <a:ext uri="{FF2B5EF4-FFF2-40B4-BE49-F238E27FC236}">
              <a16:creationId xmlns:a16="http://schemas.microsoft.com/office/drawing/2014/main" id="{6FCF9DEF-C89B-46A9-AB8E-79213B2B21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22860</xdr:colOff>
      <xdr:row>9</xdr:row>
      <xdr:rowOff>30480</xdr:rowOff>
    </xdr:from>
    <xdr:to>
      <xdr:col>11</xdr:col>
      <xdr:colOff>13334</xdr:colOff>
      <xdr:row>9</xdr:row>
      <xdr:rowOff>2964180</xdr:rowOff>
    </xdr:to>
    <xdr:graphicFrame macro="">
      <xdr:nvGraphicFramePr>
        <xdr:cNvPr id="22" name="Chart 21">
          <a:extLst>
            <a:ext uri="{FF2B5EF4-FFF2-40B4-BE49-F238E27FC236}">
              <a16:creationId xmlns:a16="http://schemas.microsoft.com/office/drawing/2014/main" id="{C79224B7-7896-4EEB-980A-9617CEC459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15240</xdr:colOff>
      <xdr:row>13</xdr:row>
      <xdr:rowOff>114300</xdr:rowOff>
    </xdr:from>
    <xdr:to>
      <xdr:col>1</xdr:col>
      <xdr:colOff>5309234</xdr:colOff>
      <xdr:row>29</xdr:row>
      <xdr:rowOff>121920</xdr:rowOff>
    </xdr:to>
    <xdr:graphicFrame macro="">
      <xdr:nvGraphicFramePr>
        <xdr:cNvPr id="27" name="Chart 26">
          <a:extLst>
            <a:ext uri="{FF2B5EF4-FFF2-40B4-BE49-F238E27FC236}">
              <a16:creationId xmlns:a16="http://schemas.microsoft.com/office/drawing/2014/main" id="{E0C320E3-BB85-425F-8A21-C87389B58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wner\Documents\Articles%20(10-8-2015)\Apple\Apple%20Model%209-3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rnings Model"/>
      <sheetName val="BOTE"/>
      <sheetName val="Estimates by Analyst"/>
      <sheetName val="After Earnings"/>
      <sheetName val="Charts"/>
      <sheetName val="Terms of Use"/>
    </sheetNames>
    <sheetDataSet>
      <sheetData sheetId="0"/>
      <sheetData sheetId="1"/>
      <sheetData sheetId="2">
        <row r="6">
          <cell r="B6" t="str">
            <v>Raymond James</v>
          </cell>
          <cell r="C6" t="str">
            <v>TAVIS C MCCOURT</v>
          </cell>
          <cell r="D6" t="str">
            <v>market perform</v>
          </cell>
          <cell r="E6">
            <v>42209</v>
          </cell>
          <cell r="F6">
            <v>0</v>
          </cell>
          <cell r="G6">
            <v>14314</v>
          </cell>
          <cell r="H6">
            <v>10550</v>
          </cell>
          <cell r="I6">
            <v>50163</v>
          </cell>
          <cell r="J6">
            <v>13914</v>
          </cell>
          <cell r="K6">
            <v>1.84</v>
          </cell>
          <cell r="L6">
            <v>33.299999999999997</v>
          </cell>
          <cell r="M6">
            <v>-146185</v>
          </cell>
        </row>
        <row r="7">
          <cell r="B7" t="str">
            <v>Exane BNP Paribas</v>
          </cell>
          <cell r="C7" t="str">
            <v>ALEXANDER PETERC</v>
          </cell>
          <cell r="D7" t="str">
            <v>outperform</v>
          </cell>
          <cell r="E7">
            <v>42209</v>
          </cell>
          <cell r="F7">
            <v>150</v>
          </cell>
          <cell r="G7">
            <v>0</v>
          </cell>
          <cell r="H7">
            <v>0</v>
          </cell>
          <cell r="I7">
            <v>0</v>
          </cell>
          <cell r="J7">
            <v>0</v>
          </cell>
          <cell r="K7">
            <v>0</v>
          </cell>
          <cell r="L7">
            <v>0</v>
          </cell>
          <cell r="M7">
            <v>0</v>
          </cell>
        </row>
        <row r="8">
          <cell r="B8" t="str">
            <v>Morgan Stanley</v>
          </cell>
          <cell r="C8" t="str">
            <v>KATHRYN HUBERTY</v>
          </cell>
          <cell r="D8" t="str">
            <v>Overwt/Cautious</v>
          </cell>
          <cell r="E8">
            <v>42208</v>
          </cell>
          <cell r="F8">
            <v>155</v>
          </cell>
          <cell r="G8">
            <v>0</v>
          </cell>
          <cell r="H8">
            <v>0</v>
          </cell>
          <cell r="I8">
            <v>0</v>
          </cell>
          <cell r="J8">
            <v>0</v>
          </cell>
          <cell r="K8">
            <v>0</v>
          </cell>
          <cell r="L8">
            <v>0</v>
          </cell>
          <cell r="M8">
            <v>0</v>
          </cell>
        </row>
        <row r="9">
          <cell r="B9" t="str">
            <v>BMO Capital Markets</v>
          </cell>
          <cell r="C9" t="str">
            <v>KEITH F BACHMAN</v>
          </cell>
          <cell r="D9" t="str">
            <v>outperform</v>
          </cell>
          <cell r="E9">
            <v>42207</v>
          </cell>
          <cell r="F9">
            <v>145</v>
          </cell>
          <cell r="G9">
            <v>0</v>
          </cell>
          <cell r="H9">
            <v>0</v>
          </cell>
          <cell r="I9">
            <v>0</v>
          </cell>
          <cell r="J9">
            <v>0</v>
          </cell>
          <cell r="K9">
            <v>0</v>
          </cell>
          <cell r="L9">
            <v>0</v>
          </cell>
          <cell r="M9">
            <v>0</v>
          </cell>
        </row>
        <row r="10">
          <cell r="B10" t="str">
            <v>Societe Generale</v>
          </cell>
          <cell r="C10" t="str">
            <v>ANDY PERKINS</v>
          </cell>
          <cell r="D10" t="str">
            <v>buy</v>
          </cell>
          <cell r="E10">
            <v>42207</v>
          </cell>
          <cell r="F10">
            <v>140</v>
          </cell>
          <cell r="G10">
            <v>14395</v>
          </cell>
          <cell r="H10">
            <v>10652</v>
          </cell>
          <cell r="I10">
            <v>49101</v>
          </cell>
          <cell r="J10">
            <v>0</v>
          </cell>
          <cell r="K10">
            <v>1.87</v>
          </cell>
          <cell r="L10">
            <v>0</v>
          </cell>
          <cell r="M10">
            <v>0</v>
          </cell>
        </row>
        <row r="11">
          <cell r="B11" t="str">
            <v>ABG Sundal Collier</v>
          </cell>
          <cell r="C11" t="str">
            <v>PER LINDBERG</v>
          </cell>
          <cell r="D11" t="str">
            <v>sell</v>
          </cell>
          <cell r="E11">
            <v>42207</v>
          </cell>
          <cell r="F11">
            <v>65</v>
          </cell>
          <cell r="G11">
            <v>0</v>
          </cell>
          <cell r="H11">
            <v>0</v>
          </cell>
          <cell r="I11">
            <v>0</v>
          </cell>
          <cell r="J11">
            <v>0</v>
          </cell>
          <cell r="K11">
            <v>0</v>
          </cell>
          <cell r="L11">
            <v>0</v>
          </cell>
          <cell r="M11">
            <v>0</v>
          </cell>
        </row>
        <row r="12">
          <cell r="B12" t="str">
            <v>RBC Capital Markets</v>
          </cell>
          <cell r="C12" t="str">
            <v>AMIT DARYANANI</v>
          </cell>
          <cell r="D12" t="str">
            <v>outperform</v>
          </cell>
          <cell r="E12">
            <v>42207</v>
          </cell>
          <cell r="F12">
            <v>150</v>
          </cell>
          <cell r="G12">
            <v>0</v>
          </cell>
          <cell r="H12">
            <v>0</v>
          </cell>
          <cell r="I12">
            <v>0</v>
          </cell>
          <cell r="J12">
            <v>0</v>
          </cell>
          <cell r="K12">
            <v>0</v>
          </cell>
          <cell r="L12">
            <v>0</v>
          </cell>
          <cell r="M12">
            <v>0</v>
          </cell>
        </row>
        <row r="13">
          <cell r="B13" t="str">
            <v>Argus Research Corp</v>
          </cell>
          <cell r="C13" t="str">
            <v>JAMES KELLEHER</v>
          </cell>
          <cell r="D13" t="str">
            <v>buy</v>
          </cell>
          <cell r="E13">
            <v>42207</v>
          </cell>
          <cell r="F13">
            <v>145</v>
          </cell>
          <cell r="G13">
            <v>0</v>
          </cell>
          <cell r="H13">
            <v>0</v>
          </cell>
          <cell r="I13">
            <v>51300</v>
          </cell>
          <cell r="J13">
            <v>0</v>
          </cell>
          <cell r="K13">
            <v>1.81</v>
          </cell>
          <cell r="L13">
            <v>0</v>
          </cell>
          <cell r="M13">
            <v>0</v>
          </cell>
        </row>
        <row r="14">
          <cell r="B14" t="str">
            <v>Brean Capital LLC</v>
          </cell>
          <cell r="C14" t="str">
            <v>ANANDA BARUAH</v>
          </cell>
          <cell r="D14" t="str">
            <v>buy</v>
          </cell>
          <cell r="E14">
            <v>42207</v>
          </cell>
          <cell r="F14">
            <v>170</v>
          </cell>
          <cell r="G14">
            <v>14482</v>
          </cell>
          <cell r="H14">
            <v>10934</v>
          </cell>
          <cell r="I14">
            <v>51300</v>
          </cell>
          <cell r="J14">
            <v>0</v>
          </cell>
          <cell r="K14">
            <v>1.91</v>
          </cell>
          <cell r="L14">
            <v>0</v>
          </cell>
          <cell r="M14">
            <v>0</v>
          </cell>
        </row>
        <row r="15">
          <cell r="B15" t="str">
            <v>Credit Suisse</v>
          </cell>
          <cell r="C15" t="str">
            <v>KULBINDER GARCHA</v>
          </cell>
          <cell r="D15" t="str">
            <v>outperform</v>
          </cell>
          <cell r="E15">
            <v>42207</v>
          </cell>
          <cell r="F15">
            <v>145</v>
          </cell>
          <cell r="G15">
            <v>0</v>
          </cell>
          <cell r="H15">
            <v>0</v>
          </cell>
          <cell r="I15">
            <v>0</v>
          </cell>
          <cell r="J15">
            <v>0</v>
          </cell>
          <cell r="K15">
            <v>0</v>
          </cell>
          <cell r="L15">
            <v>0</v>
          </cell>
          <cell r="M15">
            <v>0</v>
          </cell>
        </row>
        <row r="16">
          <cell r="B16" t="str">
            <v>Hilliard Lyons</v>
          </cell>
          <cell r="C16" t="str">
            <v>STEPHEN TURNER</v>
          </cell>
          <cell r="D16" t="str">
            <v>long-term buy</v>
          </cell>
          <cell r="E16">
            <v>42207</v>
          </cell>
          <cell r="F16">
            <v>154</v>
          </cell>
          <cell r="G16">
            <v>14643</v>
          </cell>
          <cell r="H16">
            <v>10792</v>
          </cell>
          <cell r="I16">
            <v>51383</v>
          </cell>
          <cell r="J16">
            <v>0</v>
          </cell>
          <cell r="K16">
            <v>1.9</v>
          </cell>
          <cell r="L16">
            <v>0</v>
          </cell>
          <cell r="M16">
            <v>0</v>
          </cell>
        </row>
        <row r="17">
          <cell r="B17" t="str">
            <v>JPMorgan</v>
          </cell>
          <cell r="C17" t="str">
            <v>ROD HALL</v>
          </cell>
          <cell r="D17" t="str">
            <v>overweight</v>
          </cell>
          <cell r="E17">
            <v>42207</v>
          </cell>
          <cell r="F17">
            <v>145</v>
          </cell>
          <cell r="G17">
            <v>0</v>
          </cell>
          <cell r="H17">
            <v>0</v>
          </cell>
          <cell r="I17">
            <v>0</v>
          </cell>
          <cell r="J17">
            <v>0</v>
          </cell>
          <cell r="K17">
            <v>0</v>
          </cell>
          <cell r="L17">
            <v>0</v>
          </cell>
          <cell r="M17">
            <v>0</v>
          </cell>
        </row>
        <row r="18">
          <cell r="B18" t="str">
            <v>Jefferies</v>
          </cell>
          <cell r="C18" t="str">
            <v>SUNDEEP BAJIKAR</v>
          </cell>
          <cell r="D18" t="str">
            <v>hold</v>
          </cell>
          <cell r="E18">
            <v>42207</v>
          </cell>
          <cell r="F18">
            <v>135</v>
          </cell>
          <cell r="G18">
            <v>14046</v>
          </cell>
          <cell r="H18">
            <v>10352</v>
          </cell>
          <cell r="I18">
            <v>50185</v>
          </cell>
          <cell r="J18">
            <v>13816</v>
          </cell>
          <cell r="K18">
            <v>1.81</v>
          </cell>
          <cell r="L18">
            <v>0</v>
          </cell>
          <cell r="M18">
            <v>0</v>
          </cell>
        </row>
        <row r="19">
          <cell r="B19" t="str">
            <v>Robert W. Baird &amp; Co</v>
          </cell>
          <cell r="C19" t="str">
            <v>WILLIAM V POWER</v>
          </cell>
          <cell r="D19" t="str">
            <v>outperform</v>
          </cell>
          <cell r="E19">
            <v>42207</v>
          </cell>
          <cell r="F19">
            <v>155</v>
          </cell>
          <cell r="G19">
            <v>0</v>
          </cell>
          <cell r="H19">
            <v>0</v>
          </cell>
          <cell r="I19">
            <v>0</v>
          </cell>
          <cell r="J19">
            <v>0</v>
          </cell>
          <cell r="K19">
            <v>0</v>
          </cell>
          <cell r="L19">
            <v>0</v>
          </cell>
          <cell r="M19">
            <v>0</v>
          </cell>
        </row>
        <row r="20">
          <cell r="B20" t="str">
            <v>FBR Capital Markets</v>
          </cell>
          <cell r="C20" t="str">
            <v>DANIEL H IVES</v>
          </cell>
          <cell r="D20" t="str">
            <v>outperform</v>
          </cell>
          <cell r="E20">
            <v>42207</v>
          </cell>
          <cell r="F20">
            <v>175</v>
          </cell>
          <cell r="G20">
            <v>14400</v>
          </cell>
          <cell r="H20">
            <v>10400</v>
          </cell>
          <cell r="I20">
            <v>50900</v>
          </cell>
          <cell r="J20">
            <v>0</v>
          </cell>
          <cell r="K20">
            <v>1.89</v>
          </cell>
          <cell r="L20">
            <v>0</v>
          </cell>
          <cell r="M20">
            <v>0</v>
          </cell>
        </row>
        <row r="21">
          <cell r="B21" t="str">
            <v>Macquarie</v>
          </cell>
          <cell r="C21" t="str">
            <v>BENJAMIN A SCHACHTER</v>
          </cell>
          <cell r="D21" t="str">
            <v>outperform</v>
          </cell>
          <cell r="E21">
            <v>42207</v>
          </cell>
          <cell r="F21">
            <v>140</v>
          </cell>
          <cell r="G21">
            <v>0</v>
          </cell>
          <cell r="H21">
            <v>0</v>
          </cell>
          <cell r="I21">
            <v>0</v>
          </cell>
          <cell r="J21">
            <v>0</v>
          </cell>
          <cell r="K21">
            <v>0</v>
          </cell>
          <cell r="L21">
            <v>0</v>
          </cell>
          <cell r="M21">
            <v>0</v>
          </cell>
        </row>
        <row r="22">
          <cell r="B22" t="str">
            <v>Cantor Fitzgerald</v>
          </cell>
          <cell r="C22" t="str">
            <v>BRIAN J WHITE</v>
          </cell>
          <cell r="D22" t="str">
            <v>buy</v>
          </cell>
          <cell r="E22">
            <v>42207</v>
          </cell>
          <cell r="F22">
            <v>195</v>
          </cell>
          <cell r="G22">
            <v>0</v>
          </cell>
          <cell r="H22">
            <v>0</v>
          </cell>
          <cell r="I22">
            <v>0</v>
          </cell>
          <cell r="J22">
            <v>0</v>
          </cell>
          <cell r="K22">
            <v>0</v>
          </cell>
          <cell r="L22">
            <v>0</v>
          </cell>
          <cell r="M22">
            <v>0</v>
          </cell>
        </row>
        <row r="23">
          <cell r="B23" t="str">
            <v>Stifel</v>
          </cell>
          <cell r="C23" t="str">
            <v>AARON C RAKERS</v>
          </cell>
          <cell r="D23" t="str">
            <v>buy</v>
          </cell>
          <cell r="E23">
            <v>42207</v>
          </cell>
          <cell r="F23">
            <v>150</v>
          </cell>
          <cell r="G23">
            <v>14315</v>
          </cell>
          <cell r="H23">
            <v>10550</v>
          </cell>
          <cell r="I23">
            <v>50235</v>
          </cell>
          <cell r="J23">
            <v>13915</v>
          </cell>
          <cell r="K23">
            <v>1.85</v>
          </cell>
          <cell r="L23">
            <v>0</v>
          </cell>
          <cell r="M23">
            <v>0</v>
          </cell>
        </row>
        <row r="24">
          <cell r="B24" t="str">
            <v>Berenberg</v>
          </cell>
          <cell r="C24" t="str">
            <v>ADNAAN AHMAD</v>
          </cell>
          <cell r="D24" t="str">
            <v>sell</v>
          </cell>
          <cell r="E24">
            <v>42207</v>
          </cell>
          <cell r="F24">
            <v>85</v>
          </cell>
          <cell r="G24">
            <v>0</v>
          </cell>
          <cell r="H24">
            <v>0</v>
          </cell>
          <cell r="I24">
            <v>0</v>
          </cell>
          <cell r="J24">
            <v>0</v>
          </cell>
          <cell r="K24">
            <v>0</v>
          </cell>
          <cell r="L24">
            <v>0</v>
          </cell>
          <cell r="M24">
            <v>0</v>
          </cell>
        </row>
        <row r="25">
          <cell r="B25" t="str">
            <v>Oppenheimer &amp; Co</v>
          </cell>
          <cell r="C25" t="str">
            <v>ANDREW UERKWITZ</v>
          </cell>
          <cell r="D25" t="str">
            <v>outperform</v>
          </cell>
          <cell r="E25">
            <v>42207</v>
          </cell>
          <cell r="F25">
            <v>155</v>
          </cell>
          <cell r="G25">
            <v>14469</v>
          </cell>
          <cell r="H25">
            <v>11600</v>
          </cell>
          <cell r="I25">
            <v>51071</v>
          </cell>
          <cell r="J25">
            <v>0</v>
          </cell>
          <cell r="K25">
            <v>2.0299999999999998</v>
          </cell>
          <cell r="L25">
            <v>33.9</v>
          </cell>
          <cell r="M25">
            <v>0</v>
          </cell>
        </row>
        <row r="26">
          <cell r="B26" t="str">
            <v>Wells Fargo Securities</v>
          </cell>
          <cell r="C26" t="str">
            <v>MAYNARD UM</v>
          </cell>
          <cell r="D26" t="str">
            <v>market perform</v>
          </cell>
          <cell r="E26">
            <v>42207</v>
          </cell>
          <cell r="F26">
            <v>0</v>
          </cell>
          <cell r="G26">
            <v>0</v>
          </cell>
          <cell r="H26">
            <v>0</v>
          </cell>
          <cell r="I26">
            <v>0</v>
          </cell>
          <cell r="J26">
            <v>0</v>
          </cell>
          <cell r="K26">
            <v>0</v>
          </cell>
          <cell r="L26">
            <v>0</v>
          </cell>
          <cell r="M26">
            <v>0</v>
          </cell>
        </row>
        <row r="27">
          <cell r="B27" t="str">
            <v>Cowen and Company</v>
          </cell>
          <cell r="C27" t="str">
            <v>TIMOTHY M ARCURI</v>
          </cell>
          <cell r="D27" t="str">
            <v>market perform</v>
          </cell>
          <cell r="E27">
            <v>42207</v>
          </cell>
          <cell r="F27">
            <v>130</v>
          </cell>
          <cell r="G27">
            <v>0</v>
          </cell>
          <cell r="H27">
            <v>0</v>
          </cell>
          <cell r="I27">
            <v>0</v>
          </cell>
          <cell r="J27">
            <v>0</v>
          </cell>
          <cell r="K27">
            <v>0</v>
          </cell>
          <cell r="L27">
            <v>0</v>
          </cell>
          <cell r="M27">
            <v>0</v>
          </cell>
        </row>
        <row r="28">
          <cell r="B28" t="str">
            <v>JMP Securities</v>
          </cell>
          <cell r="C28" t="str">
            <v>ALEX GAUNA</v>
          </cell>
          <cell r="D28" t="str">
            <v>market outperform</v>
          </cell>
          <cell r="E28">
            <v>42207</v>
          </cell>
          <cell r="F28">
            <v>150</v>
          </cell>
          <cell r="G28">
            <v>0</v>
          </cell>
          <cell r="H28">
            <v>0</v>
          </cell>
          <cell r="I28">
            <v>0</v>
          </cell>
          <cell r="J28">
            <v>0</v>
          </cell>
          <cell r="K28">
            <v>0</v>
          </cell>
          <cell r="L28">
            <v>0</v>
          </cell>
          <cell r="M28">
            <v>0</v>
          </cell>
        </row>
        <row r="29">
          <cell r="B29" t="str">
            <v>Maxim Group LLC</v>
          </cell>
          <cell r="C29" t="str">
            <v>NEHAL CHOKSHI</v>
          </cell>
          <cell r="D29" t="str">
            <v>hold</v>
          </cell>
          <cell r="E29">
            <v>42207</v>
          </cell>
          <cell r="F29">
            <v>144</v>
          </cell>
          <cell r="G29">
            <v>13770</v>
          </cell>
          <cell r="H29">
            <v>10158</v>
          </cell>
          <cell r="I29">
            <v>50070</v>
          </cell>
          <cell r="J29">
            <v>13459</v>
          </cell>
          <cell r="K29">
            <v>1.77</v>
          </cell>
          <cell r="L29">
            <v>0</v>
          </cell>
          <cell r="M29">
            <v>-142758</v>
          </cell>
        </row>
        <row r="30">
          <cell r="B30" t="str">
            <v>Susquehanna Financial Group</v>
          </cell>
          <cell r="C30" t="str">
            <v>CHRISTOPHER CASO</v>
          </cell>
          <cell r="D30" t="str">
            <v>Positive</v>
          </cell>
          <cell r="E30">
            <v>42207</v>
          </cell>
          <cell r="F30">
            <v>155</v>
          </cell>
          <cell r="G30">
            <v>14056</v>
          </cell>
          <cell r="H30">
            <v>10366</v>
          </cell>
          <cell r="I30">
            <v>50087</v>
          </cell>
          <cell r="J30">
            <v>0</v>
          </cell>
          <cell r="K30">
            <v>1.8</v>
          </cell>
          <cell r="L30">
            <v>0</v>
          </cell>
          <cell r="M30">
            <v>0</v>
          </cell>
        </row>
        <row r="31">
          <cell r="B31" t="str">
            <v>Atlantic Equities LLP</v>
          </cell>
          <cell r="C31" t="str">
            <v>JAMES CORDWELL</v>
          </cell>
          <cell r="D31" t="str">
            <v>overweight</v>
          </cell>
          <cell r="E31">
            <v>42207</v>
          </cell>
          <cell r="F31">
            <v>150</v>
          </cell>
          <cell r="G31">
            <v>14523</v>
          </cell>
          <cell r="H31">
            <v>10704</v>
          </cell>
          <cell r="I31">
            <v>51212</v>
          </cell>
          <cell r="J31">
            <v>0</v>
          </cell>
          <cell r="K31">
            <v>1.87</v>
          </cell>
          <cell r="L31">
            <v>0</v>
          </cell>
          <cell r="M31">
            <v>0</v>
          </cell>
        </row>
        <row r="32">
          <cell r="B32" t="str">
            <v>Cross Research</v>
          </cell>
          <cell r="C32" t="str">
            <v>SHANNON S CROSS</v>
          </cell>
          <cell r="D32" t="str">
            <v>buy</v>
          </cell>
          <cell r="E32">
            <v>42207</v>
          </cell>
          <cell r="F32">
            <v>150</v>
          </cell>
          <cell r="G32">
            <v>14485</v>
          </cell>
          <cell r="H32">
            <v>10647</v>
          </cell>
          <cell r="I32">
            <v>50514</v>
          </cell>
          <cell r="J32">
            <v>0</v>
          </cell>
          <cell r="K32">
            <v>1.86</v>
          </cell>
          <cell r="L32">
            <v>0</v>
          </cell>
          <cell r="M32">
            <v>0</v>
          </cell>
        </row>
        <row r="33">
          <cell r="B33" t="str">
            <v>Piper Jaffray</v>
          </cell>
          <cell r="C33" t="str">
            <v>EUGENE E MUNSTER</v>
          </cell>
          <cell r="D33" t="str">
            <v>overweight</v>
          </cell>
          <cell r="E33">
            <v>42207</v>
          </cell>
          <cell r="F33">
            <v>172</v>
          </cell>
          <cell r="G33">
            <v>0</v>
          </cell>
          <cell r="H33">
            <v>0</v>
          </cell>
          <cell r="I33">
            <v>0</v>
          </cell>
          <cell r="J33">
            <v>0</v>
          </cell>
          <cell r="K33">
            <v>0</v>
          </cell>
          <cell r="L33">
            <v>0</v>
          </cell>
          <cell r="M33">
            <v>0</v>
          </cell>
        </row>
        <row r="34">
          <cell r="B34" t="str">
            <v>FBN Securities</v>
          </cell>
          <cell r="C34" t="str">
            <v>SHEBLY SEYRAFI</v>
          </cell>
          <cell r="D34" t="str">
            <v>outperform</v>
          </cell>
          <cell r="E34">
            <v>42207</v>
          </cell>
          <cell r="F34">
            <v>150</v>
          </cell>
          <cell r="G34">
            <v>14745</v>
          </cell>
          <cell r="H34">
            <v>10867</v>
          </cell>
          <cell r="I34">
            <v>51554</v>
          </cell>
          <cell r="J34">
            <v>0</v>
          </cell>
          <cell r="K34">
            <v>1.9</v>
          </cell>
          <cell r="L34">
            <v>29.2</v>
          </cell>
          <cell r="M34">
            <v>-160538</v>
          </cell>
        </row>
        <row r="35">
          <cell r="B35" t="str">
            <v>Pacific Crest Securities</v>
          </cell>
          <cell r="C35" t="str">
            <v>ANDY HARGREAVES</v>
          </cell>
          <cell r="D35" t="str">
            <v>sector weight</v>
          </cell>
          <cell r="E35">
            <v>42206</v>
          </cell>
          <cell r="F35">
            <v>0</v>
          </cell>
          <cell r="G35">
            <v>0</v>
          </cell>
          <cell r="H35">
            <v>0</v>
          </cell>
          <cell r="I35">
            <v>0</v>
          </cell>
          <cell r="J35">
            <v>0</v>
          </cell>
          <cell r="K35">
            <v>0</v>
          </cell>
          <cell r="L35">
            <v>0</v>
          </cell>
          <cell r="M35">
            <v>0</v>
          </cell>
        </row>
        <row r="36">
          <cell r="B36" t="str">
            <v>William Blair &amp; Co</v>
          </cell>
          <cell r="C36" t="str">
            <v>ANIL K DORADLA</v>
          </cell>
          <cell r="D36" t="str">
            <v>outperform</v>
          </cell>
          <cell r="E36">
            <v>42206</v>
          </cell>
          <cell r="F36">
            <v>0</v>
          </cell>
          <cell r="G36">
            <v>14190</v>
          </cell>
          <cell r="H36">
            <v>10458</v>
          </cell>
          <cell r="I36">
            <v>50511</v>
          </cell>
          <cell r="J36">
            <v>0</v>
          </cell>
          <cell r="K36">
            <v>1.82</v>
          </cell>
          <cell r="L36">
            <v>0</v>
          </cell>
          <cell r="M36">
            <v>0</v>
          </cell>
        </row>
        <row r="37">
          <cell r="B37" t="str">
            <v>Canaccord Genuity Corp</v>
          </cell>
          <cell r="C37" t="str">
            <v>T MICHAEL WALKLEY</v>
          </cell>
          <cell r="D37" t="str">
            <v>buy</v>
          </cell>
          <cell r="E37">
            <v>42206</v>
          </cell>
          <cell r="F37">
            <v>155</v>
          </cell>
          <cell r="G37">
            <v>0</v>
          </cell>
          <cell r="H37">
            <v>0</v>
          </cell>
          <cell r="I37">
            <v>0</v>
          </cell>
          <cell r="J37">
            <v>0</v>
          </cell>
          <cell r="K37">
            <v>0</v>
          </cell>
          <cell r="L37">
            <v>0</v>
          </cell>
          <cell r="M37">
            <v>0</v>
          </cell>
        </row>
        <row r="38">
          <cell r="B38" t="str">
            <v>BGC Partners</v>
          </cell>
          <cell r="C38" t="str">
            <v>COLIN W GILLIS</v>
          </cell>
          <cell r="D38" t="str">
            <v>hold</v>
          </cell>
          <cell r="E38">
            <v>42206</v>
          </cell>
          <cell r="F38">
            <v>115</v>
          </cell>
          <cell r="G38">
            <v>14341</v>
          </cell>
          <cell r="H38">
            <v>10584</v>
          </cell>
          <cell r="I38">
            <v>51811</v>
          </cell>
          <cell r="J38">
            <v>0</v>
          </cell>
          <cell r="K38">
            <v>1.84</v>
          </cell>
          <cell r="L38">
            <v>0</v>
          </cell>
          <cell r="M38">
            <v>0</v>
          </cell>
        </row>
        <row r="39">
          <cell r="B39" t="str">
            <v>BTIG LLC</v>
          </cell>
          <cell r="C39" t="str">
            <v>WALTER P PIECYK JR</v>
          </cell>
          <cell r="D39" t="str">
            <v>buy</v>
          </cell>
          <cell r="E39">
            <v>42206</v>
          </cell>
          <cell r="F39">
            <v>160</v>
          </cell>
          <cell r="G39">
            <v>14761</v>
          </cell>
          <cell r="H39">
            <v>10879</v>
          </cell>
          <cell r="I39">
            <v>51168</v>
          </cell>
          <cell r="J39">
            <v>0</v>
          </cell>
          <cell r="K39">
            <v>1.92</v>
          </cell>
          <cell r="L39">
            <v>0</v>
          </cell>
          <cell r="M39">
            <v>-145107</v>
          </cell>
        </row>
        <row r="40">
          <cell r="B40" t="str">
            <v>Edward Jones</v>
          </cell>
          <cell r="C40" t="str">
            <v>WILLIAM C KREHER</v>
          </cell>
          <cell r="D40" t="str">
            <v>hold</v>
          </cell>
          <cell r="E40">
            <v>42179</v>
          </cell>
          <cell r="F40">
            <v>0</v>
          </cell>
          <cell r="G40">
            <v>0</v>
          </cell>
          <cell r="H40">
            <v>0</v>
          </cell>
          <cell r="I40">
            <v>0</v>
          </cell>
          <cell r="J40">
            <v>0</v>
          </cell>
          <cell r="K40">
            <v>0</v>
          </cell>
          <cell r="L40">
            <v>0</v>
          </cell>
          <cell r="M40">
            <v>0</v>
          </cell>
        </row>
        <row r="41">
          <cell r="B41" t="str">
            <v>EVA Dimensions</v>
          </cell>
          <cell r="C41" t="str">
            <v>AUSTIN BURKETT</v>
          </cell>
          <cell r="D41" t="str">
            <v>hold</v>
          </cell>
          <cell r="E41">
            <v>42160</v>
          </cell>
          <cell r="F41">
            <v>0</v>
          </cell>
          <cell r="G41">
            <v>0</v>
          </cell>
          <cell r="H41">
            <v>0</v>
          </cell>
          <cell r="I41">
            <v>0</v>
          </cell>
          <cell r="J41">
            <v>0</v>
          </cell>
          <cell r="K41">
            <v>0</v>
          </cell>
          <cell r="L41">
            <v>0</v>
          </cell>
          <cell r="M41">
            <v>0</v>
          </cell>
        </row>
        <row r="42">
          <cell r="B42" t="str">
            <v>Ameriprise Advisor Services, Inc</v>
          </cell>
          <cell r="C42" t="str">
            <v>JUSTIN H BURGIN</v>
          </cell>
          <cell r="D42" t="str">
            <v>buy</v>
          </cell>
          <cell r="E42">
            <v>42131</v>
          </cell>
          <cell r="F42">
            <v>0</v>
          </cell>
          <cell r="G42">
            <v>0</v>
          </cell>
          <cell r="H42">
            <v>0</v>
          </cell>
          <cell r="I42">
            <v>0</v>
          </cell>
          <cell r="J42">
            <v>0</v>
          </cell>
          <cell r="K42">
            <v>0</v>
          </cell>
          <cell r="L42">
            <v>0</v>
          </cell>
          <cell r="M42">
            <v>0</v>
          </cell>
        </row>
        <row r="43">
          <cell r="B43" t="str">
            <v>Daiwa Securities Co. Ltd.</v>
          </cell>
          <cell r="C43" t="str">
            <v>YOKO YAMADA</v>
          </cell>
          <cell r="D43" t="str">
            <v>outperform</v>
          </cell>
          <cell r="E43">
            <v>42125</v>
          </cell>
          <cell r="F43">
            <v>137</v>
          </cell>
          <cell r="G43">
            <v>0</v>
          </cell>
          <cell r="H43">
            <v>0</v>
          </cell>
          <cell r="I43">
            <v>0</v>
          </cell>
          <cell r="J43">
            <v>0</v>
          </cell>
          <cell r="K43">
            <v>0</v>
          </cell>
          <cell r="L43">
            <v>0</v>
          </cell>
          <cell r="M43">
            <v>0</v>
          </cell>
        </row>
        <row r="44">
          <cell r="B44" t="str">
            <v>First Shanghai Securities Ltd</v>
          </cell>
          <cell r="C44" t="str">
            <v>TSOI HO</v>
          </cell>
          <cell r="D44" t="str">
            <v>buy</v>
          </cell>
          <cell r="E44">
            <v>42124</v>
          </cell>
          <cell r="F44">
            <v>165</v>
          </cell>
          <cell r="G44">
            <v>0</v>
          </cell>
          <cell r="H44">
            <v>0</v>
          </cell>
          <cell r="I44">
            <v>0</v>
          </cell>
          <cell r="J44">
            <v>0</v>
          </cell>
          <cell r="K44">
            <v>0</v>
          </cell>
          <cell r="L44">
            <v>0</v>
          </cell>
          <cell r="M44">
            <v>0</v>
          </cell>
        </row>
        <row r="45">
          <cell r="B45" t="str">
            <v>Goldman Sachs</v>
          </cell>
          <cell r="C45" t="str">
            <v>BILL SHOPE</v>
          </cell>
          <cell r="D45" t="str">
            <v>Buy/Cautious</v>
          </cell>
          <cell r="E45">
            <v>42122</v>
          </cell>
          <cell r="F45">
            <v>163</v>
          </cell>
          <cell r="G45">
            <v>0</v>
          </cell>
          <cell r="H45">
            <v>0</v>
          </cell>
          <cell r="I45">
            <v>0</v>
          </cell>
          <cell r="J45">
            <v>0</v>
          </cell>
          <cell r="K45">
            <v>0</v>
          </cell>
          <cell r="L45">
            <v>0</v>
          </cell>
          <cell r="M45">
            <v>0</v>
          </cell>
        </row>
        <row r="46">
          <cell r="B46" t="str">
            <v>Hamburger Sparkasse</v>
          </cell>
          <cell r="C46" t="str">
            <v>MARCO GUENTHER</v>
          </cell>
          <cell r="D46" t="str">
            <v>neutral</v>
          </cell>
          <cell r="E46">
            <v>42122</v>
          </cell>
          <cell r="F46">
            <v>0</v>
          </cell>
          <cell r="G46">
            <v>0</v>
          </cell>
          <cell r="H46">
            <v>0</v>
          </cell>
          <cell r="I46">
            <v>0</v>
          </cell>
          <cell r="J46">
            <v>0</v>
          </cell>
          <cell r="K46">
            <v>0</v>
          </cell>
          <cell r="L46">
            <v>0</v>
          </cell>
          <cell r="M46">
            <v>0</v>
          </cell>
        </row>
        <row r="47">
          <cell r="B47" t="str">
            <v>UBS</v>
          </cell>
          <cell r="C47" t="str">
            <v>STEVEN M MILUNOVICH</v>
          </cell>
          <cell r="D47" t="str">
            <v>buy</v>
          </cell>
          <cell r="E47">
            <v>42048</v>
          </cell>
          <cell r="F47">
            <v>150</v>
          </cell>
          <cell r="G47">
            <v>0</v>
          </cell>
          <cell r="H47">
            <v>0</v>
          </cell>
          <cell r="I47">
            <v>0</v>
          </cell>
          <cell r="J47">
            <v>0</v>
          </cell>
          <cell r="K47">
            <v>0</v>
          </cell>
          <cell r="L47">
            <v>0</v>
          </cell>
          <cell r="M47">
            <v>0</v>
          </cell>
        </row>
        <row r="48">
          <cell r="B48" t="str">
            <v>Accountability Research Corp</v>
          </cell>
          <cell r="C48" t="str">
            <v>KEVIN CHU</v>
          </cell>
          <cell r="D48" t="str">
            <v>buy</v>
          </cell>
          <cell r="E48">
            <v>42040</v>
          </cell>
          <cell r="F48">
            <v>139</v>
          </cell>
          <cell r="G48">
            <v>0</v>
          </cell>
          <cell r="H48">
            <v>0</v>
          </cell>
          <cell r="I48">
            <v>0</v>
          </cell>
          <cell r="J48">
            <v>0</v>
          </cell>
          <cell r="K48">
            <v>0</v>
          </cell>
          <cell r="L48">
            <v>0</v>
          </cell>
          <cell r="M48">
            <v>0</v>
          </cell>
        </row>
        <row r="49">
          <cell r="B49" t="str">
            <v>Scotia Capital</v>
          </cell>
          <cell r="C49" t="str">
            <v>DANIEL CHAN</v>
          </cell>
          <cell r="D49" t="str">
            <v>suspended coverage</v>
          </cell>
          <cell r="E49">
            <v>41913</v>
          </cell>
          <cell r="F49">
            <v>0</v>
          </cell>
          <cell r="G49">
            <v>0</v>
          </cell>
          <cell r="H49">
            <v>0</v>
          </cell>
          <cell r="I49">
            <v>0</v>
          </cell>
          <cell r="J49">
            <v>0</v>
          </cell>
          <cell r="K49">
            <v>1.57</v>
          </cell>
          <cell r="L49">
            <v>0</v>
          </cell>
          <cell r="M49">
            <v>0</v>
          </cell>
        </row>
        <row r="50">
          <cell r="B50" t="str">
            <v>Erste Group</v>
          </cell>
          <cell r="C50" t="str">
            <v>HANS ENGEL</v>
          </cell>
          <cell r="D50" t="str">
            <v>buy</v>
          </cell>
          <cell r="E50">
            <v>41842</v>
          </cell>
          <cell r="F50">
            <v>0</v>
          </cell>
          <cell r="G50">
            <v>0</v>
          </cell>
          <cell r="H50">
            <v>0</v>
          </cell>
          <cell r="I50">
            <v>0</v>
          </cell>
          <cell r="J50">
            <v>0</v>
          </cell>
          <cell r="K50">
            <v>0</v>
          </cell>
          <cell r="L50">
            <v>0</v>
          </cell>
          <cell r="M50">
            <v>0</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B122"/>
  <sheetViews>
    <sheetView showGridLines="0" tabSelected="1" zoomScaleNormal="100" workbookViewId="0">
      <selection activeCell="B2" sqref="B2:C2"/>
    </sheetView>
  </sheetViews>
  <sheetFormatPr defaultRowHeight="14.4" outlineLevelRow="1" outlineLevelCol="1" x14ac:dyDescent="0.3"/>
  <cols>
    <col min="1" max="1" width="1.33203125" customWidth="1"/>
    <col min="2" max="2" width="31.6640625" customWidth="1"/>
    <col min="3" max="3" width="26.109375" style="19" customWidth="1"/>
    <col min="4" max="7" width="11.5546875" style="1" hidden="1" customWidth="1" outlineLevel="1"/>
    <col min="8" max="8" width="11.5546875" style="1" customWidth="1" collapsed="1"/>
    <col min="9" max="10" width="11.5546875" style="1" hidden="1" customWidth="1" outlineLevel="1"/>
    <col min="11" max="12" width="11.5546875" style="4" hidden="1" customWidth="1" outlineLevel="1"/>
    <col min="13" max="13" width="11.5546875" style="4" customWidth="1" collapsed="1"/>
    <col min="14" max="15" width="11.5546875" style="1" customWidth="1" outlineLevel="1"/>
    <col min="16" max="17" width="11.5546875" style="4" customWidth="1" outlineLevel="1"/>
    <col min="18" max="18" width="11.5546875" style="4" customWidth="1"/>
    <col min="19" max="20" width="11.5546875" style="1" customWidth="1" outlineLevel="1"/>
    <col min="21" max="22" width="11.5546875" style="4" customWidth="1" outlineLevel="1"/>
    <col min="23" max="23" width="11.5546875" style="4" customWidth="1"/>
    <col min="24" max="25" width="11.5546875" style="1" customWidth="1" outlineLevel="1"/>
    <col min="26" max="27" width="11.5546875" style="4" customWidth="1" outlineLevel="1"/>
    <col min="28" max="28" width="11.5546875" style="4" customWidth="1"/>
  </cols>
  <sheetData>
    <row r="1" spans="2:28" s="94" customFormat="1" ht="9" customHeight="1" x14ac:dyDescent="0.3">
      <c r="C1" s="19"/>
      <c r="D1" s="1"/>
      <c r="E1" s="1"/>
      <c r="F1" s="1"/>
      <c r="G1" s="1"/>
      <c r="H1" s="1"/>
      <c r="I1" s="1"/>
      <c r="J1" s="1"/>
      <c r="K1" s="4"/>
      <c r="L1" s="4"/>
      <c r="M1" s="4"/>
      <c r="N1" s="1"/>
      <c r="O1" s="1"/>
      <c r="P1" s="4"/>
      <c r="Q1" s="4"/>
      <c r="R1" s="4"/>
      <c r="S1" s="1"/>
      <c r="T1" s="1"/>
      <c r="U1" s="4"/>
      <c r="V1" s="4"/>
      <c r="W1" s="4"/>
      <c r="X1" s="1"/>
      <c r="Y1" s="1"/>
      <c r="Z1" s="4"/>
      <c r="AA1" s="4"/>
      <c r="AB1" s="4"/>
    </row>
    <row r="2" spans="2:28" ht="62.4" customHeight="1" x14ac:dyDescent="0.3">
      <c r="B2" s="251" t="s">
        <v>160</v>
      </c>
      <c r="C2" s="252"/>
      <c r="K2" s="126"/>
    </row>
    <row r="3" spans="2:28" x14ac:dyDescent="0.3">
      <c r="B3" s="261" t="s">
        <v>159</v>
      </c>
      <c r="C3" s="262"/>
      <c r="I3" s="24"/>
      <c r="K3" s="126"/>
    </row>
    <row r="4" spans="2:28" x14ac:dyDescent="0.3">
      <c r="B4" s="263" t="s">
        <v>145</v>
      </c>
      <c r="C4" s="264"/>
      <c r="I4" s="24"/>
      <c r="K4" s="126"/>
    </row>
    <row r="5" spans="2:28" x14ac:dyDescent="0.3">
      <c r="B5" s="277" t="s">
        <v>97</v>
      </c>
      <c r="C5" s="278">
        <f>C112</f>
        <v>107.69918336755465</v>
      </c>
      <c r="I5" s="24"/>
      <c r="J5" s="24"/>
      <c r="K5" s="39"/>
      <c r="L5" s="24"/>
      <c r="N5" s="24"/>
      <c r="O5" s="24"/>
      <c r="P5" s="39"/>
      <c r="Q5" s="24"/>
      <c r="R5" s="24"/>
      <c r="S5" s="24"/>
      <c r="T5" s="24"/>
      <c r="U5" s="24"/>
      <c r="V5" s="24"/>
      <c r="W5" s="24"/>
      <c r="X5" s="24"/>
      <c r="Y5" s="24"/>
      <c r="Z5" s="24"/>
      <c r="AA5" s="24"/>
      <c r="AB5" s="24"/>
    </row>
    <row r="6" spans="2:28" ht="9.75" customHeight="1" x14ac:dyDescent="0.3">
      <c r="C6" s="128"/>
      <c r="D6" s="13"/>
      <c r="E6" s="13"/>
      <c r="F6" s="13"/>
      <c r="G6" s="13"/>
      <c r="H6" s="13"/>
      <c r="I6" s="109"/>
      <c r="J6" s="109"/>
      <c r="K6" s="109"/>
      <c r="L6" s="125"/>
      <c r="M6" s="125"/>
      <c r="N6" s="125"/>
      <c r="O6" s="125"/>
      <c r="P6" s="125"/>
      <c r="Q6" s="39"/>
      <c r="R6" s="39"/>
      <c r="S6" s="38"/>
      <c r="T6" s="38"/>
      <c r="U6" s="38"/>
      <c r="V6" s="39"/>
      <c r="W6" s="39"/>
      <c r="X6" s="38"/>
      <c r="Y6" s="38"/>
      <c r="Z6" s="38"/>
      <c r="AA6" s="39"/>
      <c r="AB6" s="24"/>
    </row>
    <row r="7" spans="2:28" ht="15.6" x14ac:dyDescent="0.3">
      <c r="B7" s="255" t="s">
        <v>28</v>
      </c>
      <c r="C7" s="256"/>
      <c r="D7" s="68" t="s">
        <v>6</v>
      </c>
      <c r="E7" s="68" t="s">
        <v>5</v>
      </c>
      <c r="F7" s="68" t="s">
        <v>4</v>
      </c>
      <c r="G7" s="68" t="s">
        <v>7</v>
      </c>
      <c r="H7" s="68" t="s">
        <v>7</v>
      </c>
      <c r="I7" s="68" t="s">
        <v>8</v>
      </c>
      <c r="J7" s="68" t="s">
        <v>9</v>
      </c>
      <c r="K7" s="68" t="s">
        <v>10</v>
      </c>
      <c r="L7" s="68" t="s">
        <v>12</v>
      </c>
      <c r="M7" s="68" t="s">
        <v>12</v>
      </c>
      <c r="N7" s="68" t="s">
        <v>13</v>
      </c>
      <c r="O7" s="68" t="s">
        <v>14</v>
      </c>
      <c r="P7" s="68" t="s">
        <v>15</v>
      </c>
      <c r="Q7" s="87" t="s">
        <v>11</v>
      </c>
      <c r="R7" s="87" t="s">
        <v>11</v>
      </c>
      <c r="S7" s="87" t="s">
        <v>16</v>
      </c>
      <c r="T7" s="87" t="s">
        <v>17</v>
      </c>
      <c r="U7" s="87" t="s">
        <v>18</v>
      </c>
      <c r="V7" s="87" t="s">
        <v>19</v>
      </c>
      <c r="W7" s="87" t="s">
        <v>19</v>
      </c>
      <c r="X7" s="87" t="s">
        <v>20</v>
      </c>
      <c r="Y7" s="87" t="s">
        <v>21</v>
      </c>
      <c r="Z7" s="87" t="s">
        <v>22</v>
      </c>
      <c r="AA7" s="87" t="s">
        <v>23</v>
      </c>
      <c r="AB7" s="87" t="s">
        <v>23</v>
      </c>
    </row>
    <row r="8" spans="2:28" ht="16.2" x14ac:dyDescent="0.45">
      <c r="B8" s="253" t="s">
        <v>1</v>
      </c>
      <c r="C8" s="254"/>
      <c r="D8" s="69" t="s">
        <v>29</v>
      </c>
      <c r="E8" s="69" t="s">
        <v>30</v>
      </c>
      <c r="F8" s="69" t="s">
        <v>31</v>
      </c>
      <c r="G8" s="69" t="s">
        <v>32</v>
      </c>
      <c r="H8" s="75" t="s">
        <v>73</v>
      </c>
      <c r="I8" s="69" t="s">
        <v>33</v>
      </c>
      <c r="J8" s="69" t="s">
        <v>74</v>
      </c>
      <c r="K8" s="69" t="s">
        <v>98</v>
      </c>
      <c r="L8" s="69" t="s">
        <v>99</v>
      </c>
      <c r="M8" s="69" t="s">
        <v>100</v>
      </c>
      <c r="N8" s="69" t="s">
        <v>118</v>
      </c>
      <c r="O8" s="69" t="s">
        <v>121</v>
      </c>
      <c r="P8" s="69" t="s">
        <v>144</v>
      </c>
      <c r="Q8" s="88" t="s">
        <v>47</v>
      </c>
      <c r="R8" s="89" t="s">
        <v>48</v>
      </c>
      <c r="S8" s="88" t="s">
        <v>49</v>
      </c>
      <c r="T8" s="88" t="s">
        <v>50</v>
      </c>
      <c r="U8" s="88" t="s">
        <v>51</v>
      </c>
      <c r="V8" s="88" t="s">
        <v>52</v>
      </c>
      <c r="W8" s="89" t="s">
        <v>53</v>
      </c>
      <c r="X8" s="88" t="s">
        <v>54</v>
      </c>
      <c r="Y8" s="88" t="s">
        <v>55</v>
      </c>
      <c r="Z8" s="88" t="s">
        <v>56</v>
      </c>
      <c r="AA8" s="88" t="s">
        <v>57</v>
      </c>
      <c r="AB8" s="89" t="s">
        <v>58</v>
      </c>
    </row>
    <row r="9" spans="2:28" x14ac:dyDescent="0.3">
      <c r="B9" s="245" t="s">
        <v>34</v>
      </c>
      <c r="C9" s="246"/>
      <c r="D9" s="22">
        <v>2502</v>
      </c>
      <c r="E9" s="23">
        <v>2910</v>
      </c>
      <c r="F9" s="23">
        <v>3203</v>
      </c>
      <c r="G9" s="48">
        <v>3851</v>
      </c>
      <c r="H9" s="49">
        <f>SUM(D9:G9)</f>
        <v>12466</v>
      </c>
      <c r="I9" s="22">
        <v>3543</v>
      </c>
      <c r="J9" s="15">
        <v>4042</v>
      </c>
      <c r="K9" s="15">
        <v>4501</v>
      </c>
      <c r="L9" s="15">
        <v>5841</v>
      </c>
      <c r="M9" s="49">
        <f>SUM(I9:L9)</f>
        <v>17927</v>
      </c>
      <c r="N9" s="15">
        <v>5382</v>
      </c>
      <c r="O9" s="15">
        <v>6436</v>
      </c>
      <c r="P9" s="15">
        <v>7011</v>
      </c>
      <c r="Q9" s="15">
        <f>Q44</f>
        <v>8469.9999999999982</v>
      </c>
      <c r="R9" s="49">
        <f>SUM(N9:Q9)</f>
        <v>27299</v>
      </c>
      <c r="S9" s="15">
        <f>S44</f>
        <v>6052.6218025000007</v>
      </c>
      <c r="T9" s="15">
        <f t="shared" ref="T9:V9" si="0">T44</f>
        <v>7168.408560833499</v>
      </c>
      <c r="U9" s="15">
        <f t="shared" si="0"/>
        <v>7953.1572598463717</v>
      </c>
      <c r="V9" s="15">
        <f t="shared" si="0"/>
        <v>9605.206875881282</v>
      </c>
      <c r="W9" s="49">
        <f>SUM(S9:V9)</f>
        <v>30779.394499061153</v>
      </c>
      <c r="X9" s="15">
        <f>X44</f>
        <v>6847.1487721154581</v>
      </c>
      <c r="Y9" s="15">
        <f t="shared" ref="Y9:AA9" si="1">Y44</f>
        <v>8010.2623470950648</v>
      </c>
      <c r="Z9" s="15">
        <f t="shared" si="1"/>
        <v>8636.3873435803052</v>
      </c>
      <c r="AA9" s="15">
        <f t="shared" si="1"/>
        <v>10368.004996386344</v>
      </c>
      <c r="AB9" s="49">
        <f>SUM(X9:AA9)</f>
        <v>33861.803459177172</v>
      </c>
    </row>
    <row r="10" spans="2:28" ht="17.25" customHeight="1" x14ac:dyDescent="0.45">
      <c r="B10" s="245" t="s">
        <v>35</v>
      </c>
      <c r="C10" s="246"/>
      <c r="D10" s="79">
        <v>462</v>
      </c>
      <c r="E10" s="81">
        <v>473</v>
      </c>
      <c r="F10" s="81">
        <v>565</v>
      </c>
      <c r="G10" s="83">
        <v>653</v>
      </c>
      <c r="H10" s="85">
        <f>SUM(D10:G10)</f>
        <v>2153</v>
      </c>
      <c r="I10" s="79">
        <v>654</v>
      </c>
      <c r="J10" s="25">
        <v>668</v>
      </c>
      <c r="K10" s="25">
        <v>720</v>
      </c>
      <c r="L10" s="25">
        <v>824</v>
      </c>
      <c r="M10" s="85">
        <f>SUM(I10:L10)</f>
        <v>2866</v>
      </c>
      <c r="N10" s="25">
        <v>838</v>
      </c>
      <c r="O10" s="25">
        <v>916</v>
      </c>
      <c r="P10" s="25">
        <v>987</v>
      </c>
      <c r="Q10" s="25">
        <f>((1-Q77)*(Q39+Q40+Q41+Q42))+((1-Q67)*Q66)+((1-Q70)*Q69)</f>
        <v>1285.1931747593558</v>
      </c>
      <c r="R10" s="85">
        <f>SUM(N10:Q10)</f>
        <v>4026.1931747593558</v>
      </c>
      <c r="S10" s="25">
        <f>((1-S77)*(S39+S40+S41+S42))+((1-S67)*S66)+((1-S70)*S69)</f>
        <v>847.36705235000022</v>
      </c>
      <c r="T10" s="25">
        <f>((1-T77)*(T39+T40+T41+T42))+((1-T67)*T66)+((1-T70)*T69)</f>
        <v>1003.5771985166899</v>
      </c>
      <c r="U10" s="25">
        <f>((1-U77)*(U39+U40+U41+U42))+((1-U67)*U66)+((1-U70)*U69)</f>
        <v>1220.0020163784923</v>
      </c>
      <c r="V10" s="25">
        <f>((1-V77)*(V39+V40+V41+V42))+((1-V67)*V66)+((1-V70)*V69)</f>
        <v>1443.7889626233796</v>
      </c>
      <c r="W10" s="85">
        <f>SUM(S10:V10)</f>
        <v>4514.7352298685619</v>
      </c>
      <c r="X10" s="25">
        <f>((1-X77)*(X39+X40+X41+X42))+((1-X67)*X66)+((1-X70)*X69)</f>
        <v>1124.6223158173191</v>
      </c>
      <c r="Y10" s="25">
        <f>((1-Y77)*(Y39+Y40+Y41+Y42))+((1-Y67)*Y66)+((1-Y70)*Y69)</f>
        <v>1299.0893520642599</v>
      </c>
      <c r="Z10" s="25">
        <f>((1-Z77)*(Z39+Z40+Z41+Z42))+((1-Z67)*Z66)+((1-Z70)*Z69)</f>
        <v>1477.8619749728491</v>
      </c>
      <c r="AA10" s="25">
        <f>((1-AA77)*(AA39+AA40+AA41+AA42))+((1-AA67)*AA66)+((1-AA70)*AA69)</f>
        <v>1754.9207994218154</v>
      </c>
      <c r="AB10" s="85">
        <f>SUM(X10:AA10)</f>
        <v>5656.4944422762437</v>
      </c>
    </row>
    <row r="11" spans="2:28" x14ac:dyDescent="0.3">
      <c r="B11" s="247" t="s">
        <v>122</v>
      </c>
      <c r="C11" s="248"/>
      <c r="D11" s="43">
        <f t="shared" ref="D11:K11" si="2">D9-D10</f>
        <v>2040</v>
      </c>
      <c r="E11" s="42">
        <f t="shared" si="2"/>
        <v>2437</v>
      </c>
      <c r="F11" s="42">
        <f t="shared" si="2"/>
        <v>2638</v>
      </c>
      <c r="G11" s="50">
        <f t="shared" si="2"/>
        <v>3198</v>
      </c>
      <c r="H11" s="51">
        <f t="shared" si="2"/>
        <v>10313</v>
      </c>
      <c r="I11" s="43">
        <f t="shared" si="2"/>
        <v>2889</v>
      </c>
      <c r="J11" s="14">
        <f t="shared" si="2"/>
        <v>3374</v>
      </c>
      <c r="K11" s="14">
        <f t="shared" si="2"/>
        <v>3781</v>
      </c>
      <c r="L11" s="14">
        <f>L9-L10</f>
        <v>5017</v>
      </c>
      <c r="M11" s="51">
        <f>M9-M10</f>
        <v>15061</v>
      </c>
      <c r="N11" s="14">
        <f>N9-N10</f>
        <v>4544</v>
      </c>
      <c r="O11" s="14">
        <f>O9-O10</f>
        <v>5520</v>
      </c>
      <c r="P11" s="14">
        <f t="shared" ref="P11:AB11" si="3">P9-P10</f>
        <v>6024</v>
      </c>
      <c r="Q11" s="14">
        <f t="shared" si="3"/>
        <v>7184.8068252406429</v>
      </c>
      <c r="R11" s="51">
        <f t="shared" si="3"/>
        <v>23272.806825240645</v>
      </c>
      <c r="S11" s="14">
        <f t="shared" si="3"/>
        <v>5205.2547501500003</v>
      </c>
      <c r="T11" s="14">
        <f t="shared" si="3"/>
        <v>6164.8313623168087</v>
      </c>
      <c r="U11" s="14">
        <f t="shared" si="3"/>
        <v>6733.1552434678797</v>
      </c>
      <c r="V11" s="14">
        <f t="shared" si="3"/>
        <v>8161.4179132579029</v>
      </c>
      <c r="W11" s="51">
        <f t="shared" si="3"/>
        <v>26264.659269192591</v>
      </c>
      <c r="X11" s="14">
        <f t="shared" si="3"/>
        <v>5722.5264562981392</v>
      </c>
      <c r="Y11" s="14">
        <f t="shared" si="3"/>
        <v>6711.1729950308054</v>
      </c>
      <c r="Z11" s="14">
        <f t="shared" si="3"/>
        <v>7158.5253686074557</v>
      </c>
      <c r="AA11" s="14">
        <f t="shared" si="3"/>
        <v>8613.084196964528</v>
      </c>
      <c r="AB11" s="51">
        <f t="shared" si="3"/>
        <v>28205.30901690093</v>
      </c>
    </row>
    <row r="12" spans="2:28" s="19" customFormat="1" ht="16.2" x14ac:dyDescent="0.45">
      <c r="B12" s="245" t="s">
        <v>38</v>
      </c>
      <c r="C12" s="246"/>
      <c r="D12" s="79">
        <f>12+2+8</f>
        <v>22</v>
      </c>
      <c r="E12" s="81">
        <v>16</v>
      </c>
      <c r="F12" s="81">
        <f>16+1+26</f>
        <v>43</v>
      </c>
      <c r="G12" s="83">
        <f>18+0+42</f>
        <v>60</v>
      </c>
      <c r="H12" s="85">
        <v>152</v>
      </c>
      <c r="I12" s="79">
        <f>17+1+44</f>
        <v>62</v>
      </c>
      <c r="J12" s="25">
        <f>21+1+45</f>
        <v>67</v>
      </c>
      <c r="K12" s="25">
        <f>21+0+44</f>
        <v>65</v>
      </c>
      <c r="L12" s="25">
        <f>22+0+55</f>
        <v>77</v>
      </c>
      <c r="M12" s="85">
        <f>SUM(I12:L12)</f>
        <v>271</v>
      </c>
      <c r="N12" s="25">
        <f>22+2+44</f>
        <v>68</v>
      </c>
      <c r="O12" s="25">
        <f>28+1+54</f>
        <v>83</v>
      </c>
      <c r="P12" s="25">
        <f>30+1+55</f>
        <v>86</v>
      </c>
      <c r="Q12" s="25">
        <f>SUM(Q89:Q91)*Q94</f>
        <v>72.297429999999991</v>
      </c>
      <c r="R12" s="85">
        <f>SUM(N12:Q12)</f>
        <v>309.29742999999996</v>
      </c>
      <c r="S12" s="25">
        <f>SUM(S89:S91)*S94</f>
        <v>71.552725467914627</v>
      </c>
      <c r="T12" s="25">
        <f>SUM(T89:T91)*T94</f>
        <v>77.45568743306788</v>
      </c>
      <c r="U12" s="25">
        <f>SUM(U89:U91)*U94</f>
        <v>79.026002847835741</v>
      </c>
      <c r="V12" s="25">
        <f>SUM(V89:V91)*V94</f>
        <v>92.870707286085434</v>
      </c>
      <c r="W12" s="85">
        <f>SUM(S12:V12)</f>
        <v>320.90512303490368</v>
      </c>
      <c r="X12" s="25">
        <f>SUM(X89:X91)*X94</f>
        <v>79.320847430923735</v>
      </c>
      <c r="Y12" s="25">
        <f>SUM(Y89:Y91)*Y94</f>
        <v>85.098608565325037</v>
      </c>
      <c r="Z12" s="25">
        <f>SUM(Z89:Z91)*Z94</f>
        <v>84.75168958315291</v>
      </c>
      <c r="AA12" s="25">
        <f>SUM(AA89:AA91)*AA94</f>
        <v>99.263199631316411</v>
      </c>
      <c r="AB12" s="85">
        <f>SUM(X12:AA12)</f>
        <v>348.43434521071811</v>
      </c>
    </row>
    <row r="13" spans="2:28" s="41" customFormat="1" x14ac:dyDescent="0.3">
      <c r="B13" s="71" t="s">
        <v>123</v>
      </c>
      <c r="C13" s="72"/>
      <c r="D13" s="43">
        <f t="shared" ref="D13:I13" si="4">D11+D12</f>
        <v>2062</v>
      </c>
      <c r="E13" s="42">
        <f t="shared" si="4"/>
        <v>2453</v>
      </c>
      <c r="F13" s="42">
        <f>F11+F12</f>
        <v>2681</v>
      </c>
      <c r="G13" s="50">
        <f t="shared" si="4"/>
        <v>3258</v>
      </c>
      <c r="H13" s="51">
        <f t="shared" si="4"/>
        <v>10465</v>
      </c>
      <c r="I13" s="43">
        <f t="shared" si="4"/>
        <v>2951</v>
      </c>
      <c r="J13" s="14">
        <f>J11+J12</f>
        <v>3441</v>
      </c>
      <c r="K13" s="14">
        <f t="shared" ref="K13:AB13" si="5">K11+K12</f>
        <v>3846</v>
      </c>
      <c r="L13" s="14">
        <f>L11+L12</f>
        <v>5094</v>
      </c>
      <c r="M13" s="51">
        <f>M11+M12</f>
        <v>15332</v>
      </c>
      <c r="N13" s="14">
        <f t="shared" si="5"/>
        <v>4612</v>
      </c>
      <c r="O13" s="14">
        <f>O11+O12</f>
        <v>5603</v>
      </c>
      <c r="P13" s="14">
        <f>P11+P12</f>
        <v>6110</v>
      </c>
      <c r="Q13" s="14">
        <f t="shared" si="5"/>
        <v>7257.1042552406425</v>
      </c>
      <c r="R13" s="51">
        <f t="shared" si="5"/>
        <v>23582.104255240643</v>
      </c>
      <c r="S13" s="14">
        <f t="shared" si="5"/>
        <v>5276.8074756179149</v>
      </c>
      <c r="T13" s="14">
        <f t="shared" si="5"/>
        <v>6242.287049749877</v>
      </c>
      <c r="U13" s="14">
        <f t="shared" si="5"/>
        <v>6812.1812463157157</v>
      </c>
      <c r="V13" s="14">
        <f t="shared" si="5"/>
        <v>8254.2886205439881</v>
      </c>
      <c r="W13" s="51">
        <f t="shared" si="5"/>
        <v>26585.564392227494</v>
      </c>
      <c r="X13" s="14">
        <f t="shared" si="5"/>
        <v>5801.8473037290632</v>
      </c>
      <c r="Y13" s="14">
        <f t="shared" si="5"/>
        <v>6796.2716035961303</v>
      </c>
      <c r="Z13" s="14">
        <f t="shared" si="5"/>
        <v>7243.2770581906088</v>
      </c>
      <c r="AA13" s="14">
        <f t="shared" si="5"/>
        <v>8712.3473965958437</v>
      </c>
      <c r="AB13" s="51">
        <f t="shared" si="5"/>
        <v>28553.743362111647</v>
      </c>
    </row>
    <row r="14" spans="2:28" x14ac:dyDescent="0.3">
      <c r="B14" s="245" t="s">
        <v>0</v>
      </c>
      <c r="C14" s="246"/>
      <c r="D14" s="56">
        <v>455</v>
      </c>
      <c r="E14" s="57">
        <v>492</v>
      </c>
      <c r="F14" s="57">
        <v>608</v>
      </c>
      <c r="G14" s="58">
        <v>1111</v>
      </c>
      <c r="H14" s="6">
        <f>SUM(D14:G14)</f>
        <v>2666</v>
      </c>
      <c r="I14" s="56">
        <v>1062</v>
      </c>
      <c r="J14" s="15">
        <v>1170</v>
      </c>
      <c r="K14" s="15">
        <v>1271</v>
      </c>
      <c r="L14" s="27">
        <v>1314</v>
      </c>
      <c r="M14" s="95">
        <f>SUM(I14:L14)</f>
        <v>4817</v>
      </c>
      <c r="N14" s="26">
        <v>1343</v>
      </c>
      <c r="O14" s="15">
        <v>1463</v>
      </c>
      <c r="P14" s="15">
        <v>1539</v>
      </c>
      <c r="Q14" s="27">
        <f>Q9*Q82</f>
        <v>1609.2999999999997</v>
      </c>
      <c r="R14" s="95">
        <f>SUM(N14:Q14)</f>
        <v>5954.2999999999993</v>
      </c>
      <c r="S14" s="26">
        <f>S9*S82</f>
        <v>1470.2205827557452</v>
      </c>
      <c r="T14" s="15">
        <f>T9*T82</f>
        <v>1605.5114789743959</v>
      </c>
      <c r="U14" s="47">
        <f>U9*U82</f>
        <v>1565.4447216942506</v>
      </c>
      <c r="V14" s="27">
        <f>V9*V82</f>
        <v>1824.9893064174437</v>
      </c>
      <c r="W14" s="95">
        <f>SUM(S14:V14)</f>
        <v>6466.1660898418359</v>
      </c>
      <c r="X14" s="26">
        <f>X9*X82</f>
        <v>1711.7871930288645</v>
      </c>
      <c r="Y14" s="15">
        <f>Y9*Y82</f>
        <v>1922.4629633028155</v>
      </c>
      <c r="Z14" s="47">
        <f>Z9*Z82</f>
        <v>1900.0052155876672</v>
      </c>
      <c r="AA14" s="27">
        <f>AA9*AA82</f>
        <v>2073.6009992772688</v>
      </c>
      <c r="AB14" s="95">
        <f>SUM(X14:AA14)</f>
        <v>7607.8563711966162</v>
      </c>
    </row>
    <row r="15" spans="2:28" s="64" customFormat="1" x14ac:dyDescent="0.3">
      <c r="B15" s="73" t="s">
        <v>36</v>
      </c>
      <c r="C15" s="74"/>
      <c r="D15" s="56">
        <v>323</v>
      </c>
      <c r="E15" s="57">
        <v>358</v>
      </c>
      <c r="F15" s="57">
        <v>374</v>
      </c>
      <c r="G15" s="58">
        <v>624</v>
      </c>
      <c r="H15" s="6">
        <f t="shared" ref="H15:H16" si="6">SUM(D15:G15)</f>
        <v>1679</v>
      </c>
      <c r="I15" s="56">
        <v>620</v>
      </c>
      <c r="J15" s="15">
        <v>626</v>
      </c>
      <c r="K15" s="15">
        <v>706</v>
      </c>
      <c r="L15" s="27">
        <v>772</v>
      </c>
      <c r="M15" s="95">
        <f t="shared" ref="M15:M16" si="7">SUM(I15:L15)</f>
        <v>2724</v>
      </c>
      <c r="N15" s="26">
        <v>826</v>
      </c>
      <c r="O15" s="15">
        <v>899</v>
      </c>
      <c r="P15" s="15">
        <v>925</v>
      </c>
      <c r="Q15" s="27">
        <f>Q9*Q83</f>
        <v>931.69999999999982</v>
      </c>
      <c r="R15" s="95">
        <f t="shared" ref="R15:R16" si="8">SUM(N15:Q15)</f>
        <v>3581.7</v>
      </c>
      <c r="S15" s="26">
        <f>S9*S83</f>
        <v>907.89327037500004</v>
      </c>
      <c r="T15" s="15">
        <f>T9*T83</f>
        <v>1003.5771985166899</v>
      </c>
      <c r="U15" s="47">
        <f>U9*U83</f>
        <v>1113.4420163784921</v>
      </c>
      <c r="V15" s="27">
        <f>V9*V83</f>
        <v>1248.6768938645666</v>
      </c>
      <c r="W15" s="95">
        <f t="shared" ref="W15:W16" si="9">SUM(S15:V15)</f>
        <v>4273.5893791347489</v>
      </c>
      <c r="X15" s="26">
        <f>X9*X83</f>
        <v>1095.5438035384734</v>
      </c>
      <c r="Y15" s="15">
        <f>Y9*Y83</f>
        <v>1201.5393520642597</v>
      </c>
      <c r="Z15" s="47">
        <f>Z9*Z83</f>
        <v>1295.4581015370456</v>
      </c>
      <c r="AA15" s="27">
        <f>AA9*AA83</f>
        <v>1451.5206994940884</v>
      </c>
      <c r="AB15" s="95">
        <f t="shared" ref="AB15:AB16" si="10">SUM(X15:AA15)</f>
        <v>5044.0619566338673</v>
      </c>
    </row>
    <row r="16" spans="2:28" ht="16.2" x14ac:dyDescent="0.45">
      <c r="B16" s="245" t="s">
        <v>37</v>
      </c>
      <c r="C16" s="246"/>
      <c r="D16" s="79">
        <v>187</v>
      </c>
      <c r="E16" s="81">
        <v>197</v>
      </c>
      <c r="F16" s="81">
        <v>259</v>
      </c>
      <c r="G16" s="83">
        <v>330</v>
      </c>
      <c r="H16" s="85">
        <f t="shared" si="6"/>
        <v>973</v>
      </c>
      <c r="I16" s="79">
        <v>274</v>
      </c>
      <c r="J16" s="25">
        <v>305</v>
      </c>
      <c r="K16" s="25">
        <v>345</v>
      </c>
      <c r="L16" s="29">
        <v>371</v>
      </c>
      <c r="M16" s="85">
        <f t="shared" si="7"/>
        <v>1295</v>
      </c>
      <c r="N16" s="28">
        <v>366</v>
      </c>
      <c r="O16" s="25">
        <v>412</v>
      </c>
      <c r="P16" s="25">
        <v>438</v>
      </c>
      <c r="Q16" s="29">
        <f>Q9*Q84</f>
        <v>508.19999999999987</v>
      </c>
      <c r="R16" s="85">
        <f t="shared" si="8"/>
        <v>1724.1999999999998</v>
      </c>
      <c r="S16" s="28">
        <f>S9*S84</f>
        <v>423.68352617500011</v>
      </c>
      <c r="T16" s="25">
        <f>T9*T84</f>
        <v>501.78859925834496</v>
      </c>
      <c r="U16" s="25">
        <f>U9*U84</f>
        <v>556.72100818924605</v>
      </c>
      <c r="V16" s="29">
        <f>V9*V84</f>
        <v>672.36448131168981</v>
      </c>
      <c r="W16" s="85">
        <f t="shared" si="9"/>
        <v>2154.557614934281</v>
      </c>
      <c r="X16" s="28">
        <f>X9*X84</f>
        <v>513.53615790865933</v>
      </c>
      <c r="Y16" s="25">
        <f>Y9*Y84</f>
        <v>600.76967603212984</v>
      </c>
      <c r="Z16" s="25">
        <f>Z9*Z84</f>
        <v>647.72905076852282</v>
      </c>
      <c r="AA16" s="29">
        <f>AA9*AA84</f>
        <v>725.76034974704419</v>
      </c>
      <c r="AB16" s="85">
        <f t="shared" si="10"/>
        <v>2487.795234456356</v>
      </c>
    </row>
    <row r="17" spans="2:28" s="41" customFormat="1" ht="16.2" x14ac:dyDescent="0.45">
      <c r="B17" s="71" t="s">
        <v>124</v>
      </c>
      <c r="C17" s="72"/>
      <c r="D17" s="80">
        <f t="shared" ref="D17:H17" si="11">SUM(D14:D16)</f>
        <v>965</v>
      </c>
      <c r="E17" s="82">
        <f t="shared" si="11"/>
        <v>1047</v>
      </c>
      <c r="F17" s="82">
        <f>SUM(F14:F16)</f>
        <v>1241</v>
      </c>
      <c r="G17" s="84">
        <f t="shared" si="11"/>
        <v>2065</v>
      </c>
      <c r="H17" s="86">
        <f t="shared" si="11"/>
        <v>5318</v>
      </c>
      <c r="I17" s="80">
        <f>SUM(I14:I16)</f>
        <v>1956</v>
      </c>
      <c r="J17" s="77">
        <f>SUM(J14:J16)</f>
        <v>2101</v>
      </c>
      <c r="K17" s="77">
        <f t="shared" ref="K17:Q17" si="12">SUM(K14:K16)</f>
        <v>2322</v>
      </c>
      <c r="L17" s="78">
        <f>SUM(L14:L16)</f>
        <v>2457</v>
      </c>
      <c r="M17" s="86">
        <f>SUM(M14:M16)</f>
        <v>8836</v>
      </c>
      <c r="N17" s="76">
        <f>SUM(N14:N16)</f>
        <v>2535</v>
      </c>
      <c r="O17" s="77">
        <f>SUM(O14:O16)</f>
        <v>2774</v>
      </c>
      <c r="P17" s="77">
        <f>SUM(P14:P16)</f>
        <v>2902</v>
      </c>
      <c r="Q17" s="78">
        <f t="shared" si="12"/>
        <v>3049.1999999999994</v>
      </c>
      <c r="R17" s="86">
        <f>SUM(R14:R16)</f>
        <v>11260.2</v>
      </c>
      <c r="S17" s="76">
        <f t="shared" ref="S17" si="13">SUM(S14:S16)</f>
        <v>2801.7973793057454</v>
      </c>
      <c r="T17" s="77">
        <f t="shared" ref="T17" si="14">SUM(T14:T16)</f>
        <v>3110.8772767494311</v>
      </c>
      <c r="U17" s="77">
        <f t="shared" ref="U17" si="15">SUM(U14:U16)</f>
        <v>3235.6077462619887</v>
      </c>
      <c r="V17" s="78">
        <f t="shared" ref="V17" si="16">SUM(V14:V16)</f>
        <v>3746.0306815937001</v>
      </c>
      <c r="W17" s="86">
        <f>SUM(W14:W16)</f>
        <v>12894.313083910867</v>
      </c>
      <c r="X17" s="76">
        <f t="shared" ref="X17" si="17">SUM(X14:X16)</f>
        <v>3320.8671544759973</v>
      </c>
      <c r="Y17" s="77">
        <f t="shared" ref="Y17" si="18">SUM(Y14:Y16)</f>
        <v>3724.771991399205</v>
      </c>
      <c r="Z17" s="77">
        <f t="shared" ref="Z17" si="19">SUM(Z14:Z16)</f>
        <v>3843.1923678932358</v>
      </c>
      <c r="AA17" s="78">
        <f t="shared" ref="AA17" si="20">SUM(AA14:AA16)</f>
        <v>4250.8820485184015</v>
      </c>
      <c r="AB17" s="86">
        <f>SUM(AB14:AB16)</f>
        <v>15139.713562286841</v>
      </c>
    </row>
    <row r="18" spans="2:28" x14ac:dyDescent="0.3">
      <c r="B18" s="247" t="s">
        <v>125</v>
      </c>
      <c r="C18" s="248"/>
      <c r="D18" s="43">
        <f>D11-D17</f>
        <v>1075</v>
      </c>
      <c r="E18" s="42">
        <f t="shared" ref="E18:L18" si="21">E11-E17</f>
        <v>1390</v>
      </c>
      <c r="F18" s="42">
        <f>F11-F17</f>
        <v>1397</v>
      </c>
      <c r="G18" s="50">
        <f t="shared" si="21"/>
        <v>1133</v>
      </c>
      <c r="H18" s="51">
        <f t="shared" si="21"/>
        <v>4995</v>
      </c>
      <c r="I18" s="43">
        <f t="shared" si="21"/>
        <v>933</v>
      </c>
      <c r="J18" s="14">
        <f t="shared" si="21"/>
        <v>1273</v>
      </c>
      <c r="K18" s="14">
        <f t="shared" si="21"/>
        <v>1459</v>
      </c>
      <c r="L18" s="31">
        <f t="shared" si="21"/>
        <v>2560</v>
      </c>
      <c r="M18" s="51">
        <f>M11-M17</f>
        <v>6225</v>
      </c>
      <c r="N18" s="30">
        <f>N11-N17</f>
        <v>2009</v>
      </c>
      <c r="O18" s="14">
        <f>O11-O17</f>
        <v>2746</v>
      </c>
      <c r="P18" s="14">
        <f>P11-P17</f>
        <v>3122</v>
      </c>
      <c r="Q18" s="31">
        <f>Q13-((Q9*Q82)+(Q9*Q83)+(Q9*Q84))</f>
        <v>4207.9042552406427</v>
      </c>
      <c r="R18" s="51">
        <f t="shared" ref="R18" si="22">R11-R17</f>
        <v>12012.606825240644</v>
      </c>
      <c r="S18" s="30">
        <f>S13-((S9*S82)+(S9*S83)+(S9*S84))</f>
        <v>2475.0100963121695</v>
      </c>
      <c r="T18" s="14">
        <f>T13-((T9*T82)+(T9*T83)+(T9*T84))</f>
        <v>3131.409773000446</v>
      </c>
      <c r="U18" s="14">
        <f>U13-((U9*U82)+(U9*U83)+(U9*U84))</f>
        <v>3576.573500053727</v>
      </c>
      <c r="V18" s="31">
        <f>V13-((V9*V82)+(V9*V83)+(V9*V84))</f>
        <v>4508.257938950288</v>
      </c>
      <c r="W18" s="51">
        <f t="shared" ref="W18" si="23">W11-W17</f>
        <v>13370.346185281724</v>
      </c>
      <c r="X18" s="30">
        <f>X13-((X9*X82)+(X9*X83)+(X9*X84))</f>
        <v>2480.980149253066</v>
      </c>
      <c r="Y18" s="14">
        <f>Y13-((Y9*Y82)+(Y9*Y83)+(Y9*Y84))</f>
        <v>3071.4996121969252</v>
      </c>
      <c r="Z18" s="14">
        <f>Z13-((Z9*Z82)+(Z9*Z83)+(Z9*Z84))</f>
        <v>3400.0846902973731</v>
      </c>
      <c r="AA18" s="31">
        <f>AA13-((AA9*AA82)+(AA9*AA83)+(AA9*AA84))</f>
        <v>4461.4653480774423</v>
      </c>
      <c r="AB18" s="51">
        <f t="shared" ref="AB18" si="24">AB11-AB17</f>
        <v>13065.595454614089</v>
      </c>
    </row>
    <row r="19" spans="2:28" s="64" customFormat="1" ht="16.2" x14ac:dyDescent="0.45">
      <c r="B19" s="73" t="s">
        <v>39</v>
      </c>
      <c r="C19" s="72"/>
      <c r="D19" s="79">
        <f>(D89+D90+D91)-D12</f>
        <v>318</v>
      </c>
      <c r="E19" s="81">
        <f>(E89+E90+E91)-E12</f>
        <v>306</v>
      </c>
      <c r="F19" s="81">
        <f>(F89+F90+F91)-F12</f>
        <v>380</v>
      </c>
      <c r="G19" s="83">
        <f>(G89+G90+G91)-G12</f>
        <v>1026</v>
      </c>
      <c r="H19" s="85">
        <f>SUM(D19:G19)</f>
        <v>2030</v>
      </c>
      <c r="I19" s="79">
        <f>(I89+I90+I91)-I12</f>
        <v>845</v>
      </c>
      <c r="J19" s="25">
        <f>SUM(J89:J91)-J12</f>
        <v>888</v>
      </c>
      <c r="K19" s="25">
        <f>SUM(K89:K91)-K12</f>
        <v>886</v>
      </c>
      <c r="L19" s="25">
        <f>SUM(L89:L91)-L12</f>
        <v>886</v>
      </c>
      <c r="M19" s="85">
        <f>SUM(I19:L19)</f>
        <v>3505</v>
      </c>
      <c r="N19" s="28">
        <f>586+82+57+29+5+5+9+104+23</f>
        <v>900</v>
      </c>
      <c r="O19" s="25">
        <f>623+93+61+14+2+3+9+108+22</f>
        <v>935</v>
      </c>
      <c r="P19" s="25">
        <f>633+94+62+14+2+3+9+109+22</f>
        <v>948</v>
      </c>
      <c r="Q19" s="29">
        <f>SUM(Q89:Q91)-Q12</f>
        <v>990.9000699999998</v>
      </c>
      <c r="R19" s="85">
        <f>SUM(N19:Q19)</f>
        <v>3773.9000699999997</v>
      </c>
      <c r="S19" s="28">
        <f>SUM(S89:S91)-S12</f>
        <v>980.69323729553571</v>
      </c>
      <c r="T19" s="25">
        <f>SUM(T89:T91)-T12</f>
        <v>1061.5985395238126</v>
      </c>
      <c r="U19" s="25">
        <f>SUM(U89:U91)-U12</f>
        <v>1083.121097855631</v>
      </c>
      <c r="V19" s="29">
        <f>SUM(V89:V91)-V12</f>
        <v>1272.8749880975238</v>
      </c>
      <c r="W19" s="85">
        <f>SUM(S19:V19)</f>
        <v>4398.2878627725031</v>
      </c>
      <c r="X19" s="28">
        <f>SUM(X89:X91)-X12</f>
        <v>1087.162203023837</v>
      </c>
      <c r="Y19" s="25">
        <f>SUM(Y89:Y91)-Y12</f>
        <v>1166.3515173953372</v>
      </c>
      <c r="Z19" s="25">
        <f>SUM(Z89:Z91)-Z12</f>
        <v>1161.5966866396839</v>
      </c>
      <c r="AA19" s="29">
        <f>SUM(AA89:AA91)-AA12</f>
        <v>1360.4897361233366</v>
      </c>
      <c r="AB19" s="85">
        <f>SUM(X19:AA19)</f>
        <v>4775.6001431821951</v>
      </c>
    </row>
    <row r="20" spans="2:28" s="64" customFormat="1" x14ac:dyDescent="0.3">
      <c r="B20" s="71" t="s">
        <v>126</v>
      </c>
      <c r="C20" s="72"/>
      <c r="D20" s="43">
        <f>D13-D17+D19</f>
        <v>1415</v>
      </c>
      <c r="E20" s="42">
        <f t="shared" ref="E20:I20" si="25">E13-E17+E19</f>
        <v>1712</v>
      </c>
      <c r="F20" s="42">
        <f>F13-F17+F19</f>
        <v>1820</v>
      </c>
      <c r="G20" s="50">
        <f t="shared" si="25"/>
        <v>2219</v>
      </c>
      <c r="H20" s="51">
        <f>H13-H17+H19</f>
        <v>7177</v>
      </c>
      <c r="I20" s="43">
        <f t="shared" si="25"/>
        <v>1840</v>
      </c>
      <c r="J20" s="14">
        <f>J13-J17+J19</f>
        <v>2228</v>
      </c>
      <c r="K20" s="14">
        <f t="shared" ref="K20:AB20" si="26">K13-K17+K19</f>
        <v>2410</v>
      </c>
      <c r="L20" s="14">
        <f t="shared" si="26"/>
        <v>3523</v>
      </c>
      <c r="M20" s="51">
        <f>M13-M17+M19</f>
        <v>10001</v>
      </c>
      <c r="N20" s="14">
        <f t="shared" si="26"/>
        <v>2977</v>
      </c>
      <c r="O20" s="14">
        <f t="shared" si="26"/>
        <v>3764</v>
      </c>
      <c r="P20" s="14">
        <f t="shared" si="26"/>
        <v>4156</v>
      </c>
      <c r="Q20" s="14">
        <f t="shared" si="26"/>
        <v>5198.8043252406424</v>
      </c>
      <c r="R20" s="51">
        <f t="shared" si="26"/>
        <v>16095.804325240642</v>
      </c>
      <c r="S20" s="14">
        <f t="shared" si="26"/>
        <v>3455.7033336077052</v>
      </c>
      <c r="T20" s="14">
        <f t="shared" si="26"/>
        <v>4193.0083125242581</v>
      </c>
      <c r="U20" s="14">
        <f t="shared" si="26"/>
        <v>4659.694597909358</v>
      </c>
      <c r="V20" s="14">
        <f t="shared" si="26"/>
        <v>5781.1329270478118</v>
      </c>
      <c r="W20" s="51">
        <f t="shared" si="26"/>
        <v>18089.539171089131</v>
      </c>
      <c r="X20" s="14">
        <f t="shared" si="26"/>
        <v>3568.1423522769028</v>
      </c>
      <c r="Y20" s="14">
        <f t="shared" si="26"/>
        <v>4237.8511295922626</v>
      </c>
      <c r="Z20" s="14">
        <f t="shared" si="26"/>
        <v>4561.6813769370565</v>
      </c>
      <c r="AA20" s="14">
        <f t="shared" si="26"/>
        <v>5821.9550842007793</v>
      </c>
      <c r="AB20" s="51">
        <f t="shared" si="26"/>
        <v>18189.629943006999</v>
      </c>
    </row>
    <row r="21" spans="2:28" ht="16.2" x14ac:dyDescent="0.45">
      <c r="B21" s="245" t="s">
        <v>40</v>
      </c>
      <c r="C21" s="246"/>
      <c r="D21" s="79">
        <v>0</v>
      </c>
      <c r="E21" s="81">
        <v>-4</v>
      </c>
      <c r="F21" s="81">
        <v>-61</v>
      </c>
      <c r="G21" s="83">
        <v>-19</v>
      </c>
      <c r="H21" s="85">
        <f>SUM(D21:G21)</f>
        <v>-84</v>
      </c>
      <c r="I21" s="79">
        <v>-1</v>
      </c>
      <c r="J21" s="25">
        <v>0</v>
      </c>
      <c r="K21" s="25">
        <v>-27</v>
      </c>
      <c r="L21" s="25">
        <v>-3</v>
      </c>
      <c r="M21" s="85">
        <f>SUM(I21:L21)</f>
        <v>-31</v>
      </c>
      <c r="N21" s="25">
        <v>56</v>
      </c>
      <c r="O21" s="25">
        <v>20</v>
      </c>
      <c r="P21" s="25">
        <v>47</v>
      </c>
      <c r="Q21" s="25">
        <f>Q9*Q85</f>
        <v>-116.65159763044726</v>
      </c>
      <c r="R21" s="85">
        <f>SUM(N21:Q21)</f>
        <v>6.3484023695527441</v>
      </c>
      <c r="S21" s="25">
        <f>S9*S85</f>
        <v>18.157865407500001</v>
      </c>
      <c r="T21" s="25">
        <f>T9*T85</f>
        <v>21.505225682500498</v>
      </c>
      <c r="U21" s="25">
        <f>U9*U85</f>
        <v>23.859471779539117</v>
      </c>
      <c r="V21" s="25">
        <f>V9*V85</f>
        <v>28.815620627643845</v>
      </c>
      <c r="W21" s="85">
        <f>SUM(S21:V21)</f>
        <v>92.338183497183451</v>
      </c>
      <c r="X21" s="25">
        <f>X9*X85</f>
        <v>20.541446316346374</v>
      </c>
      <c r="Y21" s="25">
        <f>Y9*Y85</f>
        <v>24.030787041285194</v>
      </c>
      <c r="Z21" s="25">
        <f>Z9*Z85</f>
        <v>25.909162030740916</v>
      </c>
      <c r="AA21" s="25">
        <f>AA9*AA85</f>
        <v>31.104014989159033</v>
      </c>
      <c r="AB21" s="85">
        <f>SUM(X21:AA21)</f>
        <v>101.5854103775315</v>
      </c>
    </row>
    <row r="22" spans="2:28" x14ac:dyDescent="0.3">
      <c r="B22" s="247" t="s">
        <v>127</v>
      </c>
      <c r="C22" s="248"/>
      <c r="D22" s="43">
        <f>D18+D21</f>
        <v>1075</v>
      </c>
      <c r="E22" s="42">
        <f t="shared" ref="E22" si="27">E18+E21</f>
        <v>1386</v>
      </c>
      <c r="F22" s="42">
        <f>F18+F21</f>
        <v>1336</v>
      </c>
      <c r="G22" s="50">
        <f t="shared" ref="G22" si="28">G18+G21</f>
        <v>1114</v>
      </c>
      <c r="H22" s="51">
        <f>H18+H21</f>
        <v>4911</v>
      </c>
      <c r="I22" s="43">
        <f t="shared" ref="I22:K22" si="29">I18+I21</f>
        <v>932</v>
      </c>
      <c r="J22" s="14">
        <f>J18+J21</f>
        <v>1273</v>
      </c>
      <c r="K22" s="14">
        <f t="shared" si="29"/>
        <v>1432</v>
      </c>
      <c r="L22" s="14">
        <f>L18+L21</f>
        <v>2557</v>
      </c>
      <c r="M22" s="51">
        <f>M18+M21</f>
        <v>6194</v>
      </c>
      <c r="N22" s="14">
        <f t="shared" ref="N22:AB22" si="30">N18+N21</f>
        <v>2065</v>
      </c>
      <c r="O22" s="14">
        <f t="shared" si="30"/>
        <v>2766</v>
      </c>
      <c r="P22" s="14">
        <f t="shared" si="30"/>
        <v>3169</v>
      </c>
      <c r="Q22" s="14">
        <f t="shared" si="30"/>
        <v>4091.2526576101955</v>
      </c>
      <c r="R22" s="51">
        <f t="shared" si="30"/>
        <v>12018.955227610197</v>
      </c>
      <c r="S22" s="14">
        <f t="shared" si="30"/>
        <v>2493.1679617196696</v>
      </c>
      <c r="T22" s="14">
        <f t="shared" si="30"/>
        <v>3152.9149986829466</v>
      </c>
      <c r="U22" s="14">
        <f t="shared" si="30"/>
        <v>3600.432971833266</v>
      </c>
      <c r="V22" s="14">
        <f t="shared" si="30"/>
        <v>4537.0735595779315</v>
      </c>
      <c r="W22" s="51">
        <f t="shared" si="30"/>
        <v>13462.684368778908</v>
      </c>
      <c r="X22" s="14">
        <f t="shared" si="30"/>
        <v>2501.5215955694125</v>
      </c>
      <c r="Y22" s="14">
        <f t="shared" si="30"/>
        <v>3095.5303992382105</v>
      </c>
      <c r="Z22" s="14">
        <f t="shared" si="30"/>
        <v>3425.9938523281139</v>
      </c>
      <c r="AA22" s="14">
        <f t="shared" si="30"/>
        <v>4492.569363066601</v>
      </c>
      <c r="AB22" s="51">
        <f t="shared" si="30"/>
        <v>13167.18086499162</v>
      </c>
    </row>
    <row r="23" spans="2:28" ht="16.2" x14ac:dyDescent="0.45">
      <c r="B23" s="245" t="s">
        <v>89</v>
      </c>
      <c r="C23" s="246"/>
      <c r="D23" s="79">
        <v>433</v>
      </c>
      <c r="E23" s="81">
        <v>595</v>
      </c>
      <c r="F23" s="81">
        <v>530</v>
      </c>
      <c r="G23" s="83">
        <v>413</v>
      </c>
      <c r="H23" s="85">
        <f>SUM(D23:G23)</f>
        <v>1971</v>
      </c>
      <c r="I23" s="79">
        <v>420</v>
      </c>
      <c r="J23" s="25">
        <v>554</v>
      </c>
      <c r="K23" s="25">
        <v>536</v>
      </c>
      <c r="L23" s="25">
        <v>995</v>
      </c>
      <c r="M23" s="67">
        <f>SUM(I23:L23)</f>
        <v>2505</v>
      </c>
      <c r="N23" s="25">
        <v>555</v>
      </c>
      <c r="O23" s="25">
        <v>711</v>
      </c>
      <c r="P23" s="25">
        <v>790</v>
      </c>
      <c r="Q23" s="25">
        <f>Q22*Q86</f>
        <v>1022.8131644025489</v>
      </c>
      <c r="R23" s="67">
        <f>SUM(N23:Q23)</f>
        <v>3078.8131644025489</v>
      </c>
      <c r="S23" s="25">
        <f>S22*S86</f>
        <v>635.75783023851579</v>
      </c>
      <c r="T23" s="25">
        <f>T22*T86</f>
        <v>803.99332466415137</v>
      </c>
      <c r="U23" s="25">
        <f>U22*U86</f>
        <v>918.11040781748284</v>
      </c>
      <c r="V23" s="25">
        <f>V22*V86</f>
        <v>1156.9537576923726</v>
      </c>
      <c r="W23" s="67">
        <f>SUM(S23:V23)</f>
        <v>3514.8153204125224</v>
      </c>
      <c r="X23" s="25">
        <f>X22*X86</f>
        <v>825.50212653790618</v>
      </c>
      <c r="Y23" s="25">
        <f>Y22*Y86</f>
        <v>1021.5250317486095</v>
      </c>
      <c r="Z23" s="25">
        <f>Z22*Z86</f>
        <v>1130.5779712682777</v>
      </c>
      <c r="AA23" s="25">
        <f>AA22*AA86</f>
        <v>1482.5478898119784</v>
      </c>
      <c r="AB23" s="67">
        <f>SUM(X23:AA23)</f>
        <v>4460.1530193667713</v>
      </c>
    </row>
    <row r="24" spans="2:28" x14ac:dyDescent="0.3">
      <c r="B24" s="247" t="s">
        <v>128</v>
      </c>
      <c r="C24" s="248"/>
      <c r="D24" s="43">
        <f t="shared" ref="D24" si="31">D22-D23</f>
        <v>642</v>
      </c>
      <c r="E24" s="42">
        <f t="shared" ref="E24:H24" si="32">E22-E23</f>
        <v>791</v>
      </c>
      <c r="F24" s="42">
        <f>F22-F23</f>
        <v>806</v>
      </c>
      <c r="G24" s="50">
        <f t="shared" si="32"/>
        <v>701</v>
      </c>
      <c r="H24" s="51">
        <f t="shared" si="32"/>
        <v>2940</v>
      </c>
      <c r="I24" s="43">
        <f t="shared" ref="I24:AB24" si="33">I22-I23</f>
        <v>512</v>
      </c>
      <c r="J24" s="14">
        <f>J22-J23</f>
        <v>719</v>
      </c>
      <c r="K24" s="14">
        <f t="shared" si="33"/>
        <v>896</v>
      </c>
      <c r="L24" s="14">
        <f t="shared" si="33"/>
        <v>1562</v>
      </c>
      <c r="M24" s="51">
        <f>M22-M23</f>
        <v>3689</v>
      </c>
      <c r="N24" s="14">
        <f t="shared" si="33"/>
        <v>1510</v>
      </c>
      <c r="O24" s="14">
        <f t="shared" si="33"/>
        <v>2055</v>
      </c>
      <c r="P24" s="14">
        <f t="shared" si="33"/>
        <v>2379</v>
      </c>
      <c r="Q24" s="14">
        <f t="shared" si="33"/>
        <v>3068.4394932076466</v>
      </c>
      <c r="R24" s="51">
        <f>R22-R23</f>
        <v>8940.1420632076479</v>
      </c>
      <c r="S24" s="14">
        <f t="shared" si="33"/>
        <v>1857.4101314811537</v>
      </c>
      <c r="T24" s="14">
        <f t="shared" si="33"/>
        <v>2348.9216740187953</v>
      </c>
      <c r="U24" s="14">
        <f t="shared" si="33"/>
        <v>2682.3225640157834</v>
      </c>
      <c r="V24" s="14">
        <f t="shared" si="33"/>
        <v>3380.1198018855589</v>
      </c>
      <c r="W24" s="51">
        <f t="shared" si="33"/>
        <v>9947.869048366385</v>
      </c>
      <c r="X24" s="14">
        <f t="shared" si="33"/>
        <v>1676.0194690315063</v>
      </c>
      <c r="Y24" s="14">
        <f t="shared" si="33"/>
        <v>2074.0053674896008</v>
      </c>
      <c r="Z24" s="14">
        <f t="shared" si="33"/>
        <v>2295.4158810598365</v>
      </c>
      <c r="AA24" s="14">
        <f t="shared" si="33"/>
        <v>3010.0214732546228</v>
      </c>
      <c r="AB24" s="51">
        <f t="shared" si="33"/>
        <v>8707.0278456248489</v>
      </c>
    </row>
    <row r="25" spans="2:28" s="19" customFormat="1" ht="16.2" x14ac:dyDescent="0.45">
      <c r="B25" s="245" t="s">
        <v>42</v>
      </c>
      <c r="C25" s="246"/>
      <c r="D25" s="79">
        <v>-56</v>
      </c>
      <c r="E25" s="81">
        <v>-22</v>
      </c>
      <c r="F25" s="81">
        <v>-80</v>
      </c>
      <c r="G25" s="83">
        <v>-269</v>
      </c>
      <c r="H25" s="85">
        <f>SUM(D25:G25)</f>
        <v>-427</v>
      </c>
      <c r="I25" s="79">
        <f>I95</f>
        <v>-230</v>
      </c>
      <c r="J25" s="25">
        <f>J95</f>
        <v>-237</v>
      </c>
      <c r="K25" s="25">
        <f>K95</f>
        <v>-219</v>
      </c>
      <c r="L25" s="25">
        <f>L95</f>
        <v>-260</v>
      </c>
      <c r="M25" s="85">
        <f>SUM(I25:L25)</f>
        <v>-946</v>
      </c>
      <c r="N25" s="25">
        <f>N95</f>
        <v>-249</v>
      </c>
      <c r="O25" s="25">
        <f>O95</f>
        <v>-252</v>
      </c>
      <c r="P25" s="25">
        <f>P95</f>
        <v>-245</v>
      </c>
      <c r="Q25" s="25">
        <f>Q95</f>
        <v>-255.16739999999993</v>
      </c>
      <c r="R25" s="85">
        <f>SUM(N25:Q25)</f>
        <v>-1001.1673999999999</v>
      </c>
      <c r="S25" s="25">
        <f>S95</f>
        <v>-263.06149069086257</v>
      </c>
      <c r="T25" s="25">
        <f>T95</f>
        <v>-284.76355673922012</v>
      </c>
      <c r="U25" s="25">
        <f>U95</f>
        <v>-290.53677517586669</v>
      </c>
      <c r="V25" s="25">
        <f>V95</f>
        <v>-341.43642384590231</v>
      </c>
      <c r="W25" s="85">
        <f>SUM(S25:V25)</f>
        <v>-1179.7982464518516</v>
      </c>
      <c r="X25" s="25">
        <f>X95</f>
        <v>-291.6207626136902</v>
      </c>
      <c r="Y25" s="25">
        <f>Y95</f>
        <v>-312.86253149016557</v>
      </c>
      <c r="Z25" s="25">
        <f>Z95</f>
        <v>-311.5870940557092</v>
      </c>
      <c r="AA25" s="25">
        <f>AA95</f>
        <v>-364.93823393866325</v>
      </c>
      <c r="AB25" s="85">
        <f>SUM(X25:AA25)</f>
        <v>-1281.0086220982282</v>
      </c>
    </row>
    <row r="26" spans="2:28" s="64" customFormat="1" x14ac:dyDescent="0.3">
      <c r="B26" s="247" t="s">
        <v>129</v>
      </c>
      <c r="C26" s="248"/>
      <c r="D26" s="43">
        <f t="shared" ref="D26:E26" si="34">D20+D21-D23+D25</f>
        <v>926</v>
      </c>
      <c r="E26" s="42">
        <f t="shared" si="34"/>
        <v>1091</v>
      </c>
      <c r="F26" s="42">
        <f>F20+F21-F23+F25</f>
        <v>1149</v>
      </c>
      <c r="G26" s="50">
        <f t="shared" ref="G26:H26" si="35">G20+G21-G23+G25</f>
        <v>1518</v>
      </c>
      <c r="H26" s="51">
        <f t="shared" si="35"/>
        <v>4695</v>
      </c>
      <c r="I26" s="43">
        <f>I20+I21-I23+I25</f>
        <v>1189</v>
      </c>
      <c r="J26" s="14">
        <f>J20+J21-J23+J25</f>
        <v>1437</v>
      </c>
      <c r="K26" s="14">
        <f t="shared" ref="K26:AB26" si="36">K20+K21-K23+K25</f>
        <v>1628</v>
      </c>
      <c r="L26" s="14">
        <f>L20+L21-L23+L25</f>
        <v>2265</v>
      </c>
      <c r="M26" s="51">
        <f>M20+M21-M23+M25</f>
        <v>6519</v>
      </c>
      <c r="N26" s="14">
        <f t="shared" si="36"/>
        <v>2229</v>
      </c>
      <c r="O26" s="14">
        <f t="shared" si="36"/>
        <v>2821</v>
      </c>
      <c r="P26" s="14">
        <f t="shared" si="36"/>
        <v>3168</v>
      </c>
      <c r="Q26" s="14">
        <f t="shared" si="36"/>
        <v>3804.1721632076465</v>
      </c>
      <c r="R26" s="51">
        <f>R20+R21-R23+R25</f>
        <v>12022.172163207646</v>
      </c>
      <c r="S26" s="14">
        <f t="shared" si="36"/>
        <v>2575.0418780858267</v>
      </c>
      <c r="T26" s="14">
        <f t="shared" si="36"/>
        <v>3125.7566568033872</v>
      </c>
      <c r="U26" s="14">
        <f t="shared" si="36"/>
        <v>3474.9068866955477</v>
      </c>
      <c r="V26" s="14">
        <f t="shared" si="36"/>
        <v>4311.5583661371802</v>
      </c>
      <c r="W26" s="51">
        <f t="shared" si="36"/>
        <v>13487.26378772194</v>
      </c>
      <c r="X26" s="14">
        <f t="shared" si="36"/>
        <v>2471.5609094416532</v>
      </c>
      <c r="Y26" s="14">
        <f t="shared" si="36"/>
        <v>2927.4943533947726</v>
      </c>
      <c r="Z26" s="14">
        <f t="shared" si="36"/>
        <v>3145.4254736438102</v>
      </c>
      <c r="AA26" s="14">
        <f t="shared" si="36"/>
        <v>4005.5729754392964</v>
      </c>
      <c r="AB26" s="51">
        <f t="shared" si="36"/>
        <v>12550.053711919531</v>
      </c>
    </row>
    <row r="27" spans="2:28" s="19" customFormat="1" ht="16.2" x14ac:dyDescent="0.45">
      <c r="B27" s="73" t="s">
        <v>41</v>
      </c>
      <c r="C27" s="74"/>
      <c r="D27" s="79">
        <v>3</v>
      </c>
      <c r="E27" s="81">
        <v>3</v>
      </c>
      <c r="F27" s="81">
        <v>4</v>
      </c>
      <c r="G27" s="83">
        <v>5</v>
      </c>
      <c r="H27" s="85">
        <f>SUM(D27:G27)</f>
        <v>15</v>
      </c>
      <c r="I27" s="79">
        <v>3</v>
      </c>
      <c r="J27" s="25">
        <v>4</v>
      </c>
      <c r="K27" s="25">
        <v>5</v>
      </c>
      <c r="L27" s="25">
        <v>7</v>
      </c>
      <c r="M27" s="85">
        <f>SUM(I27:L27)</f>
        <v>19</v>
      </c>
      <c r="N27" s="25">
        <v>5</v>
      </c>
      <c r="O27" s="25">
        <v>7</v>
      </c>
      <c r="P27" s="25">
        <v>6</v>
      </c>
      <c r="Q27" s="25">
        <f t="shared" ref="Q27" si="37">Q87</f>
        <v>6.5</v>
      </c>
      <c r="R27" s="85">
        <f>SUM(N27:Q27)</f>
        <v>24.5</v>
      </c>
      <c r="S27" s="25">
        <f>S87</f>
        <v>6.5</v>
      </c>
      <c r="T27" s="25">
        <f t="shared" ref="T27:V27" si="38">T87</f>
        <v>6.5</v>
      </c>
      <c r="U27" s="25">
        <f t="shared" si="38"/>
        <v>6.5</v>
      </c>
      <c r="V27" s="25">
        <f t="shared" si="38"/>
        <v>6.5</v>
      </c>
      <c r="W27" s="85">
        <f>SUM(S27:V27)</f>
        <v>26</v>
      </c>
      <c r="X27" s="25">
        <f>X87</f>
        <v>6.5</v>
      </c>
      <c r="Y27" s="25">
        <f t="shared" ref="Y27:AA27" si="39">Y87</f>
        <v>6.5</v>
      </c>
      <c r="Z27" s="25">
        <f t="shared" si="39"/>
        <v>6.5</v>
      </c>
      <c r="AA27" s="25">
        <f t="shared" si="39"/>
        <v>6.5</v>
      </c>
      <c r="AB27" s="85">
        <f>SUM(X27:AA27)</f>
        <v>26</v>
      </c>
    </row>
    <row r="28" spans="2:28" s="64" customFormat="1" x14ac:dyDescent="0.3">
      <c r="B28" s="71" t="s">
        <v>130</v>
      </c>
      <c r="C28" s="72"/>
      <c r="D28" s="43">
        <f>D24-D27</f>
        <v>639</v>
      </c>
      <c r="E28" s="42">
        <f t="shared" ref="E28:H28" si="40">E24-E27</f>
        <v>788</v>
      </c>
      <c r="F28" s="42">
        <f t="shared" si="40"/>
        <v>802</v>
      </c>
      <c r="G28" s="50">
        <f t="shared" si="40"/>
        <v>696</v>
      </c>
      <c r="H28" s="51">
        <f t="shared" si="40"/>
        <v>2925</v>
      </c>
      <c r="I28" s="43">
        <f>I24-I27</f>
        <v>509</v>
      </c>
      <c r="J28" s="14">
        <f>J24-J27</f>
        <v>715</v>
      </c>
      <c r="K28" s="14">
        <f t="shared" ref="K28:L28" si="41">K24-K27</f>
        <v>891</v>
      </c>
      <c r="L28" s="14">
        <f t="shared" si="41"/>
        <v>1555</v>
      </c>
      <c r="M28" s="51">
        <f>M24-M27</f>
        <v>3670</v>
      </c>
      <c r="N28" s="14">
        <f t="shared" ref="N28:AB28" si="42">N24-N27</f>
        <v>1505</v>
      </c>
      <c r="O28" s="14">
        <f t="shared" si="42"/>
        <v>2048</v>
      </c>
      <c r="P28" s="14">
        <f t="shared" si="42"/>
        <v>2373</v>
      </c>
      <c r="Q28" s="14">
        <f t="shared" si="42"/>
        <v>3061.9394932076466</v>
      </c>
      <c r="R28" s="51">
        <f t="shared" si="42"/>
        <v>8915.6420632076479</v>
      </c>
      <c r="S28" s="14">
        <f t="shared" si="42"/>
        <v>1850.9101314811537</v>
      </c>
      <c r="T28" s="14">
        <f t="shared" si="42"/>
        <v>2342.4216740187953</v>
      </c>
      <c r="U28" s="14">
        <f t="shared" si="42"/>
        <v>2675.8225640157834</v>
      </c>
      <c r="V28" s="14">
        <f t="shared" si="42"/>
        <v>3373.6198018855589</v>
      </c>
      <c r="W28" s="51">
        <f t="shared" si="42"/>
        <v>9921.869048366385</v>
      </c>
      <c r="X28" s="14">
        <f t="shared" si="42"/>
        <v>1669.5194690315063</v>
      </c>
      <c r="Y28" s="14">
        <f t="shared" si="42"/>
        <v>2067.5053674896008</v>
      </c>
      <c r="Z28" s="14">
        <f t="shared" si="42"/>
        <v>2288.9158810598365</v>
      </c>
      <c r="AA28" s="14">
        <f t="shared" si="42"/>
        <v>3003.5214732546228</v>
      </c>
      <c r="AB28" s="51">
        <f t="shared" si="42"/>
        <v>8681.0278456248489</v>
      </c>
    </row>
    <row r="29" spans="2:28" x14ac:dyDescent="0.3">
      <c r="B29" s="249" t="s">
        <v>88</v>
      </c>
      <c r="C29" s="250"/>
      <c r="D29" s="56">
        <v>2545</v>
      </c>
      <c r="E29" s="57">
        <v>2560</v>
      </c>
      <c r="F29" s="57">
        <v>2587</v>
      </c>
      <c r="G29" s="58">
        <v>2761</v>
      </c>
      <c r="H29" s="6">
        <v>2625.064975238095</v>
      </c>
      <c r="I29" s="56">
        <v>2784</v>
      </c>
      <c r="J29" s="15">
        <v>2796</v>
      </c>
      <c r="K29" s="15">
        <v>2808</v>
      </c>
      <c r="L29" s="15">
        <v>2825</v>
      </c>
      <c r="M29" s="6">
        <v>2803</v>
      </c>
      <c r="N29" s="15">
        <v>2843</v>
      </c>
      <c r="O29" s="15">
        <v>2856</v>
      </c>
      <c r="P29" s="15">
        <v>2871</v>
      </c>
      <c r="Q29" s="15">
        <f>P29*(1+Q100)</f>
        <v>2899.2757650369331</v>
      </c>
      <c r="R29" s="95">
        <f>((N29*N24/R24)+(O29*O24/R24)+(P29*P24/R24)+(Q29*Q24/R24))</f>
        <v>2895.7449530562171</v>
      </c>
      <c r="S29" s="15">
        <f>Q29*(1+S100)</f>
        <v>2927.8300110520704</v>
      </c>
      <c r="T29" s="15">
        <f>S29*(1+T100)</f>
        <v>2956.6654807353129</v>
      </c>
      <c r="U29" s="15">
        <f>T29*(1+U100)</f>
        <v>2985.7849437886334</v>
      </c>
      <c r="V29" s="15">
        <f>U29*(1+V100)</f>
        <v>3015.1911971921095</v>
      </c>
      <c r="W29" s="95">
        <f>((S29*S24/W24)+(T29*T24/W24)+(U29*U24/W24)+(V29*V24/W24))</f>
        <v>3074.397381562876</v>
      </c>
      <c r="X29" s="15">
        <f>V29*(1+X100)</f>
        <v>3044.8870654725806</v>
      </c>
      <c r="Y29" s="15">
        <f>X29*(1+Y100)</f>
        <v>3074.8754009749491</v>
      </c>
      <c r="Z29" s="15">
        <f>Y29*(1+Z100)</f>
        <v>3105.1590841361517</v>
      </c>
      <c r="AA29" s="15">
        <f>Z29*(1+AA100)</f>
        <v>3135.7410237618333</v>
      </c>
      <c r="AB29" s="95">
        <f>((X29*X24/AB24)+(Y29*Y24/AB24)+(Z29*Z24/AB24)+(AA29*AA24/AB24))</f>
        <v>3221.1769477506691</v>
      </c>
    </row>
    <row r="30" spans="2:28" ht="15.75" customHeight="1" x14ac:dyDescent="0.3">
      <c r="B30" s="249" t="s">
        <v>87</v>
      </c>
      <c r="C30" s="250"/>
      <c r="D30" s="56">
        <v>2609</v>
      </c>
      <c r="E30" s="57">
        <v>2615</v>
      </c>
      <c r="F30" s="57">
        <v>2644</v>
      </c>
      <c r="G30" s="58">
        <v>2816</v>
      </c>
      <c r="H30" s="6">
        <f>AVERAGE(D30:G30)</f>
        <v>2671</v>
      </c>
      <c r="I30" s="56">
        <v>2836</v>
      </c>
      <c r="J30" s="15">
        <v>2850</v>
      </c>
      <c r="K30" s="15">
        <v>2863</v>
      </c>
      <c r="L30" s="15">
        <v>2878</v>
      </c>
      <c r="M30" s="6">
        <v>2853</v>
      </c>
      <c r="N30" s="15">
        <v>2888</v>
      </c>
      <c r="O30" s="15">
        <v>2904</v>
      </c>
      <c r="P30" s="15">
        <v>2915</v>
      </c>
      <c r="Q30" s="15">
        <f>P30*(1+Q101)</f>
        <v>2942.2524238227147</v>
      </c>
      <c r="R30" s="95">
        <f>((N30*N24/R24)+(O30*O24/R24)+(P30*P24/R24)+(Q30*Q24/R24))</f>
        <v>2940.8378916531856</v>
      </c>
      <c r="S30" s="15">
        <f>Q30*(1+S101)</f>
        <v>2969.7596313861541</v>
      </c>
      <c r="T30" s="15">
        <f>S30*(1+T101)</f>
        <v>2997.5240046712738</v>
      </c>
      <c r="U30" s="15">
        <f>T30*(1+U101)</f>
        <v>3025.5479479282421</v>
      </c>
      <c r="V30" s="15">
        <f>U30*(1+V101)</f>
        <v>3053.8338878846348</v>
      </c>
      <c r="W30" s="95">
        <f>((S30*S24/W24)+(T30*T24/W24)+(U30*U24/W24)+(V30*V24/W24))</f>
        <v>3115.7256398345771</v>
      </c>
      <c r="X30" s="15">
        <f>V30*(1+X101)</f>
        <v>3082.384273955578</v>
      </c>
      <c r="Y30" s="15">
        <f>X30*(1+Y101)</f>
        <v>3111.2015784558548</v>
      </c>
      <c r="Z30" s="15">
        <f>Y30*(1+Z101)</f>
        <v>3140.2882968139947</v>
      </c>
      <c r="AA30" s="15">
        <f>Z30*(1+AA101)</f>
        <v>3169.6469477883638</v>
      </c>
      <c r="AB30" s="95">
        <f>((X30*X24/AB24)+(Y30*Y24/AB24)+(Z30*Z24/AB24)+(AA30*AA24/AB24))</f>
        <v>3258.0299883377729</v>
      </c>
    </row>
    <row r="31" spans="2:28" ht="15.75" customHeight="1" x14ac:dyDescent="0.3">
      <c r="B31" s="267" t="s">
        <v>131</v>
      </c>
      <c r="C31" s="268"/>
      <c r="D31" s="59">
        <f t="shared" ref="D31:H31" si="43">D24/D29</f>
        <v>0.25225933202357564</v>
      </c>
      <c r="E31" s="7">
        <f t="shared" si="43"/>
        <v>0.30898437499999998</v>
      </c>
      <c r="F31" s="7">
        <f t="shared" si="43"/>
        <v>0.31155778894472363</v>
      </c>
      <c r="G31" s="60">
        <f t="shared" si="43"/>
        <v>0.25389351684172401</v>
      </c>
      <c r="H31" s="61">
        <f t="shared" si="43"/>
        <v>1.1199722779179362</v>
      </c>
      <c r="I31" s="59">
        <f>I24/I29</f>
        <v>0.18390804597701149</v>
      </c>
      <c r="J31" s="16">
        <f>J24/J29</f>
        <v>0.25715307582260372</v>
      </c>
      <c r="K31" s="16">
        <f>K24/K29</f>
        <v>0.31908831908831908</v>
      </c>
      <c r="L31" s="16">
        <f>L24/L29</f>
        <v>0.55292035398230088</v>
      </c>
      <c r="M31" s="61">
        <f t="shared" ref="M31:AB31" si="44">M24/M29</f>
        <v>1.3160899036746343</v>
      </c>
      <c r="N31" s="16">
        <f t="shared" si="44"/>
        <v>0.53112908899050304</v>
      </c>
      <c r="O31" s="16">
        <f t="shared" si="44"/>
        <v>0.71953781512605042</v>
      </c>
      <c r="P31" s="16">
        <f t="shared" si="44"/>
        <v>0.82863113897596652</v>
      </c>
      <c r="Q31" s="16">
        <f t="shared" si="44"/>
        <v>1.0583468913894634</v>
      </c>
      <c r="R31" s="61">
        <f t="shared" si="44"/>
        <v>3.0873375273509756</v>
      </c>
      <c r="S31" s="16">
        <f t="shared" si="44"/>
        <v>0.63439821453764045</v>
      </c>
      <c r="T31" s="16">
        <f t="shared" si="44"/>
        <v>0.79444958833646151</v>
      </c>
      <c r="U31" s="16">
        <f t="shared" si="44"/>
        <v>0.89836428762086606</v>
      </c>
      <c r="V31" s="16">
        <f t="shared" si="44"/>
        <v>1.1210300046754211</v>
      </c>
      <c r="W31" s="61">
        <f t="shared" si="44"/>
        <v>3.2357134793386293</v>
      </c>
      <c r="X31" s="16">
        <f t="shared" si="44"/>
        <v>0.55043731770438598</v>
      </c>
      <c r="Y31" s="16">
        <f t="shared" si="44"/>
        <v>0.6745006210111788</v>
      </c>
      <c r="Z31" s="16">
        <f t="shared" si="44"/>
        <v>0.73922649979088462</v>
      </c>
      <c r="AA31" s="16">
        <f t="shared" si="44"/>
        <v>0.9599075467155801</v>
      </c>
      <c r="AB31" s="61">
        <f t="shared" si="44"/>
        <v>2.7030579154320971</v>
      </c>
    </row>
    <row r="32" spans="2:28" x14ac:dyDescent="0.3">
      <c r="B32" s="267" t="s">
        <v>132</v>
      </c>
      <c r="C32" s="268"/>
      <c r="D32" s="59">
        <f t="shared" ref="D32:AB32" si="45">D24/D30</f>
        <v>0.24607129168263703</v>
      </c>
      <c r="E32" s="7">
        <f t="shared" si="45"/>
        <v>0.30248565965583174</v>
      </c>
      <c r="F32" s="7">
        <f t="shared" si="45"/>
        <v>0.30484114977307109</v>
      </c>
      <c r="G32" s="60">
        <f t="shared" si="45"/>
        <v>0.24893465909090909</v>
      </c>
      <c r="H32" s="61">
        <f t="shared" si="45"/>
        <v>1.1007113440658929</v>
      </c>
      <c r="I32" s="59">
        <f t="shared" si="45"/>
        <v>0.18053596614950634</v>
      </c>
      <c r="J32" s="16">
        <f>J24/J30</f>
        <v>0.25228070175438594</v>
      </c>
      <c r="K32" s="16">
        <f t="shared" si="45"/>
        <v>0.31295843520782396</v>
      </c>
      <c r="L32" s="16">
        <f t="shared" si="45"/>
        <v>0.54273801250868658</v>
      </c>
      <c r="M32" s="61">
        <f>M24/M30</f>
        <v>1.293024886084823</v>
      </c>
      <c r="N32" s="16">
        <f t="shared" si="45"/>
        <v>0.52285318559556782</v>
      </c>
      <c r="O32" s="16">
        <f t="shared" si="45"/>
        <v>0.7076446280991735</v>
      </c>
      <c r="P32" s="16">
        <f t="shared" si="45"/>
        <v>0.81612349914236704</v>
      </c>
      <c r="Q32" s="16">
        <f t="shared" si="45"/>
        <v>1.042887914158291</v>
      </c>
      <c r="R32" s="61">
        <f t="shared" si="45"/>
        <v>3.0399982564771588</v>
      </c>
      <c r="S32" s="16">
        <f t="shared" si="45"/>
        <v>0.62544123499119553</v>
      </c>
      <c r="T32" s="16">
        <f t="shared" si="45"/>
        <v>0.78362063835295026</v>
      </c>
      <c r="U32" s="16">
        <f t="shared" si="45"/>
        <v>0.88655761210213713</v>
      </c>
      <c r="V32" s="16">
        <f t="shared" si="45"/>
        <v>1.1068446831032253</v>
      </c>
      <c r="W32" s="61">
        <f t="shared" si="45"/>
        <v>3.1927936533251837</v>
      </c>
      <c r="X32" s="16">
        <f t="shared" si="45"/>
        <v>0.5437412470576537</v>
      </c>
      <c r="Y32" s="16">
        <f t="shared" si="45"/>
        <v>0.66662519775364948</v>
      </c>
      <c r="Z32" s="16">
        <f t="shared" si="45"/>
        <v>0.73095705365289854</v>
      </c>
      <c r="AA32" s="16">
        <f t="shared" si="45"/>
        <v>0.94963935190159887</v>
      </c>
      <c r="AB32" s="61">
        <f t="shared" si="45"/>
        <v>2.6724824132349752</v>
      </c>
    </row>
    <row r="33" spans="2:28" s="64" customFormat="1" x14ac:dyDescent="0.3">
      <c r="B33" s="267" t="s">
        <v>133</v>
      </c>
      <c r="C33" s="268"/>
      <c r="D33" s="7">
        <f>D26/D30</f>
        <v>0.35492525871981601</v>
      </c>
      <c r="E33" s="7">
        <f t="shared" ref="E33:Q33" si="46">E26/E30</f>
        <v>0.41720841300191203</v>
      </c>
      <c r="F33" s="7">
        <f t="shared" si="46"/>
        <v>0.43456883509833588</v>
      </c>
      <c r="G33" s="7">
        <f t="shared" si="46"/>
        <v>0.5390625</v>
      </c>
      <c r="H33" s="61">
        <f t="shared" si="46"/>
        <v>1.7577686259827781</v>
      </c>
      <c r="I33" s="7">
        <f>I26/I30</f>
        <v>0.41925246826516221</v>
      </c>
      <c r="J33" s="16">
        <f>J26/J30</f>
        <v>0.50421052631578944</v>
      </c>
      <c r="K33" s="16">
        <f t="shared" si="46"/>
        <v>0.56863429968564438</v>
      </c>
      <c r="L33" s="16">
        <f t="shared" si="46"/>
        <v>0.78700486448922868</v>
      </c>
      <c r="M33" s="61">
        <f t="shared" ref="M33" si="47">M26/M30</f>
        <v>2.2849631966351209</v>
      </c>
      <c r="N33" s="16">
        <f t="shared" si="46"/>
        <v>0.77181440443213301</v>
      </c>
      <c r="O33" s="16">
        <f t="shared" si="46"/>
        <v>0.97141873278236912</v>
      </c>
      <c r="P33" s="16">
        <f t="shared" si="46"/>
        <v>1.0867924528301887</v>
      </c>
      <c r="Q33" s="16">
        <f t="shared" si="46"/>
        <v>1.2929455448506639</v>
      </c>
      <c r="R33" s="61">
        <f t="shared" ref="R33:V33" si="48">R26/R30</f>
        <v>4.0880091341755014</v>
      </c>
      <c r="S33" s="16">
        <f t="shared" si="48"/>
        <v>0.86708764267359562</v>
      </c>
      <c r="T33" s="16">
        <f t="shared" si="48"/>
        <v>1.0427795246784608</v>
      </c>
      <c r="U33" s="16">
        <f t="shared" si="48"/>
        <v>1.1485215063522647</v>
      </c>
      <c r="V33" s="16">
        <f t="shared" si="48"/>
        <v>1.4118509795972434</v>
      </c>
      <c r="W33" s="61">
        <f t="shared" ref="W33:AB33" si="49">W26/W30</f>
        <v>4.3287713190427182</v>
      </c>
      <c r="X33" s="16">
        <f t="shared" si="49"/>
        <v>0.80183412896469775</v>
      </c>
      <c r="Y33" s="16">
        <f t="shared" si="49"/>
        <v>0.94095296610377155</v>
      </c>
      <c r="Z33" s="16">
        <f t="shared" si="49"/>
        <v>1.0016358933780147</v>
      </c>
      <c r="AA33" s="16">
        <f t="shared" si="49"/>
        <v>1.2637284345608915</v>
      </c>
      <c r="AB33" s="61">
        <f t="shared" si="49"/>
        <v>3.8520375063590166</v>
      </c>
    </row>
    <row r="34" spans="2:28" x14ac:dyDescent="0.3">
      <c r="B34" s="265" t="s">
        <v>24</v>
      </c>
      <c r="C34" s="266"/>
      <c r="D34" s="62"/>
      <c r="E34" s="62"/>
      <c r="F34" s="62"/>
      <c r="G34" s="62"/>
      <c r="H34" s="63"/>
      <c r="I34" s="62"/>
      <c r="J34" s="47"/>
      <c r="K34" s="47"/>
      <c r="L34" s="47"/>
      <c r="M34" s="63"/>
      <c r="N34" s="47"/>
      <c r="O34" s="47"/>
      <c r="P34" s="47"/>
      <c r="Q34" s="47"/>
      <c r="R34" s="63"/>
      <c r="S34" s="47"/>
      <c r="T34" s="47"/>
      <c r="U34" s="47"/>
      <c r="V34" s="47"/>
      <c r="W34" s="63"/>
      <c r="X34" s="47"/>
      <c r="Y34" s="47"/>
      <c r="Z34" s="47"/>
      <c r="AA34" s="47"/>
      <c r="AB34" s="63"/>
    </row>
    <row r="35" spans="2:28" x14ac:dyDescent="0.3">
      <c r="B35" s="52"/>
      <c r="C35" s="55"/>
      <c r="D35" s="151">
        <f t="shared" ref="D35:AB35" si="50">D9-D44</f>
        <v>0</v>
      </c>
      <c r="E35" s="151">
        <f t="shared" si="50"/>
        <v>0</v>
      </c>
      <c r="F35" s="151">
        <f t="shared" si="50"/>
        <v>0</v>
      </c>
      <c r="G35" s="151">
        <f t="shared" si="50"/>
        <v>0</v>
      </c>
      <c r="H35" s="151">
        <f t="shared" si="50"/>
        <v>0</v>
      </c>
      <c r="I35" s="151">
        <f t="shared" si="50"/>
        <v>0</v>
      </c>
      <c r="J35" s="151">
        <f t="shared" si="50"/>
        <v>0</v>
      </c>
      <c r="K35" s="151">
        <f t="shared" si="50"/>
        <v>0</v>
      </c>
      <c r="L35" s="151">
        <f t="shared" si="50"/>
        <v>0</v>
      </c>
      <c r="M35" s="151">
        <f t="shared" si="50"/>
        <v>0</v>
      </c>
      <c r="N35" s="151">
        <f t="shared" si="50"/>
        <v>0</v>
      </c>
      <c r="O35" s="151">
        <f t="shared" si="50"/>
        <v>0</v>
      </c>
      <c r="P35" s="151">
        <f t="shared" si="50"/>
        <v>0</v>
      </c>
      <c r="Q35" s="151">
        <f t="shared" si="50"/>
        <v>0</v>
      </c>
      <c r="R35" s="151">
        <f t="shared" si="50"/>
        <v>0</v>
      </c>
      <c r="S35" s="151">
        <f t="shared" si="50"/>
        <v>0</v>
      </c>
      <c r="T35" s="151">
        <f t="shared" si="50"/>
        <v>0</v>
      </c>
      <c r="U35" s="151">
        <f t="shared" si="50"/>
        <v>0</v>
      </c>
      <c r="V35" s="151">
        <f t="shared" si="50"/>
        <v>0</v>
      </c>
      <c r="W35" s="151">
        <f t="shared" si="50"/>
        <v>0</v>
      </c>
      <c r="X35" s="151">
        <f t="shared" si="50"/>
        <v>0</v>
      </c>
      <c r="Y35" s="151">
        <f t="shared" si="50"/>
        <v>0</v>
      </c>
      <c r="Z35" s="151">
        <f t="shared" si="50"/>
        <v>0</v>
      </c>
      <c r="AA35" s="151">
        <f t="shared" si="50"/>
        <v>0</v>
      </c>
      <c r="AB35" s="151">
        <f t="shared" si="50"/>
        <v>0</v>
      </c>
    </row>
    <row r="36" spans="2:28" ht="15.6" x14ac:dyDescent="0.3">
      <c r="B36" s="255" t="s">
        <v>26</v>
      </c>
      <c r="C36" s="256"/>
      <c r="D36" s="68" t="s">
        <v>6</v>
      </c>
      <c r="E36" s="68" t="s">
        <v>5</v>
      </c>
      <c r="F36" s="68" t="s">
        <v>4</v>
      </c>
      <c r="G36" s="68" t="s">
        <v>7</v>
      </c>
      <c r="H36" s="68" t="s">
        <v>7</v>
      </c>
      <c r="I36" s="68" t="s">
        <v>8</v>
      </c>
      <c r="J36" s="68" t="s">
        <v>9</v>
      </c>
      <c r="K36" s="68" t="s">
        <v>10</v>
      </c>
      <c r="L36" s="68" t="s">
        <v>12</v>
      </c>
      <c r="M36" s="68" t="s">
        <v>12</v>
      </c>
      <c r="N36" s="68" t="s">
        <v>13</v>
      </c>
      <c r="O36" s="68" t="s">
        <v>14</v>
      </c>
      <c r="P36" s="68" t="s">
        <v>15</v>
      </c>
      <c r="Q36" s="87" t="s">
        <v>11</v>
      </c>
      <c r="R36" s="87" t="s">
        <v>11</v>
      </c>
      <c r="S36" s="87" t="s">
        <v>16</v>
      </c>
      <c r="T36" s="87" t="s">
        <v>17</v>
      </c>
      <c r="U36" s="87" t="s">
        <v>18</v>
      </c>
      <c r="V36" s="87" t="s">
        <v>19</v>
      </c>
      <c r="W36" s="87" t="s">
        <v>19</v>
      </c>
      <c r="X36" s="87" t="s">
        <v>20</v>
      </c>
      <c r="Y36" s="87" t="s">
        <v>21</v>
      </c>
      <c r="Z36" s="87" t="s">
        <v>22</v>
      </c>
      <c r="AA36" s="87" t="s">
        <v>23</v>
      </c>
      <c r="AB36" s="87" t="s">
        <v>23</v>
      </c>
    </row>
    <row r="37" spans="2:28" ht="16.2" x14ac:dyDescent="0.45">
      <c r="B37" s="253"/>
      <c r="C37" s="254"/>
      <c r="D37" s="69" t="s">
        <v>29</v>
      </c>
      <c r="E37" s="69" t="s">
        <v>30</v>
      </c>
      <c r="F37" s="69" t="s">
        <v>31</v>
      </c>
      <c r="G37" s="69" t="s">
        <v>32</v>
      </c>
      <c r="H37" s="75" t="s">
        <v>73</v>
      </c>
      <c r="I37" s="69" t="s">
        <v>33</v>
      </c>
      <c r="J37" s="69" t="s">
        <v>74</v>
      </c>
      <c r="K37" s="69" t="s">
        <v>98</v>
      </c>
      <c r="L37" s="69" t="s">
        <v>99</v>
      </c>
      <c r="M37" s="69" t="s">
        <v>100</v>
      </c>
      <c r="N37" s="69" t="s">
        <v>118</v>
      </c>
      <c r="O37" s="69" t="s">
        <v>121</v>
      </c>
      <c r="P37" s="69" t="s">
        <v>144</v>
      </c>
      <c r="Q37" s="88" t="s">
        <v>47</v>
      </c>
      <c r="R37" s="89" t="s">
        <v>48</v>
      </c>
      <c r="S37" s="88" t="s">
        <v>49</v>
      </c>
      <c r="T37" s="88" t="s">
        <v>50</v>
      </c>
      <c r="U37" s="88" t="s">
        <v>51</v>
      </c>
      <c r="V37" s="88" t="s">
        <v>52</v>
      </c>
      <c r="W37" s="89" t="s">
        <v>53</v>
      </c>
      <c r="X37" s="88" t="s">
        <v>54</v>
      </c>
      <c r="Y37" s="88" t="s">
        <v>55</v>
      </c>
      <c r="Z37" s="88" t="s">
        <v>56</v>
      </c>
      <c r="AA37" s="88" t="s">
        <v>57</v>
      </c>
      <c r="AB37" s="89" t="s">
        <v>58</v>
      </c>
    </row>
    <row r="38" spans="2:28" s="94" customFormat="1" ht="16.2" x14ac:dyDescent="0.45">
      <c r="B38" s="157" t="s">
        <v>134</v>
      </c>
      <c r="C38" s="154"/>
      <c r="D38" s="2"/>
      <c r="E38" s="2"/>
      <c r="F38" s="2"/>
      <c r="G38" s="2"/>
      <c r="H38" s="17"/>
      <c r="I38" s="3"/>
      <c r="J38" s="2"/>
      <c r="K38" s="2"/>
      <c r="L38" s="2"/>
      <c r="M38" s="18"/>
      <c r="N38" s="2"/>
      <c r="O38" s="2"/>
      <c r="P38" s="2"/>
      <c r="Q38" s="2"/>
      <c r="R38" s="18"/>
      <c r="S38" s="2"/>
      <c r="T38" s="2"/>
      <c r="U38" s="2"/>
      <c r="V38" s="2"/>
      <c r="W38" s="18"/>
      <c r="X38" s="2"/>
      <c r="Y38" s="2"/>
      <c r="Z38" s="2"/>
      <c r="AA38" s="2"/>
      <c r="AB38" s="18"/>
    </row>
    <row r="39" spans="2:28" outlineLevel="1" x14ac:dyDescent="0.3">
      <c r="B39" s="249" t="s">
        <v>43</v>
      </c>
      <c r="C39" s="250"/>
      <c r="D39" s="20">
        <v>1179</v>
      </c>
      <c r="E39" s="20">
        <v>1308</v>
      </c>
      <c r="F39" s="20">
        <v>1514</v>
      </c>
      <c r="G39" s="20">
        <v>1864</v>
      </c>
      <c r="H39" s="40">
        <f t="shared" ref="H39:H43" si="51">SUM(D39:G39)</f>
        <v>5865</v>
      </c>
      <c r="I39" s="66">
        <v>1739</v>
      </c>
      <c r="J39" s="66">
        <v>1967</v>
      </c>
      <c r="K39" s="20">
        <v>2256</v>
      </c>
      <c r="L39" s="20">
        <v>2951</v>
      </c>
      <c r="M39" s="40">
        <f t="shared" ref="M39:M43" si="52">SUM(I39:L39)</f>
        <v>8913</v>
      </c>
      <c r="N39" s="66">
        <v>2740</v>
      </c>
      <c r="O39" s="66">
        <v>3212</v>
      </c>
      <c r="P39" s="20">
        <v>3560</v>
      </c>
      <c r="Q39" s="20">
        <f t="shared" ref="Q39:Q42" si="53">(((P46+Q46)/2)*Q58)</f>
        <v>4240.4762499999979</v>
      </c>
      <c r="R39" s="40">
        <f t="shared" ref="R39:R40" si="54">SUM(N39:Q39)</f>
        <v>13752.476249999998</v>
      </c>
      <c r="S39" s="66">
        <f>(((Q46+S46)/2)*S58)</f>
        <v>2932.9661624999999</v>
      </c>
      <c r="T39" s="66">
        <f t="shared" ref="T39:V42" si="55">(((S46+T46)/2)*T58)</f>
        <v>3443.0456657334994</v>
      </c>
      <c r="U39" s="20">
        <f t="shared" si="55"/>
        <v>3779.1182483496223</v>
      </c>
      <c r="V39" s="20">
        <f t="shared" si="55"/>
        <v>4459.1195890367853</v>
      </c>
      <c r="W39" s="40">
        <f t="shared" ref="W39:W40" si="56">SUM(S39:V39)</f>
        <v>14614.249665619907</v>
      </c>
      <c r="X39" s="66">
        <f>(((V46+X46)/2)*X58)</f>
        <v>3059.5861310646428</v>
      </c>
      <c r="Y39" s="66">
        <f t="shared" ref="Y39:AA42" si="57">(((X46+Y46)/2)*Y58)</f>
        <v>3584.611111155335</v>
      </c>
      <c r="Z39" s="20">
        <f t="shared" si="57"/>
        <v>3932.5656034967928</v>
      </c>
      <c r="AA39" s="20">
        <f t="shared" si="57"/>
        <v>4640.1777254212311</v>
      </c>
      <c r="AB39" s="40">
        <f t="shared" ref="AB39:AB40" si="58">SUM(X39:AA39)</f>
        <v>15216.940571138002</v>
      </c>
    </row>
    <row r="40" spans="2:28" outlineLevel="1" x14ac:dyDescent="0.3">
      <c r="B40" s="249" t="s">
        <v>44</v>
      </c>
      <c r="C40" s="250"/>
      <c r="D40" s="20">
        <v>698</v>
      </c>
      <c r="E40" s="20">
        <v>824</v>
      </c>
      <c r="F40" s="20">
        <v>844</v>
      </c>
      <c r="G40" s="20">
        <v>1030</v>
      </c>
      <c r="H40" s="40">
        <f t="shared" si="51"/>
        <v>3396</v>
      </c>
      <c r="I40" s="66">
        <v>908</v>
      </c>
      <c r="J40" s="66">
        <v>1037</v>
      </c>
      <c r="K40" s="20">
        <v>1085</v>
      </c>
      <c r="L40" s="20">
        <v>1434</v>
      </c>
      <c r="M40" s="40">
        <f t="shared" si="52"/>
        <v>4464</v>
      </c>
      <c r="N40" s="66">
        <v>1307</v>
      </c>
      <c r="O40" s="66">
        <v>1585</v>
      </c>
      <c r="P40" s="20">
        <v>1605</v>
      </c>
      <c r="Q40" s="20">
        <f t="shared" si="53"/>
        <v>1812.5572500000001</v>
      </c>
      <c r="R40" s="40">
        <f t="shared" si="54"/>
        <v>6309.5572499999998</v>
      </c>
      <c r="S40" s="66">
        <f>(((Q47+S47)/2)*S59)</f>
        <v>1414.9018799999999</v>
      </c>
      <c r="T40" s="66">
        <f t="shared" si="55"/>
        <v>1730.6018619750002</v>
      </c>
      <c r="U40" s="20">
        <f t="shared" si="55"/>
        <v>1782.51991783425</v>
      </c>
      <c r="V40" s="20">
        <f t="shared" si="55"/>
        <v>2029.2582011976226</v>
      </c>
      <c r="W40" s="40">
        <f t="shared" si="56"/>
        <v>6957.2818610068734</v>
      </c>
      <c r="X40" s="66">
        <f>(((V47+X47)/2)*X59)</f>
        <v>1584.6397798402154</v>
      </c>
      <c r="Y40" s="66">
        <f t="shared" si="57"/>
        <v>1919.3949333314608</v>
      </c>
      <c r="Z40" s="20">
        <f t="shared" si="57"/>
        <v>1957.7828319980902</v>
      </c>
      <c r="AA40" s="20">
        <f t="shared" si="57"/>
        <v>2207.1425400736362</v>
      </c>
      <c r="AB40" s="40">
        <f t="shared" si="58"/>
        <v>7668.9600852434023</v>
      </c>
    </row>
    <row r="41" spans="2:28" s="64" customFormat="1" outlineLevel="1" x14ac:dyDescent="0.3">
      <c r="B41" s="249" t="s">
        <v>45</v>
      </c>
      <c r="C41" s="250"/>
      <c r="D41" s="20">
        <v>354</v>
      </c>
      <c r="E41" s="20">
        <v>431</v>
      </c>
      <c r="F41" s="20">
        <v>492</v>
      </c>
      <c r="G41" s="20">
        <v>554</v>
      </c>
      <c r="H41" s="40">
        <f>SUM(D41:G41)</f>
        <v>1831</v>
      </c>
      <c r="I41" s="66">
        <v>542</v>
      </c>
      <c r="J41" s="66">
        <v>623</v>
      </c>
      <c r="K41" s="20">
        <v>709</v>
      </c>
      <c r="L41" s="20">
        <v>846</v>
      </c>
      <c r="M41" s="40">
        <f>SUM(I41:L41)</f>
        <v>2720</v>
      </c>
      <c r="N41" s="66">
        <v>862</v>
      </c>
      <c r="O41" s="66">
        <v>1025</v>
      </c>
      <c r="P41" s="20">
        <v>1154</v>
      </c>
      <c r="Q41" s="20">
        <f t="shared" si="53"/>
        <v>1608.6675</v>
      </c>
      <c r="R41" s="40">
        <f>SUM(N41:Q41)</f>
        <v>4649.6674999999996</v>
      </c>
      <c r="S41" s="66">
        <f>(((Q48+S48)/2)*S60)</f>
        <v>1079.0117600000001</v>
      </c>
      <c r="T41" s="66">
        <f t="shared" si="55"/>
        <v>1239.1775681250001</v>
      </c>
      <c r="U41" s="20">
        <f t="shared" si="55"/>
        <v>1412.6624276625</v>
      </c>
      <c r="V41" s="20">
        <f t="shared" si="55"/>
        <v>1951.7046697968751</v>
      </c>
      <c r="W41" s="40">
        <f>SUM(S41:V41)</f>
        <v>5682.5564255843756</v>
      </c>
      <c r="X41" s="66">
        <f>(((V48+X48)/2)*X60)</f>
        <v>1298.7499718781003</v>
      </c>
      <c r="Y41" s="66">
        <f t="shared" si="57"/>
        <v>1463.1230151939224</v>
      </c>
      <c r="Z41" s="20">
        <f t="shared" si="57"/>
        <v>1636.1895661340034</v>
      </c>
      <c r="AA41" s="20">
        <f t="shared" si="57"/>
        <v>2217.4674383131887</v>
      </c>
      <c r="AB41" s="40">
        <f>SUM(X41:AA41)</f>
        <v>6615.5299915192145</v>
      </c>
    </row>
    <row r="42" spans="2:28" outlineLevel="1" x14ac:dyDescent="0.3">
      <c r="B42" s="249" t="s">
        <v>46</v>
      </c>
      <c r="C42" s="250"/>
      <c r="D42" s="20">
        <v>271</v>
      </c>
      <c r="E42" s="20">
        <v>347</v>
      </c>
      <c r="F42" s="20">
        <v>353</v>
      </c>
      <c r="G42" s="20">
        <v>403</v>
      </c>
      <c r="H42" s="40">
        <f t="shared" si="51"/>
        <v>1374</v>
      </c>
      <c r="I42" s="66">
        <v>354</v>
      </c>
      <c r="J42" s="66">
        <v>415</v>
      </c>
      <c r="K42" s="20">
        <v>451</v>
      </c>
      <c r="L42" s="20">
        <v>610</v>
      </c>
      <c r="M42" s="40">
        <f t="shared" si="52"/>
        <v>1830</v>
      </c>
      <c r="N42" s="66">
        <v>473</v>
      </c>
      <c r="O42" s="66">
        <v>614</v>
      </c>
      <c r="P42" s="20">
        <v>692</v>
      </c>
      <c r="Q42" s="20">
        <f t="shared" si="53"/>
        <v>808.29900000000009</v>
      </c>
      <c r="R42" s="40">
        <f t="shared" ref="R42" si="59">SUM(N42:Q42)</f>
        <v>2587.299</v>
      </c>
      <c r="S42" s="66">
        <f>(((Q49+S49)/2)*S61)</f>
        <v>625.74199999999996</v>
      </c>
      <c r="T42" s="66">
        <f t="shared" si="55"/>
        <v>755.58346499999993</v>
      </c>
      <c r="U42" s="20">
        <f t="shared" si="55"/>
        <v>827.85666600000002</v>
      </c>
      <c r="V42" s="20">
        <f t="shared" si="55"/>
        <v>1014.1244158500002</v>
      </c>
      <c r="W42" s="40">
        <f t="shared" ref="W42" si="60">SUM(S42:V42)</f>
        <v>3223.3065468500004</v>
      </c>
      <c r="X42" s="66">
        <f>(((V49+X49)/2)*X61)</f>
        <v>753.17288933250006</v>
      </c>
      <c r="Y42" s="66">
        <f t="shared" si="57"/>
        <v>892.13328741434634</v>
      </c>
      <c r="Z42" s="20">
        <f t="shared" si="57"/>
        <v>958.84934195141932</v>
      </c>
      <c r="AA42" s="20">
        <f t="shared" si="57"/>
        <v>1152.2172925782888</v>
      </c>
      <c r="AB42" s="40">
        <f t="shared" ref="AB42" si="61">SUM(X42:AA42)</f>
        <v>3756.3728112765548</v>
      </c>
    </row>
    <row r="43" spans="2:28" s="94" customFormat="1" ht="16.2" outlineLevel="1" x14ac:dyDescent="0.45">
      <c r="B43" s="259" t="s">
        <v>142</v>
      </c>
      <c r="C43" s="260"/>
      <c r="D43" s="193">
        <v>0</v>
      </c>
      <c r="E43" s="193">
        <v>0</v>
      </c>
      <c r="F43" s="193">
        <v>0</v>
      </c>
      <c r="G43" s="193">
        <v>0</v>
      </c>
      <c r="H43" s="194">
        <f t="shared" si="51"/>
        <v>0</v>
      </c>
      <c r="I43" s="193">
        <v>0</v>
      </c>
      <c r="J43" s="193">
        <v>0</v>
      </c>
      <c r="K43" s="193">
        <v>0</v>
      </c>
      <c r="L43" s="193">
        <v>0</v>
      </c>
      <c r="M43" s="194">
        <f t="shared" si="52"/>
        <v>0</v>
      </c>
      <c r="N43" s="193">
        <f>+N66+N69</f>
        <v>0</v>
      </c>
      <c r="O43" s="193">
        <v>0</v>
      </c>
      <c r="P43" s="193">
        <f>+P66+P69</f>
        <v>0</v>
      </c>
      <c r="Q43" s="193">
        <f>+Q66+Q69</f>
        <v>0</v>
      </c>
      <c r="R43" s="194">
        <f>SUM(N43:Q43)</f>
        <v>0</v>
      </c>
      <c r="S43" s="193">
        <f>+S66+S69</f>
        <v>0</v>
      </c>
      <c r="T43" s="193">
        <f>+T66+T69</f>
        <v>0</v>
      </c>
      <c r="U43" s="193">
        <f>+U66+U69</f>
        <v>151</v>
      </c>
      <c r="V43" s="193">
        <f>+V66+V69</f>
        <v>151</v>
      </c>
      <c r="W43" s="194">
        <f>SUM(S43:V43)</f>
        <v>302</v>
      </c>
      <c r="X43" s="193">
        <f>+X66+X69</f>
        <v>151</v>
      </c>
      <c r="Y43" s="193">
        <f>+Y66+Y69</f>
        <v>151</v>
      </c>
      <c r="Z43" s="193">
        <f>+Z66+Z69</f>
        <v>151</v>
      </c>
      <c r="AA43" s="193">
        <f>+AA66+AA69</f>
        <v>151</v>
      </c>
      <c r="AB43" s="194">
        <f>SUM(X43:AA43)</f>
        <v>604</v>
      </c>
    </row>
    <row r="44" spans="2:28" outlineLevel="1" x14ac:dyDescent="0.3">
      <c r="B44" s="257" t="s">
        <v>27</v>
      </c>
      <c r="C44" s="258"/>
      <c r="D44" s="135">
        <f t="shared" ref="D44:N44" si="62">SUM(D39:D43)</f>
        <v>2502</v>
      </c>
      <c r="E44" s="135">
        <f t="shared" si="62"/>
        <v>2910</v>
      </c>
      <c r="F44" s="135">
        <f t="shared" si="62"/>
        <v>3203</v>
      </c>
      <c r="G44" s="135">
        <f t="shared" si="62"/>
        <v>3851</v>
      </c>
      <c r="H44" s="136">
        <f t="shared" si="62"/>
        <v>12466</v>
      </c>
      <c r="I44" s="135">
        <f t="shared" si="62"/>
        <v>3543</v>
      </c>
      <c r="J44" s="135">
        <f t="shared" si="62"/>
        <v>4042</v>
      </c>
      <c r="K44" s="135">
        <f t="shared" si="62"/>
        <v>4501</v>
      </c>
      <c r="L44" s="135">
        <f t="shared" si="62"/>
        <v>5841</v>
      </c>
      <c r="M44" s="136">
        <f t="shared" si="62"/>
        <v>17927</v>
      </c>
      <c r="N44" s="135">
        <f t="shared" si="62"/>
        <v>5382</v>
      </c>
      <c r="O44" s="135">
        <f t="shared" ref="O44:Q44" si="63">SUM(O39:O43)</f>
        <v>6436</v>
      </c>
      <c r="P44" s="135">
        <f t="shared" si="63"/>
        <v>7011</v>
      </c>
      <c r="Q44" s="135">
        <f t="shared" si="63"/>
        <v>8469.9999999999982</v>
      </c>
      <c r="R44" s="136">
        <f>SUM(R39:R43)</f>
        <v>27298.999999999996</v>
      </c>
      <c r="S44" s="135">
        <f>SUM(S39:S43)</f>
        <v>6052.6218025000007</v>
      </c>
      <c r="T44" s="135">
        <f t="shared" ref="T44" si="64">SUM(T39:T43)</f>
        <v>7168.408560833499</v>
      </c>
      <c r="U44" s="135">
        <f t="shared" ref="U44" si="65">SUM(U39:U43)</f>
        <v>7953.1572598463717</v>
      </c>
      <c r="V44" s="135">
        <f t="shared" ref="V44" si="66">SUM(V39:V43)</f>
        <v>9605.206875881282</v>
      </c>
      <c r="W44" s="136">
        <f>SUM(W39:W43)</f>
        <v>30779.394499061153</v>
      </c>
      <c r="X44" s="135">
        <f>SUM(X39:X43)</f>
        <v>6847.1487721154581</v>
      </c>
      <c r="Y44" s="135">
        <f t="shared" ref="Y44" si="67">SUM(Y39:Y43)</f>
        <v>8010.2623470950648</v>
      </c>
      <c r="Z44" s="135">
        <f t="shared" ref="Z44" si="68">SUM(Z39:Z43)</f>
        <v>8636.3873435803052</v>
      </c>
      <c r="AA44" s="135">
        <f t="shared" ref="AA44" si="69">SUM(AA39:AA43)</f>
        <v>10368.004996386344</v>
      </c>
      <c r="AB44" s="136">
        <f>SUM(AB39:AB43)</f>
        <v>33861.803459177172</v>
      </c>
    </row>
    <row r="45" spans="2:28" s="94" customFormat="1" x14ac:dyDescent="0.3">
      <c r="B45" s="157" t="s">
        <v>136</v>
      </c>
      <c r="C45" s="158"/>
      <c r="D45" s="159"/>
      <c r="E45" s="159"/>
      <c r="F45" s="159"/>
      <c r="G45" s="159"/>
      <c r="H45" s="160"/>
      <c r="I45" s="159"/>
      <c r="J45" s="159"/>
      <c r="K45" s="159"/>
      <c r="L45" s="159"/>
      <c r="M45" s="160"/>
      <c r="N45" s="159"/>
      <c r="O45" s="159"/>
      <c r="P45" s="159"/>
      <c r="Q45" s="159"/>
      <c r="R45" s="160"/>
      <c r="S45" s="159"/>
      <c r="T45" s="159"/>
      <c r="U45" s="159"/>
      <c r="V45" s="159"/>
      <c r="W45" s="160"/>
      <c r="X45" s="159"/>
      <c r="Y45" s="159"/>
      <c r="Z45" s="159"/>
      <c r="AA45" s="159"/>
      <c r="AB45" s="160"/>
    </row>
    <row r="46" spans="2:28" s="19" customFormat="1" outlineLevel="1" x14ac:dyDescent="0.3">
      <c r="B46" s="249" t="s">
        <v>59</v>
      </c>
      <c r="C46" s="250"/>
      <c r="D46" s="21">
        <v>202</v>
      </c>
      <c r="E46" s="21">
        <v>204</v>
      </c>
      <c r="F46" s="21">
        <v>206</v>
      </c>
      <c r="G46" s="21">
        <v>208</v>
      </c>
      <c r="H46" s="40">
        <f>AVERAGE(D46:G46)</f>
        <v>205</v>
      </c>
      <c r="I46" s="21">
        <v>210</v>
      </c>
      <c r="J46" s="21">
        <v>213</v>
      </c>
      <c r="K46" s="21">
        <v>217</v>
      </c>
      <c r="L46" s="21">
        <v>219</v>
      </c>
      <c r="M46" s="40">
        <f>AVERAGE(I46:L46)</f>
        <v>214.75</v>
      </c>
      <c r="N46" s="21">
        <v>222</v>
      </c>
      <c r="O46" s="21">
        <v>226</v>
      </c>
      <c r="P46" s="21">
        <v>229</v>
      </c>
      <c r="Q46" s="21">
        <f t="shared" ref="Q46" si="70">P46*(1+Q52)</f>
        <v>233.12200000000001</v>
      </c>
      <c r="R46" s="40">
        <f>AVERAGE(N46:Q46)</f>
        <v>227.53050000000002</v>
      </c>
      <c r="S46" s="21">
        <f>Q46*(1+S52)</f>
        <v>236.15258599999999</v>
      </c>
      <c r="T46" s="21">
        <f>S46*(1+T52)</f>
        <v>238.75026444599996</v>
      </c>
      <c r="U46" s="21">
        <f t="shared" ref="U46:V46" si="71">T46*(1+U52)</f>
        <v>241.13776709045996</v>
      </c>
      <c r="V46" s="21">
        <f t="shared" si="71"/>
        <v>243.54914476136457</v>
      </c>
      <c r="W46" s="40">
        <f>AVERAGE(S46:V46)</f>
        <v>239.89744057445611</v>
      </c>
      <c r="X46" s="21">
        <f>V46*(1+X52)</f>
        <v>245.98463620897823</v>
      </c>
      <c r="Y46" s="21">
        <f>X46*(1+Y52)</f>
        <v>248.44448257106802</v>
      </c>
      <c r="Z46" s="21">
        <f t="shared" ref="Z46:AA46" si="72">Y46*(1+Z52)</f>
        <v>250.9289273967787</v>
      </c>
      <c r="AA46" s="21">
        <f t="shared" si="72"/>
        <v>253.4382166707465</v>
      </c>
      <c r="AB46" s="40">
        <f>AVERAGE(X46:AA46)</f>
        <v>249.69906571189284</v>
      </c>
    </row>
    <row r="47" spans="2:28" s="19" customFormat="1" outlineLevel="1" x14ac:dyDescent="0.3">
      <c r="B47" s="249" t="s">
        <v>60</v>
      </c>
      <c r="C47" s="250"/>
      <c r="D47" s="21">
        <v>289</v>
      </c>
      <c r="E47" s="21">
        <v>292</v>
      </c>
      <c r="F47" s="21">
        <v>296</v>
      </c>
      <c r="G47" s="21">
        <v>301</v>
      </c>
      <c r="H47" s="40">
        <f t="shared" ref="H47:H50" si="73">AVERAGE(D47:G47)</f>
        <v>294.5</v>
      </c>
      <c r="I47" s="21">
        <v>307</v>
      </c>
      <c r="J47" s="21">
        <v>311</v>
      </c>
      <c r="K47" s="21">
        <v>315</v>
      </c>
      <c r="L47" s="21">
        <v>323</v>
      </c>
      <c r="M47" s="40">
        <f t="shared" ref="M47:M50" si="74">AVERAGE(I47:L47)</f>
        <v>314</v>
      </c>
      <c r="N47" s="21">
        <v>333</v>
      </c>
      <c r="O47" s="21">
        <v>338</v>
      </c>
      <c r="P47" s="21">
        <v>342</v>
      </c>
      <c r="Q47" s="21">
        <f t="shared" ref="Q47" si="75">P47*(1+Q53)</f>
        <v>348.49799999999999</v>
      </c>
      <c r="R47" s="40">
        <f t="shared" ref="R47:R49" si="76">AVERAGE(N47:Q47)</f>
        <v>340.37450000000001</v>
      </c>
      <c r="S47" s="21">
        <f>Q47*(1+S53)</f>
        <v>358.95294000000001</v>
      </c>
      <c r="T47" s="21">
        <f t="shared" ref="T47:V47" si="77">S47*(1+T53)</f>
        <v>369.72152820000002</v>
      </c>
      <c r="U47" s="21">
        <f t="shared" si="77"/>
        <v>380.81317404600003</v>
      </c>
      <c r="V47" s="21">
        <f t="shared" si="77"/>
        <v>392.23756926738002</v>
      </c>
      <c r="W47" s="40">
        <f t="shared" ref="W47:W49" si="78">AVERAGE(S47:V47)</f>
        <v>375.43130287834504</v>
      </c>
      <c r="X47" s="21">
        <f>V47*(1+X53)</f>
        <v>400.08232065272762</v>
      </c>
      <c r="Y47" s="21">
        <f t="shared" ref="Y47:AA47" si="79">X47*(1+Y53)</f>
        <v>408.08396706578219</v>
      </c>
      <c r="Z47" s="21">
        <f t="shared" si="79"/>
        <v>416.24564640709787</v>
      </c>
      <c r="AA47" s="21">
        <f t="shared" si="79"/>
        <v>424.57055933523981</v>
      </c>
      <c r="AB47" s="40">
        <f t="shared" ref="AB47:AB49" si="80">AVERAGE(X47:AA47)</f>
        <v>412.24562336521188</v>
      </c>
    </row>
    <row r="48" spans="2:28" s="19" customFormat="1" outlineLevel="1" x14ac:dyDescent="0.3">
      <c r="B48" s="249" t="s">
        <v>61</v>
      </c>
      <c r="C48" s="250"/>
      <c r="D48" s="20">
        <v>390</v>
      </c>
      <c r="E48" s="20">
        <v>410</v>
      </c>
      <c r="F48" s="20">
        <v>426</v>
      </c>
      <c r="G48" s="20">
        <v>449</v>
      </c>
      <c r="H48" s="40">
        <f t="shared" si="73"/>
        <v>418.75</v>
      </c>
      <c r="I48" s="21">
        <v>471</v>
      </c>
      <c r="J48" s="21">
        <v>496</v>
      </c>
      <c r="K48" s="21">
        <v>522</v>
      </c>
      <c r="L48" s="20">
        <v>540</v>
      </c>
      <c r="M48" s="40">
        <f t="shared" si="74"/>
        <v>507.25</v>
      </c>
      <c r="N48" s="21">
        <v>566</v>
      </c>
      <c r="O48" s="21">
        <v>592</v>
      </c>
      <c r="P48" s="21">
        <v>629</v>
      </c>
      <c r="Q48" s="20">
        <f t="shared" ref="Q48" si="81">P48*(1+Q54)</f>
        <v>657.93399999999997</v>
      </c>
      <c r="R48" s="40">
        <f t="shared" si="76"/>
        <v>611.23350000000005</v>
      </c>
      <c r="S48" s="21">
        <f>Q48*(1+S54)</f>
        <v>690.83069999999998</v>
      </c>
      <c r="T48" s="21">
        <f t="shared" ref="T48:V48" si="82">S48*(1+T54)</f>
        <v>725.37223500000005</v>
      </c>
      <c r="U48" s="21">
        <f t="shared" si="82"/>
        <v>761.64084675000004</v>
      </c>
      <c r="V48" s="20">
        <f t="shared" si="82"/>
        <v>799.72288908750011</v>
      </c>
      <c r="W48" s="40">
        <f t="shared" si="78"/>
        <v>744.39166770937504</v>
      </c>
      <c r="X48" s="21">
        <f>V48*(1+X54)</f>
        <v>823.71457576012517</v>
      </c>
      <c r="Y48" s="21">
        <f t="shared" ref="Y48:AA48" si="83">X48*(1+Y54)</f>
        <v>848.42601303292895</v>
      </c>
      <c r="Z48" s="21">
        <f t="shared" si="83"/>
        <v>873.87879342391682</v>
      </c>
      <c r="AA48" s="20">
        <f t="shared" si="83"/>
        <v>900.09515722663434</v>
      </c>
      <c r="AB48" s="40">
        <f t="shared" si="80"/>
        <v>861.52863486090132</v>
      </c>
    </row>
    <row r="49" spans="2:28" s="19" customFormat="1" ht="16.2" outlineLevel="1" x14ac:dyDescent="0.45">
      <c r="B49" s="249" t="s">
        <v>62</v>
      </c>
      <c r="C49" s="250"/>
      <c r="D49" s="161">
        <v>395</v>
      </c>
      <c r="E49" s="161">
        <v>411</v>
      </c>
      <c r="F49" s="161">
        <v>423</v>
      </c>
      <c r="G49" s="161">
        <v>436</v>
      </c>
      <c r="H49" s="162">
        <f t="shared" si="73"/>
        <v>416.25</v>
      </c>
      <c r="I49" s="161">
        <v>453</v>
      </c>
      <c r="J49" s="161">
        <v>471</v>
      </c>
      <c r="K49" s="161">
        <v>492</v>
      </c>
      <c r="L49" s="161">
        <v>509</v>
      </c>
      <c r="M49" s="162">
        <f t="shared" si="74"/>
        <v>481.25</v>
      </c>
      <c r="N49" s="161">
        <v>533</v>
      </c>
      <c r="O49" s="161">
        <v>556</v>
      </c>
      <c r="P49" s="161">
        <v>587</v>
      </c>
      <c r="Q49" s="161">
        <f t="shared" ref="Q49" si="84">P49*(1+Q55)</f>
        <v>610.48</v>
      </c>
      <c r="R49" s="162">
        <f t="shared" si="76"/>
        <v>571.62</v>
      </c>
      <c r="S49" s="161">
        <f>Q49*(1+S55)</f>
        <v>641.00400000000002</v>
      </c>
      <c r="T49" s="161">
        <f t="shared" ref="T49:V49" si="85">S49*(1+T55)</f>
        <v>673.05420000000004</v>
      </c>
      <c r="U49" s="161">
        <f t="shared" si="85"/>
        <v>706.70691000000011</v>
      </c>
      <c r="V49" s="161">
        <f t="shared" si="85"/>
        <v>742.04225550000012</v>
      </c>
      <c r="W49" s="162">
        <f t="shared" si="78"/>
        <v>690.70184137500007</v>
      </c>
      <c r="X49" s="161">
        <f>V49*(1+X55)</f>
        <v>764.30352316500012</v>
      </c>
      <c r="Y49" s="161">
        <f t="shared" ref="Y49:AA49" si="86">X49*(1+Y55)</f>
        <v>787.23262885995018</v>
      </c>
      <c r="Z49" s="161">
        <f t="shared" si="86"/>
        <v>810.84960772574868</v>
      </c>
      <c r="AA49" s="161">
        <f t="shared" si="86"/>
        <v>835.17509595752119</v>
      </c>
      <c r="AB49" s="162">
        <f t="shared" si="80"/>
        <v>799.39021392705502</v>
      </c>
    </row>
    <row r="50" spans="2:28" s="41" customFormat="1" outlineLevel="1" x14ac:dyDescent="0.3">
      <c r="B50" s="257" t="s">
        <v>135</v>
      </c>
      <c r="C50" s="258"/>
      <c r="D50" s="135">
        <f>SUM(D46:D49)</f>
        <v>1276</v>
      </c>
      <c r="E50" s="135">
        <f>SUM(E46:E49)</f>
        <v>1317</v>
      </c>
      <c r="F50" s="135">
        <f>SUM(F46:F49)</f>
        <v>1351</v>
      </c>
      <c r="G50" s="135">
        <f>SUM(G46:G49)</f>
        <v>1394</v>
      </c>
      <c r="H50" s="138">
        <f t="shared" si="73"/>
        <v>1334.5</v>
      </c>
      <c r="I50" s="135">
        <f>SUM(I46:I49)</f>
        <v>1441</v>
      </c>
      <c r="J50" s="135">
        <f>SUM(J46:J49)</f>
        <v>1491</v>
      </c>
      <c r="K50" s="135">
        <f>SUM(K46:K49)</f>
        <v>1546</v>
      </c>
      <c r="L50" s="135">
        <f>SUM(L46:L49)</f>
        <v>1591</v>
      </c>
      <c r="M50" s="138">
        <f t="shared" si="74"/>
        <v>1517.25</v>
      </c>
      <c r="N50" s="135">
        <f>SUM(N46:N49)</f>
        <v>1654</v>
      </c>
      <c r="O50" s="135">
        <f t="shared" ref="O50:R50" si="87">SUM(O46:O49)</f>
        <v>1712</v>
      </c>
      <c r="P50" s="135">
        <f t="shared" si="87"/>
        <v>1787</v>
      </c>
      <c r="Q50" s="135">
        <f t="shared" si="87"/>
        <v>1850.0340000000001</v>
      </c>
      <c r="R50" s="138">
        <f t="shared" si="87"/>
        <v>1750.7584999999999</v>
      </c>
      <c r="S50" s="135">
        <f>SUM(S46:S49)</f>
        <v>1926.9402260000002</v>
      </c>
      <c r="T50" s="135">
        <f t="shared" ref="T50" si="88">SUM(T46:T49)</f>
        <v>2006.8982276460001</v>
      </c>
      <c r="U50" s="135">
        <f t="shared" ref="U50" si="89">SUM(U46:U49)</f>
        <v>2090.2986978864601</v>
      </c>
      <c r="V50" s="135">
        <f t="shared" ref="V50" si="90">SUM(V46:V49)</f>
        <v>2177.5518586162448</v>
      </c>
      <c r="W50" s="138">
        <f t="shared" ref="W50" si="91">SUM(W46:W49)</f>
        <v>2050.4222525371765</v>
      </c>
      <c r="X50" s="135">
        <f>SUM(X46:X49)</f>
        <v>2234.0850557868312</v>
      </c>
      <c r="Y50" s="135">
        <f t="shared" ref="Y50" si="92">SUM(Y46:Y49)</f>
        <v>2292.1870915297295</v>
      </c>
      <c r="Z50" s="135">
        <f t="shared" ref="Z50" si="93">SUM(Z46:Z49)</f>
        <v>2351.9029749535421</v>
      </c>
      <c r="AA50" s="135">
        <f t="shared" ref="AA50" si="94">SUM(AA46:AA49)</f>
        <v>2413.279029190142</v>
      </c>
      <c r="AB50" s="138">
        <f t="shared" ref="AB50" si="95">SUM(AB46:AB49)</f>
        <v>2322.8635378650611</v>
      </c>
    </row>
    <row r="51" spans="2:28" s="41" customFormat="1" x14ac:dyDescent="0.3">
      <c r="B51" s="157" t="s">
        <v>138</v>
      </c>
      <c r="C51" s="158"/>
      <c r="D51" s="159"/>
      <c r="E51" s="159"/>
      <c r="F51" s="159"/>
      <c r="G51" s="159"/>
      <c r="H51" s="137"/>
      <c r="I51" s="159"/>
      <c r="J51" s="159"/>
      <c r="K51" s="159"/>
      <c r="L51" s="159"/>
      <c r="M51" s="137"/>
      <c r="N51" s="159"/>
      <c r="O51" s="159"/>
      <c r="P51" s="159"/>
      <c r="Q51" s="159"/>
      <c r="R51" s="137"/>
      <c r="S51" s="159"/>
      <c r="T51" s="159"/>
      <c r="U51" s="159"/>
      <c r="V51" s="159"/>
      <c r="W51" s="137"/>
      <c r="X51" s="159"/>
      <c r="Y51" s="159"/>
      <c r="Z51" s="159"/>
      <c r="AA51" s="159"/>
      <c r="AB51" s="137"/>
    </row>
    <row r="52" spans="2:28" s="19" customFormat="1" outlineLevel="1" x14ac:dyDescent="0.3">
      <c r="B52" s="249" t="s">
        <v>63</v>
      </c>
      <c r="C52" s="250"/>
      <c r="D52" s="70">
        <f>D46/201-1</f>
        <v>4.9751243781095411E-3</v>
      </c>
      <c r="E52" s="44">
        <f>E46/D46-1</f>
        <v>9.9009900990099098E-3</v>
      </c>
      <c r="F52" s="44">
        <f t="shared" ref="F52:G52" si="96">F46/E46-1</f>
        <v>9.8039215686274161E-3</v>
      </c>
      <c r="G52" s="44">
        <f t="shared" si="96"/>
        <v>9.7087378640776656E-3</v>
      </c>
      <c r="H52" s="40"/>
      <c r="I52" s="70">
        <f>I46/G46-1</f>
        <v>9.6153846153845812E-3</v>
      </c>
      <c r="J52" s="44">
        <f t="shared" ref="J52:L55" si="97">J46/I46-1</f>
        <v>1.4285714285714235E-2</v>
      </c>
      <c r="K52" s="44">
        <f t="shared" si="97"/>
        <v>1.8779342723004744E-2</v>
      </c>
      <c r="L52" s="44">
        <f t="shared" si="97"/>
        <v>9.2165898617511122E-3</v>
      </c>
      <c r="M52" s="40"/>
      <c r="N52" s="70">
        <f>N46/L46-1</f>
        <v>1.3698630136986356E-2</v>
      </c>
      <c r="O52" s="44">
        <f t="shared" ref="O52:P55" si="98">O46/N46-1</f>
        <v>1.8018018018018056E-2</v>
      </c>
      <c r="P52" s="44">
        <f t="shared" si="98"/>
        <v>1.327433628318575E-2</v>
      </c>
      <c r="Q52" s="111">
        <v>1.7999999999999999E-2</v>
      </c>
      <c r="R52" s="40"/>
      <c r="S52" s="111">
        <v>1.2999999999999999E-2</v>
      </c>
      <c r="T52" s="111">
        <v>1.0999999999999999E-2</v>
      </c>
      <c r="U52" s="111">
        <v>0.01</v>
      </c>
      <c r="V52" s="111">
        <v>0.01</v>
      </c>
      <c r="W52" s="40"/>
      <c r="X52" s="111">
        <v>0.01</v>
      </c>
      <c r="Y52" s="111">
        <v>0.01</v>
      </c>
      <c r="Z52" s="111">
        <v>0.01</v>
      </c>
      <c r="AA52" s="111">
        <v>0.01</v>
      </c>
      <c r="AB52" s="40"/>
    </row>
    <row r="53" spans="2:28" s="19" customFormat="1" outlineLevel="1" x14ac:dyDescent="0.3">
      <c r="B53" s="249" t="s">
        <v>64</v>
      </c>
      <c r="C53" s="250"/>
      <c r="D53" s="70">
        <f>D47/282-1</f>
        <v>2.4822695035461084E-2</v>
      </c>
      <c r="E53" s="44">
        <f t="shared" ref="E53:G53" si="99">E47/D47-1</f>
        <v>1.0380622837370179E-2</v>
      </c>
      <c r="F53" s="44">
        <f t="shared" si="99"/>
        <v>1.3698630136986356E-2</v>
      </c>
      <c r="G53" s="44">
        <f t="shared" si="99"/>
        <v>1.6891891891891886E-2</v>
      </c>
      <c r="H53" s="40"/>
      <c r="I53" s="70">
        <f>I47/G47-1</f>
        <v>1.9933554817275656E-2</v>
      </c>
      <c r="J53" s="44">
        <f t="shared" si="97"/>
        <v>1.3029315960912058E-2</v>
      </c>
      <c r="K53" s="44">
        <f t="shared" si="97"/>
        <v>1.2861736334405238E-2</v>
      </c>
      <c r="L53" s="44">
        <f t="shared" si="97"/>
        <v>2.5396825396825307E-2</v>
      </c>
      <c r="M53" s="40"/>
      <c r="N53" s="70">
        <f>N47/L47-1</f>
        <v>3.0959752321981338E-2</v>
      </c>
      <c r="O53" s="44">
        <f t="shared" si="98"/>
        <v>1.501501501501501E-2</v>
      </c>
      <c r="P53" s="44">
        <f t="shared" si="98"/>
        <v>1.1834319526627279E-2</v>
      </c>
      <c r="Q53" s="111">
        <v>1.9E-2</v>
      </c>
      <c r="R53" s="40"/>
      <c r="S53" s="111">
        <v>0.03</v>
      </c>
      <c r="T53" s="111">
        <v>0.03</v>
      </c>
      <c r="U53" s="111">
        <v>0.03</v>
      </c>
      <c r="V53" s="111">
        <v>0.03</v>
      </c>
      <c r="W53" s="40"/>
      <c r="X53" s="111">
        <v>0.02</v>
      </c>
      <c r="Y53" s="111">
        <v>0.02</v>
      </c>
      <c r="Z53" s="111">
        <v>0.02</v>
      </c>
      <c r="AA53" s="111">
        <v>0.02</v>
      </c>
      <c r="AB53" s="40"/>
    </row>
    <row r="54" spans="2:28" s="41" customFormat="1" outlineLevel="1" x14ac:dyDescent="0.3">
      <c r="B54" s="249" t="s">
        <v>65</v>
      </c>
      <c r="C54" s="250"/>
      <c r="D54" s="70">
        <f>D48/368-1</f>
        <v>5.9782608695652106E-2</v>
      </c>
      <c r="E54" s="90">
        <f t="shared" ref="E54:G54" si="100">E48/D48-1</f>
        <v>5.1282051282051322E-2</v>
      </c>
      <c r="F54" s="90">
        <f t="shared" si="100"/>
        <v>3.9024390243902474E-2</v>
      </c>
      <c r="G54" s="90">
        <f t="shared" si="100"/>
        <v>5.39906103286385E-2</v>
      </c>
      <c r="H54" s="40"/>
      <c r="I54" s="70">
        <f>I48/G48-1</f>
        <v>4.8997772828507813E-2</v>
      </c>
      <c r="J54" s="90">
        <f t="shared" si="97"/>
        <v>5.3078556263269627E-2</v>
      </c>
      <c r="K54" s="90">
        <f t="shared" si="97"/>
        <v>5.2419354838709742E-2</v>
      </c>
      <c r="L54" s="90">
        <f t="shared" si="97"/>
        <v>3.4482758620689724E-2</v>
      </c>
      <c r="M54" s="40"/>
      <c r="N54" s="70">
        <f>N48/L48-1</f>
        <v>4.8148148148148051E-2</v>
      </c>
      <c r="O54" s="90">
        <f t="shared" si="98"/>
        <v>4.5936395759717419E-2</v>
      </c>
      <c r="P54" s="90">
        <f t="shared" si="98"/>
        <v>6.25E-2</v>
      </c>
      <c r="Q54" s="111">
        <v>4.5999999999999999E-2</v>
      </c>
      <c r="R54" s="40"/>
      <c r="S54" s="111">
        <v>0.05</v>
      </c>
      <c r="T54" s="111">
        <v>0.05</v>
      </c>
      <c r="U54" s="111">
        <v>0.05</v>
      </c>
      <c r="V54" s="111">
        <v>0.05</v>
      </c>
      <c r="W54" s="40"/>
      <c r="X54" s="111">
        <v>0.03</v>
      </c>
      <c r="Y54" s="111">
        <v>0.03</v>
      </c>
      <c r="Z54" s="111">
        <v>0.03</v>
      </c>
      <c r="AA54" s="111">
        <v>0.03</v>
      </c>
      <c r="AB54" s="40"/>
    </row>
    <row r="55" spans="2:28" s="19" customFormat="1" outlineLevel="1" x14ac:dyDescent="0.3">
      <c r="B55" s="249" t="s">
        <v>66</v>
      </c>
      <c r="C55" s="250"/>
      <c r="D55" s="163">
        <f>D49/376-1</f>
        <v>5.0531914893616969E-2</v>
      </c>
      <c r="E55" s="164">
        <f t="shared" ref="E55:G55" si="101">E49/D49-1</f>
        <v>4.0506329113924044E-2</v>
      </c>
      <c r="F55" s="164">
        <f t="shared" si="101"/>
        <v>2.9197080291970767E-2</v>
      </c>
      <c r="G55" s="164">
        <f t="shared" si="101"/>
        <v>3.0732860520094496E-2</v>
      </c>
      <c r="H55" s="165"/>
      <c r="I55" s="163">
        <f>I49/G49-1</f>
        <v>3.8990825688073327E-2</v>
      </c>
      <c r="J55" s="164">
        <f t="shared" si="97"/>
        <v>3.9735099337748325E-2</v>
      </c>
      <c r="K55" s="164">
        <f t="shared" si="97"/>
        <v>4.4585987261146487E-2</v>
      </c>
      <c r="L55" s="164">
        <f t="shared" si="97"/>
        <v>3.4552845528455389E-2</v>
      </c>
      <c r="M55" s="165"/>
      <c r="N55" s="163">
        <f>N49/L49-1</f>
        <v>4.7151277013752546E-2</v>
      </c>
      <c r="O55" s="164">
        <f t="shared" si="98"/>
        <v>4.3151969981238381E-2</v>
      </c>
      <c r="P55" s="164">
        <f t="shared" si="98"/>
        <v>5.5755395683453335E-2</v>
      </c>
      <c r="Q55" s="166">
        <v>0.04</v>
      </c>
      <c r="R55" s="165"/>
      <c r="S55" s="166">
        <v>0.05</v>
      </c>
      <c r="T55" s="166">
        <v>0.05</v>
      </c>
      <c r="U55" s="166">
        <v>0.05</v>
      </c>
      <c r="V55" s="166">
        <v>0.05</v>
      </c>
      <c r="W55" s="165"/>
      <c r="X55" s="166">
        <v>0.03</v>
      </c>
      <c r="Y55" s="166">
        <v>0.03</v>
      </c>
      <c r="Z55" s="166">
        <v>0.03</v>
      </c>
      <c r="AA55" s="166">
        <v>0.03</v>
      </c>
      <c r="AB55" s="165"/>
    </row>
    <row r="56" spans="2:28" s="41" customFormat="1" outlineLevel="1" x14ac:dyDescent="0.3">
      <c r="B56" s="257" t="s">
        <v>137</v>
      </c>
      <c r="C56" s="258"/>
      <c r="D56" s="139">
        <f>D50/1228-1</f>
        <v>3.9087947882736174E-2</v>
      </c>
      <c r="E56" s="140">
        <f t="shared" ref="E56:G56" si="102">E50/D50-1</f>
        <v>3.2131661442006187E-2</v>
      </c>
      <c r="F56" s="140">
        <f t="shared" si="102"/>
        <v>2.5816249050873097E-2</v>
      </c>
      <c r="G56" s="140">
        <f t="shared" si="102"/>
        <v>3.1828275351591495E-2</v>
      </c>
      <c r="H56" s="136"/>
      <c r="I56" s="140">
        <f>I50/G50-1</f>
        <v>3.3715925394548041E-2</v>
      </c>
      <c r="J56" s="140">
        <f>J50/I50-1</f>
        <v>3.4698126301179633E-2</v>
      </c>
      <c r="K56" s="139">
        <f t="shared" ref="K56:L56" si="103">K50/J50-1</f>
        <v>3.6887994634473564E-2</v>
      </c>
      <c r="L56" s="139">
        <f t="shared" si="103"/>
        <v>2.9107373868046515E-2</v>
      </c>
      <c r="M56" s="136"/>
      <c r="N56" s="140">
        <f t="shared" ref="N56" si="104">N50/L50-1</f>
        <v>3.9597737272155875E-2</v>
      </c>
      <c r="O56" s="140">
        <f>O50/N50-1</f>
        <v>3.5066505441354368E-2</v>
      </c>
      <c r="P56" s="139">
        <f t="shared" ref="P56:Q56" si="105">P50/O50-1</f>
        <v>4.3808411214953269E-2</v>
      </c>
      <c r="Q56" s="139">
        <f t="shared" si="105"/>
        <v>3.5273642977056596E-2</v>
      </c>
      <c r="R56" s="136"/>
      <c r="S56" s="140">
        <f t="shared" ref="S56" si="106">S50/Q50-1</f>
        <v>4.1570168980678224E-2</v>
      </c>
      <c r="T56" s="139">
        <f>T50/S50-1</f>
        <v>4.1494801222754729E-2</v>
      </c>
      <c r="U56" s="139">
        <f t="shared" ref="U56:V56" si="107">U50/T50-1</f>
        <v>4.1556900639792227E-2</v>
      </c>
      <c r="V56" s="139">
        <f t="shared" si="107"/>
        <v>4.1741958131633616E-2</v>
      </c>
      <c r="W56" s="136"/>
      <c r="X56" s="140">
        <f t="shared" ref="X56" si="108">X50/V50-1</f>
        <v>2.5961814386598059E-2</v>
      </c>
      <c r="Y56" s="139">
        <f>Y50/X50-1</f>
        <v>2.6007083119955476E-2</v>
      </c>
      <c r="Z56" s="139">
        <f t="shared" ref="Z56:AA56" si="109">Z50/Y50-1</f>
        <v>2.6051923791246878E-2</v>
      </c>
      <c r="AA56" s="139">
        <f t="shared" si="109"/>
        <v>2.6096337684938797E-2</v>
      </c>
      <c r="AB56" s="136"/>
    </row>
    <row r="57" spans="2:28" s="41" customFormat="1" x14ac:dyDescent="0.3">
      <c r="B57" s="157" t="s">
        <v>139</v>
      </c>
      <c r="C57" s="158"/>
      <c r="D57" s="171"/>
      <c r="E57" s="172"/>
      <c r="F57" s="172"/>
      <c r="G57" s="172"/>
      <c r="H57" s="160"/>
      <c r="I57" s="172"/>
      <c r="J57" s="172"/>
      <c r="K57" s="171"/>
      <c r="L57" s="171"/>
      <c r="M57" s="160"/>
      <c r="N57" s="172"/>
      <c r="O57" s="171"/>
      <c r="P57" s="171"/>
      <c r="Q57" s="171"/>
      <c r="R57" s="160"/>
      <c r="S57" s="172"/>
      <c r="T57" s="171"/>
      <c r="U57" s="171"/>
      <c r="V57" s="171"/>
      <c r="W57" s="160"/>
      <c r="X57" s="172"/>
      <c r="Y57" s="171"/>
      <c r="Z57" s="171"/>
      <c r="AA57" s="171"/>
      <c r="AB57" s="160"/>
    </row>
    <row r="58" spans="2:28" s="19" customFormat="1" outlineLevel="1" x14ac:dyDescent="0.3">
      <c r="B58" s="249" t="s">
        <v>67</v>
      </c>
      <c r="C58" s="250"/>
      <c r="D58" s="91">
        <f>D39/((D46+201)/2)</f>
        <v>5.8511166253101736</v>
      </c>
      <c r="E58" s="91">
        <f>E39/((E46+D46)/2)</f>
        <v>6.443349753694581</v>
      </c>
      <c r="F58" s="91">
        <f t="shared" ref="F58:G58" si="110">F39/((F46+E46)/2)</f>
        <v>7.3853658536585369</v>
      </c>
      <c r="G58" s="91">
        <f t="shared" si="110"/>
        <v>9.0048309178743953</v>
      </c>
      <c r="H58" s="92">
        <f>H39/((H46+G46)/2)</f>
        <v>28.401937046004843</v>
      </c>
      <c r="I58" s="91">
        <f>I39/((I46+G46)/2)</f>
        <v>8.3205741626794261</v>
      </c>
      <c r="J58" s="91">
        <f t="shared" ref="J58:L61" si="111">J39/((J46+I46)/2)</f>
        <v>9.3002364066193852</v>
      </c>
      <c r="K58" s="91">
        <f t="shared" si="111"/>
        <v>10.493023255813954</v>
      </c>
      <c r="L58" s="91">
        <f t="shared" si="111"/>
        <v>13.536697247706423</v>
      </c>
      <c r="M58" s="92">
        <f t="shared" ref="M58" si="112">M39/((M46+L46)/2)</f>
        <v>41.097406340057638</v>
      </c>
      <c r="N58" s="156">
        <f>N39/((N46+L46)/2)</f>
        <v>12.426303854875284</v>
      </c>
      <c r="O58" s="91">
        <f t="shared" ref="O58:P61" si="113">O39/((O46+N46)/2)</f>
        <v>14.339285714285714</v>
      </c>
      <c r="P58" s="91">
        <f t="shared" si="113"/>
        <v>15.648351648351648</v>
      </c>
      <c r="Q58" s="118">
        <v>18.352193792981065</v>
      </c>
      <c r="R58" s="92">
        <f t="shared" ref="R58" si="114">R39/((R46+Q46)/2)</f>
        <v>59.708679536092809</v>
      </c>
      <c r="S58" s="118">
        <v>12.5</v>
      </c>
      <c r="T58" s="118">
        <v>14.5</v>
      </c>
      <c r="U58" s="118">
        <v>15.75</v>
      </c>
      <c r="V58" s="118">
        <v>18.399999999999999</v>
      </c>
      <c r="W58" s="92">
        <f>W39/((W46+V46)/2)</f>
        <v>60.458590913278591</v>
      </c>
      <c r="X58" s="118">
        <v>12.5</v>
      </c>
      <c r="Y58" s="118">
        <v>14.5</v>
      </c>
      <c r="Z58" s="118">
        <v>15.75</v>
      </c>
      <c r="AA58" s="118">
        <v>18.399999999999999</v>
      </c>
      <c r="AB58" s="92">
        <f>AB39/((AB46+AA46)/2)</f>
        <v>60.488224999257419</v>
      </c>
    </row>
    <row r="59" spans="2:28" s="19" customFormat="1" outlineLevel="1" x14ac:dyDescent="0.3">
      <c r="B59" s="249" t="s">
        <v>68</v>
      </c>
      <c r="C59" s="250"/>
      <c r="D59" s="91">
        <f>D40/((D47+282)/2)</f>
        <v>2.444833625218914</v>
      </c>
      <c r="E59" s="91">
        <f>E40/((E47+D47)/2)</f>
        <v>2.8364888123924268</v>
      </c>
      <c r="F59" s="91">
        <f t="shared" ref="F59:H59" si="115">F40/((F47+E47)/2)</f>
        <v>2.870748299319728</v>
      </c>
      <c r="G59" s="91">
        <f t="shared" si="115"/>
        <v>3.4505862646566166</v>
      </c>
      <c r="H59" s="92">
        <f t="shared" si="115"/>
        <v>11.405541561712846</v>
      </c>
      <c r="I59" s="91">
        <f>I40/((I47+G47)/2)</f>
        <v>2.986842105263158</v>
      </c>
      <c r="J59" s="91">
        <f t="shared" si="111"/>
        <v>3.3559870550161812</v>
      </c>
      <c r="K59" s="91">
        <f t="shared" si="111"/>
        <v>3.4664536741214058</v>
      </c>
      <c r="L59" s="91">
        <f t="shared" si="111"/>
        <v>4.4952978056426334</v>
      </c>
      <c r="M59" s="92">
        <f t="shared" ref="M59" si="116">M40/((M47+L47)/2)</f>
        <v>14.015698587127158</v>
      </c>
      <c r="N59" s="156">
        <f>N40/((N47+L47)/2)</f>
        <v>3.9847560975609757</v>
      </c>
      <c r="O59" s="91">
        <f t="shared" si="113"/>
        <v>4.7242921013412813</v>
      </c>
      <c r="P59" s="91">
        <f t="shared" si="113"/>
        <v>4.7205882352941178</v>
      </c>
      <c r="Q59" s="118">
        <v>5.25</v>
      </c>
      <c r="R59" s="92">
        <f t="shared" ref="R59" si="117">R40/((R47+Q47)/2)</f>
        <v>18.318505238632696</v>
      </c>
      <c r="S59" s="118">
        <v>4</v>
      </c>
      <c r="T59" s="118">
        <v>4.75</v>
      </c>
      <c r="U59" s="118">
        <v>4.75</v>
      </c>
      <c r="V59" s="118">
        <v>5.25</v>
      </c>
      <c r="W59" s="92">
        <f>W40/((W47+V47)/2)</f>
        <v>18.125736534192011</v>
      </c>
      <c r="X59" s="118">
        <v>4</v>
      </c>
      <c r="Y59" s="118">
        <v>4.75</v>
      </c>
      <c r="Z59" s="118">
        <v>4.75</v>
      </c>
      <c r="AA59" s="118">
        <v>5.25</v>
      </c>
      <c r="AB59" s="92">
        <f>AB40/((AB47+AA47)/2)</f>
        <v>18.328900047069471</v>
      </c>
    </row>
    <row r="60" spans="2:28" s="19" customFormat="1" outlineLevel="1" x14ac:dyDescent="0.3">
      <c r="B60" s="249" t="s">
        <v>69</v>
      </c>
      <c r="C60" s="250"/>
      <c r="D60" s="91">
        <f>D41/((D48+368)/2)</f>
        <v>0.93403693931398413</v>
      </c>
      <c r="E60" s="91">
        <f>E41/((E48+D48)/2)</f>
        <v>1.0774999999999999</v>
      </c>
      <c r="F60" s="91">
        <f t="shared" ref="F60:H60" si="118">F41/((F48+E48)/2)</f>
        <v>1.1770334928229664</v>
      </c>
      <c r="G60" s="91">
        <f t="shared" si="118"/>
        <v>1.2662857142857142</v>
      </c>
      <c r="H60" s="92">
        <f t="shared" si="118"/>
        <v>4.220109478536445</v>
      </c>
      <c r="I60" s="91">
        <f>I41/((I48+G48)/2)</f>
        <v>1.1782608695652175</v>
      </c>
      <c r="J60" s="91">
        <f t="shared" si="111"/>
        <v>1.2885211995863495</v>
      </c>
      <c r="K60" s="91">
        <f t="shared" si="111"/>
        <v>1.3929273084479372</v>
      </c>
      <c r="L60" s="91">
        <f t="shared" si="111"/>
        <v>1.5932203389830508</v>
      </c>
      <c r="M60" s="92">
        <f t="shared" ref="M60" si="119">M41/((M48+L48)/2)</f>
        <v>5.1945571735497733</v>
      </c>
      <c r="N60" s="156">
        <f>N41/((N48+L48)/2)</f>
        <v>1.5587703435804701</v>
      </c>
      <c r="O60" s="91">
        <f t="shared" si="113"/>
        <v>1.770293609671848</v>
      </c>
      <c r="P60" s="91">
        <f t="shared" si="113"/>
        <v>1.8902538902538903</v>
      </c>
      <c r="Q60" s="118">
        <v>2.5</v>
      </c>
      <c r="R60" s="92">
        <f t="shared" ref="R60" si="120">R41/((R48+Q48)/2)</f>
        <v>7.3271140334116645</v>
      </c>
      <c r="S60" s="118">
        <v>1.6</v>
      </c>
      <c r="T60" s="118">
        <v>1.75</v>
      </c>
      <c r="U60" s="118">
        <v>1.9</v>
      </c>
      <c r="V60" s="118">
        <v>2.5</v>
      </c>
      <c r="W60" s="92">
        <f>W41/((W48+V48)/2)</f>
        <v>7.3602782909738522</v>
      </c>
      <c r="X60" s="118">
        <v>1.6</v>
      </c>
      <c r="Y60" s="118">
        <v>1.75</v>
      </c>
      <c r="Z60" s="118">
        <v>1.9</v>
      </c>
      <c r="AA60" s="118">
        <v>2.5</v>
      </c>
      <c r="AB60" s="92">
        <f>AB41/((AB48+AA48)/2)</f>
        <v>7.5107182603156932</v>
      </c>
    </row>
    <row r="61" spans="2:28" s="19" customFormat="1" ht="16.2" outlineLevel="1" x14ac:dyDescent="0.45">
      <c r="B61" s="249" t="s">
        <v>70</v>
      </c>
      <c r="C61" s="250"/>
      <c r="D61" s="167">
        <f>D42/((D49+376)/2)</f>
        <v>0.7029831387808041</v>
      </c>
      <c r="E61" s="167">
        <f>E42/((E49+D49)/2)</f>
        <v>0.86104218362282881</v>
      </c>
      <c r="F61" s="167">
        <f t="shared" ref="F61:H61" si="121">F42/((F49+E49)/2)</f>
        <v>0.84652278177458029</v>
      </c>
      <c r="G61" s="167">
        <f t="shared" si="121"/>
        <v>0.93830034924330619</v>
      </c>
      <c r="H61" s="168">
        <f t="shared" si="121"/>
        <v>3.2244059841595778</v>
      </c>
      <c r="I61" s="167">
        <f>I42/((I49+G49)/2)</f>
        <v>0.79640044994375703</v>
      </c>
      <c r="J61" s="167">
        <f t="shared" si="111"/>
        <v>0.89826839826839822</v>
      </c>
      <c r="K61" s="167">
        <f t="shared" si="111"/>
        <v>0.936656282450675</v>
      </c>
      <c r="L61" s="167">
        <f t="shared" si="111"/>
        <v>1.2187812187812188</v>
      </c>
      <c r="M61" s="168">
        <f t="shared" ref="M61" si="122">M42/((M49+L49)/2)</f>
        <v>3.6960363544559454</v>
      </c>
      <c r="N61" s="169">
        <f>N42/((N49+L49)/2)</f>
        <v>0.90786948176583493</v>
      </c>
      <c r="O61" s="167">
        <f t="shared" si="113"/>
        <v>1.1276400367309458</v>
      </c>
      <c r="P61" s="167">
        <f t="shared" si="113"/>
        <v>1.2108486439195101</v>
      </c>
      <c r="Q61" s="170">
        <v>1.35</v>
      </c>
      <c r="R61" s="168">
        <f t="shared" ref="R61" si="123">R42/((R49+Q49)/2)</f>
        <v>4.3774621436426697</v>
      </c>
      <c r="S61" s="170">
        <v>1</v>
      </c>
      <c r="T61" s="170">
        <v>1.1499999999999999</v>
      </c>
      <c r="U61" s="170">
        <v>1.2</v>
      </c>
      <c r="V61" s="170">
        <v>1.4</v>
      </c>
      <c r="W61" s="168">
        <f>W42/((W49+V49)/2)</f>
        <v>4.499486759541286</v>
      </c>
      <c r="X61" s="170">
        <v>1</v>
      </c>
      <c r="Y61" s="170">
        <v>1.1499999999999999</v>
      </c>
      <c r="Z61" s="170">
        <v>1.2</v>
      </c>
      <c r="AA61" s="170">
        <v>1.4</v>
      </c>
      <c r="AB61" s="168">
        <f>AB42/((AB49+AA49)/2)</f>
        <v>4.5961734151103562</v>
      </c>
    </row>
    <row r="62" spans="2:28" s="41" customFormat="1" outlineLevel="1" x14ac:dyDescent="0.3">
      <c r="B62" s="257" t="s">
        <v>140</v>
      </c>
      <c r="C62" s="258"/>
      <c r="D62" s="141">
        <f>D44/((D50+1228)/2)</f>
        <v>1.9984025559105432</v>
      </c>
      <c r="E62" s="141">
        <f>E44/((E50+D50)/2)</f>
        <v>2.2445044350173546</v>
      </c>
      <c r="F62" s="141">
        <f>F44/((F50+E50)/2)</f>
        <v>2.401049475262369</v>
      </c>
      <c r="G62" s="141">
        <f>G44/((G50+F50)/2)</f>
        <v>2.8058287795992713</v>
      </c>
      <c r="H62" s="142"/>
      <c r="I62" s="141">
        <f>I44/((I50+G50)/2)</f>
        <v>2.4994708994708996</v>
      </c>
      <c r="J62" s="141">
        <f>J44/((J50+I50)/2)</f>
        <v>2.7571623465211461</v>
      </c>
      <c r="K62" s="141">
        <f>K44/((K50+J50)/2)</f>
        <v>2.9641093184063219</v>
      </c>
      <c r="L62" s="141">
        <f>L44/((L50+K50)/2)</f>
        <v>3.7239400701306979</v>
      </c>
      <c r="M62" s="142"/>
      <c r="N62" s="141">
        <f>N44/((N50+L50)/2)</f>
        <v>3.3171032357473034</v>
      </c>
      <c r="O62" s="141">
        <f>O44/((O50+N50)/2)</f>
        <v>3.8241235888294711</v>
      </c>
      <c r="P62" s="141">
        <f>P44/((P50+O50)/2)</f>
        <v>4.007430694484138</v>
      </c>
      <c r="Q62" s="141">
        <f>Q44/((Q50+P50)/2)</f>
        <v>4.6576413638145793</v>
      </c>
      <c r="R62" s="142"/>
      <c r="S62" s="141">
        <f>S44/((S50+Q50)/2)</f>
        <v>3.2050109110275935</v>
      </c>
      <c r="T62" s="141">
        <f>T44/((T50+S50)/2)</f>
        <v>3.6444854791582006</v>
      </c>
      <c r="U62" s="141">
        <f>U44/((U50+T50)/2)</f>
        <v>3.8822431063953813</v>
      </c>
      <c r="V62" s="141">
        <f>V44/((V50+U50)/2)</f>
        <v>4.5011917585756711</v>
      </c>
      <c r="W62" s="142"/>
      <c r="X62" s="141">
        <f>X44/((X50+V50)/2)</f>
        <v>3.1041306911549964</v>
      </c>
      <c r="Y62" s="141">
        <f>Y44/((Y50+X50)/2)</f>
        <v>3.5394523733373031</v>
      </c>
      <c r="Z62" s="141">
        <f>Z44/((Z50+Y50)/2)</f>
        <v>3.7193022615602258</v>
      </c>
      <c r="AA62" s="141">
        <f>AA44/((AA50+Z50)/2)</f>
        <v>4.3515672590766039</v>
      </c>
      <c r="AB62" s="142"/>
    </row>
    <row r="63" spans="2:28" s="41" customFormat="1" x14ac:dyDescent="0.3">
      <c r="B63" s="271" t="s">
        <v>143</v>
      </c>
      <c r="C63" s="272"/>
      <c r="D63" s="195"/>
      <c r="E63" s="195"/>
      <c r="F63" s="195"/>
      <c r="G63" s="195"/>
      <c r="H63" s="196"/>
      <c r="I63" s="195"/>
      <c r="J63" s="195"/>
      <c r="K63" s="195"/>
      <c r="L63" s="195"/>
      <c r="M63" s="196"/>
      <c r="N63" s="195"/>
      <c r="O63" s="195"/>
      <c r="P63" s="195"/>
      <c r="Q63" s="195"/>
      <c r="R63" s="196"/>
      <c r="S63" s="195"/>
      <c r="T63" s="195"/>
      <c r="U63" s="195"/>
      <c r="V63" s="195"/>
      <c r="W63" s="196"/>
      <c r="X63" s="195"/>
      <c r="Y63" s="195"/>
      <c r="Z63" s="195"/>
      <c r="AA63" s="195"/>
      <c r="AB63" s="196"/>
    </row>
    <row r="64" spans="2:28" s="19" customFormat="1" outlineLevel="1" x14ac:dyDescent="0.3">
      <c r="B64" s="204" t="s">
        <v>110</v>
      </c>
      <c r="C64" s="205"/>
      <c r="D64" s="206"/>
      <c r="E64" s="206"/>
      <c r="F64" s="206"/>
      <c r="G64" s="206"/>
      <c r="H64" s="197"/>
      <c r="I64" s="206"/>
      <c r="J64" s="206"/>
      <c r="K64" s="206"/>
      <c r="L64" s="206"/>
      <c r="M64" s="197"/>
      <c r="N64" s="206"/>
      <c r="O64" s="199"/>
      <c r="P64" s="199"/>
      <c r="Q64" s="199"/>
      <c r="R64" s="197"/>
      <c r="S64" s="199"/>
      <c r="T64" s="199"/>
      <c r="U64" s="112">
        <v>250000</v>
      </c>
      <c r="V64" s="112">
        <v>250000</v>
      </c>
      <c r="W64" s="197"/>
      <c r="X64" s="112">
        <v>250000</v>
      </c>
      <c r="Y64" s="112">
        <v>250000</v>
      </c>
      <c r="Z64" s="112">
        <v>250000</v>
      </c>
      <c r="AA64" s="112">
        <v>250000</v>
      </c>
      <c r="AB64" s="197"/>
    </row>
    <row r="65" spans="2:28" s="19" customFormat="1" outlineLevel="1" x14ac:dyDescent="0.3">
      <c r="B65" s="204" t="s">
        <v>109</v>
      </c>
      <c r="C65" s="205"/>
      <c r="D65" s="206"/>
      <c r="E65" s="206"/>
      <c r="F65" s="206"/>
      <c r="G65" s="206"/>
      <c r="H65" s="197"/>
      <c r="I65" s="206"/>
      <c r="J65" s="206"/>
      <c r="K65" s="206"/>
      <c r="L65" s="206"/>
      <c r="M65" s="197"/>
      <c r="N65" s="206"/>
      <c r="O65" s="199"/>
      <c r="P65" s="199"/>
      <c r="Q65" s="199"/>
      <c r="R65" s="197"/>
      <c r="S65" s="199"/>
      <c r="T65" s="199"/>
      <c r="U65" s="112">
        <v>600</v>
      </c>
      <c r="V65" s="112">
        <v>600</v>
      </c>
      <c r="W65" s="197"/>
      <c r="X65" s="112">
        <v>600</v>
      </c>
      <c r="Y65" s="112">
        <v>600</v>
      </c>
      <c r="Z65" s="112">
        <v>600</v>
      </c>
      <c r="AA65" s="112">
        <v>600</v>
      </c>
      <c r="AB65" s="197"/>
    </row>
    <row r="66" spans="2:28" s="19" customFormat="1" outlineLevel="1" x14ac:dyDescent="0.3">
      <c r="B66" s="204" t="s">
        <v>111</v>
      </c>
      <c r="C66" s="205"/>
      <c r="D66" s="206"/>
      <c r="E66" s="206"/>
      <c r="F66" s="206"/>
      <c r="G66" s="206"/>
      <c r="H66" s="197"/>
      <c r="I66" s="206"/>
      <c r="J66" s="206"/>
      <c r="K66" s="206"/>
      <c r="L66" s="206"/>
      <c r="M66" s="197"/>
      <c r="N66" s="206"/>
      <c r="O66" s="199"/>
      <c r="P66" s="199"/>
      <c r="Q66" s="199"/>
      <c r="R66" s="197"/>
      <c r="S66" s="199"/>
      <c r="T66" s="199"/>
      <c r="U66" s="199">
        <f t="shared" ref="U66:V66" si="124">(U64*U65)/1000000</f>
        <v>150</v>
      </c>
      <c r="V66" s="199">
        <f t="shared" si="124"/>
        <v>150</v>
      </c>
      <c r="W66" s="197"/>
      <c r="X66" s="199">
        <f>(X64*X65)/1000000</f>
        <v>150</v>
      </c>
      <c r="Y66" s="199">
        <f t="shared" ref="Y66" si="125">(Y64*Y65)/1000000</f>
        <v>150</v>
      </c>
      <c r="Z66" s="199">
        <f t="shared" ref="Z66" si="126">(Z64*Z65)/1000000</f>
        <v>150</v>
      </c>
      <c r="AA66" s="199">
        <f t="shared" ref="AA66" si="127">(AA64*AA65)/1000000</f>
        <v>150</v>
      </c>
      <c r="AB66" s="197"/>
    </row>
    <row r="67" spans="2:28" s="19" customFormat="1" outlineLevel="1" x14ac:dyDescent="0.3">
      <c r="B67" s="204" t="s">
        <v>119</v>
      </c>
      <c r="C67" s="205"/>
      <c r="D67" s="206"/>
      <c r="E67" s="206"/>
      <c r="F67" s="206"/>
      <c r="G67" s="206"/>
      <c r="H67" s="197"/>
      <c r="I67" s="206"/>
      <c r="J67" s="206"/>
      <c r="K67" s="206"/>
      <c r="L67" s="206"/>
      <c r="M67" s="197"/>
      <c r="N67" s="206"/>
      <c r="O67" s="200"/>
      <c r="P67" s="200"/>
      <c r="Q67" s="200"/>
      <c r="R67" s="197"/>
      <c r="S67" s="200"/>
      <c r="T67" s="200"/>
      <c r="U67" s="200">
        <v>0.15</v>
      </c>
      <c r="V67" s="200">
        <v>0.2</v>
      </c>
      <c r="W67" s="197"/>
      <c r="X67" s="200">
        <v>0.2</v>
      </c>
      <c r="Y67" s="200">
        <v>0.2</v>
      </c>
      <c r="Z67" s="200">
        <v>0.2</v>
      </c>
      <c r="AA67" s="200">
        <v>0.2</v>
      </c>
      <c r="AB67" s="197"/>
    </row>
    <row r="68" spans="2:28" s="19" customFormat="1" outlineLevel="1" x14ac:dyDescent="0.3">
      <c r="B68" s="207" t="s">
        <v>120</v>
      </c>
      <c r="C68" s="208"/>
      <c r="D68" s="209"/>
      <c r="E68" s="209"/>
      <c r="F68" s="209"/>
      <c r="G68" s="209"/>
      <c r="H68" s="198"/>
      <c r="I68" s="209"/>
      <c r="J68" s="209"/>
      <c r="K68" s="209"/>
      <c r="L68" s="209"/>
      <c r="M68" s="198"/>
      <c r="N68" s="209"/>
      <c r="O68" s="209"/>
      <c r="P68" s="209"/>
      <c r="Q68" s="209"/>
      <c r="R68" s="198"/>
      <c r="S68" s="201"/>
      <c r="T68" s="201"/>
      <c r="U68" s="201">
        <f t="shared" ref="U68:V68" si="128">U66*U67</f>
        <v>22.5</v>
      </c>
      <c r="V68" s="201">
        <f t="shared" si="128"/>
        <v>30</v>
      </c>
      <c r="W68" s="198"/>
      <c r="X68" s="201">
        <f t="shared" ref="X68" si="129">X66*X67</f>
        <v>30</v>
      </c>
      <c r="Y68" s="201">
        <f t="shared" ref="Y68" si="130">Y66*Y67</f>
        <v>30</v>
      </c>
      <c r="Z68" s="201">
        <f t="shared" ref="Z68" si="131">Z66*Z67</f>
        <v>30</v>
      </c>
      <c r="AA68" s="201">
        <f t="shared" ref="AA68" si="132">AA66*AA67</f>
        <v>30</v>
      </c>
      <c r="AB68" s="198"/>
    </row>
    <row r="69" spans="2:28" s="19" customFormat="1" outlineLevel="1" x14ac:dyDescent="0.3">
      <c r="B69" s="204" t="s">
        <v>112</v>
      </c>
      <c r="C69" s="205"/>
      <c r="D69" s="206"/>
      <c r="E69" s="206"/>
      <c r="F69" s="206"/>
      <c r="G69" s="206"/>
      <c r="H69" s="197"/>
      <c r="I69" s="206"/>
      <c r="J69" s="206"/>
      <c r="K69" s="206"/>
      <c r="L69" s="206"/>
      <c r="M69" s="197"/>
      <c r="N69" s="206"/>
      <c r="O69" s="199"/>
      <c r="P69" s="199"/>
      <c r="Q69" s="199"/>
      <c r="R69" s="202"/>
      <c r="S69" s="199"/>
      <c r="T69" s="199"/>
      <c r="U69" s="112">
        <v>1</v>
      </c>
      <c r="V69" s="112">
        <v>1</v>
      </c>
      <c r="W69" s="197"/>
      <c r="X69" s="112">
        <v>1</v>
      </c>
      <c r="Y69" s="112">
        <v>1</v>
      </c>
      <c r="Z69" s="112">
        <v>1</v>
      </c>
      <c r="AA69" s="112">
        <v>1</v>
      </c>
      <c r="AB69" s="197"/>
    </row>
    <row r="70" spans="2:28" s="19" customFormat="1" outlineLevel="1" x14ac:dyDescent="0.3">
      <c r="B70" s="204" t="s">
        <v>113</v>
      </c>
      <c r="C70" s="205"/>
      <c r="D70" s="206"/>
      <c r="E70" s="206"/>
      <c r="F70" s="206"/>
      <c r="G70" s="206"/>
      <c r="H70" s="197"/>
      <c r="I70" s="206"/>
      <c r="J70" s="206"/>
      <c r="K70" s="206"/>
      <c r="L70" s="206"/>
      <c r="M70" s="197"/>
      <c r="N70" s="206"/>
      <c r="O70" s="210"/>
      <c r="P70" s="210"/>
      <c r="Q70" s="210"/>
      <c r="R70" s="203"/>
      <c r="S70" s="210"/>
      <c r="T70" s="210"/>
      <c r="U70" s="114">
        <v>0.8</v>
      </c>
      <c r="V70" s="114">
        <v>0.8</v>
      </c>
      <c r="W70" s="197"/>
      <c r="X70" s="114">
        <v>0.8</v>
      </c>
      <c r="Y70" s="114">
        <v>0.8</v>
      </c>
      <c r="Z70" s="114">
        <v>0.8</v>
      </c>
      <c r="AA70" s="114">
        <v>0.8</v>
      </c>
      <c r="AB70" s="197"/>
    </row>
    <row r="71" spans="2:28" s="19" customFormat="1" outlineLevel="1" x14ac:dyDescent="0.3">
      <c r="B71" s="204" t="s">
        <v>114</v>
      </c>
      <c r="C71" s="205"/>
      <c r="D71" s="206"/>
      <c r="E71" s="206"/>
      <c r="F71" s="206"/>
      <c r="G71" s="206"/>
      <c r="H71" s="197"/>
      <c r="I71" s="206"/>
      <c r="J71" s="206"/>
      <c r="K71" s="206"/>
      <c r="L71" s="206"/>
      <c r="M71" s="197"/>
      <c r="N71" s="206"/>
      <c r="O71" s="199"/>
      <c r="P71" s="199"/>
      <c r="Q71" s="199"/>
      <c r="R71" s="197"/>
      <c r="S71" s="199"/>
      <c r="T71" s="199"/>
      <c r="U71" s="112">
        <f t="shared" ref="U71:V71" si="133">U69*U70</f>
        <v>0.8</v>
      </c>
      <c r="V71" s="112">
        <f t="shared" si="133"/>
        <v>0.8</v>
      </c>
      <c r="W71" s="197"/>
      <c r="X71" s="112">
        <f t="shared" ref="X71" si="134">X69*X70</f>
        <v>0.8</v>
      </c>
      <c r="Y71" s="112">
        <f t="shared" ref="Y71" si="135">Y69*Y70</f>
        <v>0.8</v>
      </c>
      <c r="Z71" s="112">
        <f t="shared" ref="Z71" si="136">Z69*Z70</f>
        <v>0.8</v>
      </c>
      <c r="AA71" s="112">
        <f t="shared" ref="AA71" si="137">AA69*AA70</f>
        <v>0.8</v>
      </c>
      <c r="AB71" s="197"/>
    </row>
    <row r="72" spans="2:28" s="32" customFormat="1" x14ac:dyDescent="0.3">
      <c r="B72" s="222" t="s">
        <v>147</v>
      </c>
      <c r="C72" s="155"/>
      <c r="D72" s="173"/>
      <c r="E72" s="173"/>
      <c r="F72" s="173"/>
      <c r="G72" s="173"/>
      <c r="H72" s="174"/>
      <c r="I72" s="173"/>
      <c r="J72" s="173"/>
      <c r="K72" s="173"/>
      <c r="L72" s="173"/>
      <c r="M72" s="174"/>
      <c r="N72" s="173"/>
      <c r="O72" s="143"/>
      <c r="P72" s="143"/>
      <c r="Q72" s="143"/>
      <c r="R72" s="174"/>
      <c r="S72" s="143"/>
      <c r="T72" s="143"/>
      <c r="U72" s="143"/>
      <c r="V72" s="143"/>
      <c r="W72" s="174"/>
      <c r="X72" s="143"/>
      <c r="Y72" s="143"/>
      <c r="Z72" s="143"/>
      <c r="AA72" s="143"/>
      <c r="AB72" s="174"/>
    </row>
    <row r="73" spans="2:28" s="32" customFormat="1" outlineLevel="1" x14ac:dyDescent="0.3">
      <c r="B73" s="216" t="s">
        <v>148</v>
      </c>
      <c r="C73" s="217"/>
      <c r="D73" s="98">
        <v>-0.17</v>
      </c>
      <c r="E73" s="98">
        <v>-0.25</v>
      </c>
      <c r="F73" s="98">
        <v>-0.56000000000000005</v>
      </c>
      <c r="G73" s="98">
        <v>-0.65</v>
      </c>
      <c r="H73" s="107"/>
      <c r="I73" s="98">
        <v>-0.62</v>
      </c>
      <c r="J73" s="98">
        <v>-0.55000000000000004</v>
      </c>
      <c r="K73" s="98">
        <v>-0.1</v>
      </c>
      <c r="L73" s="98">
        <v>0.28999999999999998</v>
      </c>
      <c r="M73" s="107"/>
      <c r="N73" s="98">
        <v>0.5</v>
      </c>
      <c r="O73" s="98">
        <v>0.49</v>
      </c>
      <c r="P73" s="98">
        <v>0.5</v>
      </c>
      <c r="Q73" s="66"/>
      <c r="R73" s="221"/>
      <c r="S73" s="66"/>
      <c r="T73" s="66"/>
      <c r="U73" s="66"/>
      <c r="V73" s="66"/>
      <c r="W73" s="221"/>
      <c r="X73" s="66"/>
      <c r="Y73" s="66"/>
      <c r="Z73" s="66"/>
      <c r="AA73" s="66"/>
      <c r="AB73" s="221"/>
    </row>
    <row r="74" spans="2:28" s="32" customFormat="1" outlineLevel="1" x14ac:dyDescent="0.3">
      <c r="B74" s="216" t="s">
        <v>149</v>
      </c>
      <c r="C74" s="217"/>
      <c r="D74" s="98">
        <v>1.18</v>
      </c>
      <c r="E74" s="98">
        <v>1.23</v>
      </c>
      <c r="F74" s="98">
        <v>2.74</v>
      </c>
      <c r="G74" s="98">
        <v>3.35</v>
      </c>
      <c r="H74" s="107"/>
      <c r="I74" s="98">
        <v>2.85</v>
      </c>
      <c r="J74" s="98">
        <v>2.2000000000000002</v>
      </c>
      <c r="K74" s="98">
        <v>0.61</v>
      </c>
      <c r="L74" s="98">
        <v>0.21</v>
      </c>
      <c r="M74" s="107"/>
      <c r="N74" s="98">
        <v>0.05</v>
      </c>
      <c r="O74" s="98">
        <v>0.09</v>
      </c>
      <c r="P74" s="98">
        <v>0.06</v>
      </c>
      <c r="Q74" s="66"/>
      <c r="R74" s="221"/>
      <c r="S74" s="66"/>
      <c r="T74" s="66"/>
      <c r="U74" s="66"/>
      <c r="V74" s="66"/>
      <c r="W74" s="221"/>
      <c r="X74" s="66"/>
      <c r="Y74" s="66"/>
      <c r="Z74" s="66"/>
      <c r="AA74" s="66"/>
      <c r="AB74" s="221"/>
    </row>
    <row r="75" spans="2:28" s="32" customFormat="1" x14ac:dyDescent="0.3">
      <c r="B75" s="175" t="s">
        <v>141</v>
      </c>
      <c r="C75" s="155"/>
      <c r="D75" s="173"/>
      <c r="E75" s="173"/>
      <c r="F75" s="173"/>
      <c r="G75" s="173"/>
      <c r="H75" s="174"/>
      <c r="I75" s="173"/>
      <c r="J75" s="173"/>
      <c r="K75" s="173"/>
      <c r="L75" s="173"/>
      <c r="M75" s="174"/>
      <c r="N75" s="173"/>
      <c r="O75" s="143"/>
      <c r="P75" s="143"/>
      <c r="Q75" s="143"/>
      <c r="R75" s="174"/>
      <c r="S75" s="143"/>
      <c r="T75" s="143"/>
      <c r="U75" s="143"/>
      <c r="V75" s="143"/>
      <c r="W75" s="174"/>
      <c r="X75" s="143"/>
      <c r="Y75" s="143"/>
      <c r="Z75" s="143"/>
      <c r="AA75" s="143"/>
      <c r="AB75" s="174"/>
    </row>
    <row r="76" spans="2:28" s="32" customFormat="1" x14ac:dyDescent="0.3">
      <c r="B76" s="218" t="s">
        <v>146</v>
      </c>
      <c r="C76" s="217"/>
      <c r="D76" s="220"/>
      <c r="E76" s="220"/>
      <c r="F76" s="220"/>
      <c r="G76" s="220"/>
      <c r="H76" s="221"/>
      <c r="I76" s="98">
        <f>I9/D9-1</f>
        <v>0.4160671462829737</v>
      </c>
      <c r="J76" s="98">
        <f>J9/E9-1</f>
        <v>0.38900343642611679</v>
      </c>
      <c r="K76" s="98">
        <f>K9/F9-1</f>
        <v>0.40524508273493609</v>
      </c>
      <c r="L76" s="98">
        <f>L9/G9-1</f>
        <v>0.516748896390548</v>
      </c>
      <c r="M76" s="107">
        <f>M9/H9-1</f>
        <v>0.43807155462858982</v>
      </c>
      <c r="N76" s="98">
        <f>N9/I9-1</f>
        <v>0.51905165114309915</v>
      </c>
      <c r="O76" s="98">
        <f>O9/J9-1</f>
        <v>0.5922810489856507</v>
      </c>
      <c r="P76" s="98">
        <f>P9/K9-1</f>
        <v>0.55765385469895579</v>
      </c>
      <c r="Q76" s="98">
        <f>Q9/L9-1</f>
        <v>0.45009416195856833</v>
      </c>
      <c r="R76" s="107">
        <f>R9/M9-1</f>
        <v>0.52278685781223855</v>
      </c>
      <c r="S76" s="98">
        <f>S9/N9-1</f>
        <v>0.12460457125603885</v>
      </c>
      <c r="T76" s="98">
        <f>T9/O9-1</f>
        <v>0.11379871983118384</v>
      </c>
      <c r="U76" s="98">
        <f>U9/P9-1</f>
        <v>0.13438272141582819</v>
      </c>
      <c r="V76" s="98">
        <f>V9/Q9-1</f>
        <v>0.13402678581833349</v>
      </c>
      <c r="W76" s="107">
        <f>W9/R9-1</f>
        <v>0.12749164801132462</v>
      </c>
      <c r="X76" s="98">
        <f>X9/S9-1</f>
        <v>0.13126988527307004</v>
      </c>
      <c r="Y76" s="98">
        <f>Y9/T9-1</f>
        <v>0.1174394259363587</v>
      </c>
      <c r="Z76" s="98">
        <f>Z9/U9-1</f>
        <v>8.5906774053545076E-2</v>
      </c>
      <c r="AA76" s="98">
        <f>AA9/V9-1</f>
        <v>7.9415064179455763E-2</v>
      </c>
      <c r="AB76" s="107">
        <f>AB9/W9-1</f>
        <v>0.10014521111550923</v>
      </c>
    </row>
    <row r="77" spans="2:28" s="46" customFormat="1" outlineLevel="1" x14ac:dyDescent="0.3">
      <c r="B77" s="269" t="s">
        <v>115</v>
      </c>
      <c r="C77" s="270"/>
      <c r="D77" s="70">
        <f>D11/D9</f>
        <v>0.815347721822542</v>
      </c>
      <c r="E77" s="70">
        <f>E11/E9</f>
        <v>0.83745704467353954</v>
      </c>
      <c r="F77" s="70">
        <f>F11/F9</f>
        <v>0.82360287230721196</v>
      </c>
      <c r="G77" s="70">
        <f>G11/G9</f>
        <v>0.83043365359646848</v>
      </c>
      <c r="H77" s="45">
        <f>H11/H9</f>
        <v>0.82729022942403341</v>
      </c>
      <c r="I77" s="70">
        <f>I11/I9</f>
        <v>0.81541066892464009</v>
      </c>
      <c r="J77" s="70">
        <f>J11/J9</f>
        <v>0.83473527956457194</v>
      </c>
      <c r="K77" s="70">
        <f>K11/K9</f>
        <v>0.84003554765607646</v>
      </c>
      <c r="L77" s="70">
        <f>L11/L9</f>
        <v>0.85892826570792669</v>
      </c>
      <c r="M77" s="45"/>
      <c r="N77" s="70">
        <f>N11/N9</f>
        <v>0.84429580081753997</v>
      </c>
      <c r="O77" s="70">
        <f>O11/O9</f>
        <v>0.8576755748912368</v>
      </c>
      <c r="P77" s="70">
        <f>P11/P9</f>
        <v>0.85922122379118526</v>
      </c>
      <c r="Q77" s="111">
        <v>0.84826526862345264</v>
      </c>
      <c r="R77" s="45">
        <f>R13/R9</f>
        <v>0.86384498535626375</v>
      </c>
      <c r="S77" s="111">
        <v>0.86</v>
      </c>
      <c r="T77" s="111">
        <v>0.86</v>
      </c>
      <c r="U77" s="111">
        <v>0.86</v>
      </c>
      <c r="V77" s="111">
        <v>0.86</v>
      </c>
      <c r="W77" s="45">
        <f>W13/W9</f>
        <v>0.86374552927083792</v>
      </c>
      <c r="X77" s="111">
        <v>0.85</v>
      </c>
      <c r="Y77" s="111">
        <v>0.85</v>
      </c>
      <c r="Z77" s="111">
        <v>0.84</v>
      </c>
      <c r="AA77" s="111">
        <v>0.84</v>
      </c>
      <c r="AB77" s="45">
        <f>AB13/AB9</f>
        <v>0.84324343198480933</v>
      </c>
    </row>
    <row r="78" spans="2:28" s="93" customFormat="1" outlineLevel="1" x14ac:dyDescent="0.3">
      <c r="B78" s="132" t="s">
        <v>116</v>
      </c>
      <c r="C78" s="133"/>
      <c r="D78" s="70">
        <f>D11/D9</f>
        <v>0.815347721822542</v>
      </c>
      <c r="E78" s="70">
        <f>E11/E9</f>
        <v>0.83745704467353954</v>
      </c>
      <c r="F78" s="70">
        <f>F11/F9</f>
        <v>0.82360287230721196</v>
      </c>
      <c r="G78" s="70">
        <f>G11/G9</f>
        <v>0.83043365359646848</v>
      </c>
      <c r="H78" s="45">
        <f>H11/H9</f>
        <v>0.82729022942403341</v>
      </c>
      <c r="I78" s="70">
        <f>I11/I9</f>
        <v>0.81541066892464009</v>
      </c>
      <c r="J78" s="70">
        <f>J11/J9</f>
        <v>0.83473527956457194</v>
      </c>
      <c r="K78" s="70">
        <f>K11/K9</f>
        <v>0.84003554765607646</v>
      </c>
      <c r="L78" s="70">
        <f>L11/L9</f>
        <v>0.85892826570792669</v>
      </c>
      <c r="M78" s="45">
        <f>M11/M9</f>
        <v>0.84012941373347461</v>
      </c>
      <c r="N78" s="70">
        <f>N11/N9</f>
        <v>0.84429580081753997</v>
      </c>
      <c r="O78" s="70">
        <f>O11/O9</f>
        <v>0.8576755748912368</v>
      </c>
      <c r="P78" s="70">
        <f>P11/P9</f>
        <v>0.85922122379118526</v>
      </c>
      <c r="Q78" s="70">
        <f>Q11/Q9</f>
        <v>0.84826526862345275</v>
      </c>
      <c r="R78" s="45">
        <f>R11/R9</f>
        <v>0.85251499414779464</v>
      </c>
      <c r="S78" s="70">
        <f>S11/S9</f>
        <v>0.86</v>
      </c>
      <c r="T78" s="70">
        <f>T11/T9</f>
        <v>0.86</v>
      </c>
      <c r="U78" s="70">
        <f>U11/U9</f>
        <v>0.84660154747121663</v>
      </c>
      <c r="V78" s="70">
        <f>V11/V9</f>
        <v>0.84968684367967751</v>
      </c>
      <c r="W78" s="45">
        <f>W11/W9</f>
        <v>0.85331955669218018</v>
      </c>
      <c r="X78" s="70">
        <f>X11/X9</f>
        <v>0.83575319403059189</v>
      </c>
      <c r="Y78" s="70">
        <f>Y11/Y9</f>
        <v>0.83782187202203484</v>
      </c>
      <c r="Z78" s="70">
        <f>Z11/Z9</f>
        <v>0.82887960947335348</v>
      </c>
      <c r="AA78" s="70">
        <f>AA11/AA9</f>
        <v>0.83073688717998551</v>
      </c>
      <c r="AB78" s="45">
        <f>AB11/AB9</f>
        <v>0.83295353866501676</v>
      </c>
    </row>
    <row r="79" spans="2:28" s="93" customFormat="1" outlineLevel="1" x14ac:dyDescent="0.3">
      <c r="B79" s="269" t="s">
        <v>117</v>
      </c>
      <c r="C79" s="270"/>
      <c r="D79" s="70">
        <f>D13/D9</f>
        <v>0.82414068745003999</v>
      </c>
      <c r="E79" s="70">
        <f>E13/E9</f>
        <v>0.8429553264604811</v>
      </c>
      <c r="F79" s="70">
        <f>F13/F9</f>
        <v>0.83702778645020293</v>
      </c>
      <c r="G79" s="70">
        <f>G13/G9</f>
        <v>0.84601402233186185</v>
      </c>
      <c r="H79" s="45">
        <f>H13/H9</f>
        <v>0.83948339483394829</v>
      </c>
      <c r="I79" s="70">
        <f>I13/I9</f>
        <v>0.8329099633079311</v>
      </c>
      <c r="J79" s="70">
        <f>J13/J9</f>
        <v>0.85131123206333503</v>
      </c>
      <c r="K79" s="70">
        <f>K13/K9</f>
        <v>0.85447678293712503</v>
      </c>
      <c r="L79" s="70">
        <f>L13/L9</f>
        <v>0.87211093990755006</v>
      </c>
      <c r="M79" s="45">
        <f>M13/M9</f>
        <v>0.85524627656607355</v>
      </c>
      <c r="N79" s="70">
        <f>N13/N9</f>
        <v>0.85693050910442214</v>
      </c>
      <c r="O79" s="70">
        <f>O13/O9</f>
        <v>0.87057178371659416</v>
      </c>
      <c r="P79" s="70">
        <f>P13/P9</f>
        <v>0.87148766224504348</v>
      </c>
      <c r="Q79" s="70">
        <f>Q13/Q9</f>
        <v>0.85680097464470417</v>
      </c>
      <c r="R79" s="45">
        <f>R13/R9</f>
        <v>0.86384498535626375</v>
      </c>
      <c r="S79" s="70">
        <f>S13/S9</f>
        <v>0.87182177373751646</v>
      </c>
      <c r="T79" s="70">
        <f>T13/T9</f>
        <v>0.87080514409519949</v>
      </c>
      <c r="U79" s="70">
        <f>U13/U9</f>
        <v>0.856537979037435</v>
      </c>
      <c r="V79" s="70">
        <f>V13/V9</f>
        <v>0.85935563150342387</v>
      </c>
      <c r="W79" s="45">
        <f>W13/W9</f>
        <v>0.86374552927083792</v>
      </c>
      <c r="X79" s="70">
        <f>X13/X9</f>
        <v>0.84733770169514744</v>
      </c>
      <c r="Y79" s="70">
        <f>Y13/Y9</f>
        <v>0.84844557008308341</v>
      </c>
      <c r="Z79" s="70">
        <f>Z13/Z9</f>
        <v>0.83869293606600004</v>
      </c>
      <c r="AA79" s="70">
        <f>AA13/AA9</f>
        <v>0.84031087944425553</v>
      </c>
      <c r="AB79" s="45">
        <f>AB13/AB9</f>
        <v>0.84324343198480933</v>
      </c>
    </row>
    <row r="80" spans="2:28" s="93" customFormat="1" outlineLevel="1" x14ac:dyDescent="0.3">
      <c r="B80" s="269" t="s">
        <v>79</v>
      </c>
      <c r="C80" s="270"/>
      <c r="D80" s="70">
        <f>D18/D9</f>
        <v>0.42965627498001596</v>
      </c>
      <c r="E80" s="70">
        <f>E18/E9</f>
        <v>0.47766323024054985</v>
      </c>
      <c r="F80" s="70">
        <f>F18/F9</f>
        <v>0.43615360599438024</v>
      </c>
      <c r="G80" s="70">
        <f>G18/G9</f>
        <v>0.2942092962866788</v>
      </c>
      <c r="H80" s="45">
        <f>H18/H9</f>
        <v>0.40068987646398202</v>
      </c>
      <c r="I80" s="70">
        <f>I18/I9</f>
        <v>0.26333615580016934</v>
      </c>
      <c r="J80" s="70">
        <f>J18/J9</f>
        <v>0.31494309747649679</v>
      </c>
      <c r="K80" s="70">
        <f>K20/K9</f>
        <v>0.53543656965118858</v>
      </c>
      <c r="L80" s="70">
        <f>L20/L9</f>
        <v>0.60315014552302693</v>
      </c>
      <c r="M80" s="45">
        <f>M20/M9</f>
        <v>0.55787359848273554</v>
      </c>
      <c r="N80" s="70">
        <f>N20/N9</f>
        <v>0.5531400966183575</v>
      </c>
      <c r="O80" s="70">
        <f>O20/O9</f>
        <v>0.58483530142945928</v>
      </c>
      <c r="P80" s="70">
        <f>P20/P9</f>
        <v>0.59278276993296253</v>
      </c>
      <c r="Q80" s="70">
        <f>Q20/Q9</f>
        <v>0.6137903571712684</v>
      </c>
      <c r="R80" s="45">
        <f>R20/R9</f>
        <v>0.58961149951429148</v>
      </c>
      <c r="S80" s="70">
        <f>S20/S9</f>
        <v>0.57094321211022081</v>
      </c>
      <c r="T80" s="70">
        <f>T20/T9</f>
        <v>0.58492875746980588</v>
      </c>
      <c r="U80" s="70">
        <f>U20/U9</f>
        <v>0.58589242556978782</v>
      </c>
      <c r="V80" s="70">
        <f>V20/V9</f>
        <v>0.6018748999112411</v>
      </c>
      <c r="W80" s="45">
        <f>W20/W9</f>
        <v>0.58771588803155006</v>
      </c>
      <c r="X80" s="70">
        <f>X20/X9</f>
        <v>0.5211136008622913</v>
      </c>
      <c r="Y80" s="70">
        <f>Y20/Y9</f>
        <v>0.52905272586098584</v>
      </c>
      <c r="Z80" s="70">
        <f>Z20/Z9</f>
        <v>0.52819323583580302</v>
      </c>
      <c r="AA80" s="70">
        <f>AA20/AA9</f>
        <v>0.56153089106631016</v>
      </c>
      <c r="AB80" s="45">
        <f>AB20/AB9</f>
        <v>0.53717250957811213</v>
      </c>
    </row>
    <row r="81" spans="2:28" s="93" customFormat="1" outlineLevel="1" x14ac:dyDescent="0.3">
      <c r="B81" s="269" t="s">
        <v>72</v>
      </c>
      <c r="C81" s="270"/>
      <c r="D81" s="70">
        <f>D20/D9</f>
        <v>0.56554756195043965</v>
      </c>
      <c r="E81" s="70">
        <f>E20/E9</f>
        <v>0.58831615120274916</v>
      </c>
      <c r="F81" s="70">
        <f>F20/F9</f>
        <v>0.56821729628473305</v>
      </c>
      <c r="G81" s="70">
        <f>G20/G9</f>
        <v>0.57621397039729938</v>
      </c>
      <c r="H81" s="45">
        <f>H20/H9</f>
        <v>0.57572597465105091</v>
      </c>
      <c r="I81" s="70">
        <f>I20/I9</f>
        <v>0.51933389782670059</v>
      </c>
      <c r="J81" s="70">
        <f>J20/J9</f>
        <v>0.55121227115289462</v>
      </c>
      <c r="K81" s="70">
        <f>K20/K9</f>
        <v>0.53543656965118858</v>
      </c>
      <c r="L81" s="70">
        <f>L20/L9</f>
        <v>0.60315014552302693</v>
      </c>
      <c r="M81" s="45">
        <f>M20/M9</f>
        <v>0.55787359848273554</v>
      </c>
      <c r="N81" s="70">
        <f>N20/N9</f>
        <v>0.5531400966183575</v>
      </c>
      <c r="O81" s="70">
        <f>O20/O9</f>
        <v>0.58483530142945928</v>
      </c>
      <c r="P81" s="70">
        <f>P20/P9</f>
        <v>0.59278276993296253</v>
      </c>
      <c r="Q81" s="70">
        <f>Q20/Q9</f>
        <v>0.6137903571712684</v>
      </c>
      <c r="R81" s="45">
        <f>R20/R9</f>
        <v>0.58961149951429148</v>
      </c>
      <c r="S81" s="70">
        <f>S20/S9</f>
        <v>0.57094321211022081</v>
      </c>
      <c r="T81" s="70">
        <f>T20/T9</f>
        <v>0.58492875746980588</v>
      </c>
      <c r="U81" s="70">
        <f>U20/U9</f>
        <v>0.58589242556978782</v>
      </c>
      <c r="V81" s="70">
        <f>V20/V9</f>
        <v>0.6018748999112411</v>
      </c>
      <c r="W81" s="45">
        <f>W20/W9</f>
        <v>0.58771588803155006</v>
      </c>
      <c r="X81" s="70">
        <f>X20/X9</f>
        <v>0.5211136008622913</v>
      </c>
      <c r="Y81" s="70">
        <f>Y20/Y9</f>
        <v>0.52905272586098584</v>
      </c>
      <c r="Z81" s="70">
        <f>Z20/Z9</f>
        <v>0.52819323583580302</v>
      </c>
      <c r="AA81" s="70">
        <f>AA20/AA9</f>
        <v>0.56153089106631016</v>
      </c>
      <c r="AB81" s="45">
        <f>AB20/AB9</f>
        <v>0.53717250957811213</v>
      </c>
    </row>
    <row r="82" spans="2:28" s="46" customFormat="1" outlineLevel="1" x14ac:dyDescent="0.3">
      <c r="B82" s="249" t="s">
        <v>80</v>
      </c>
      <c r="C82" s="250"/>
      <c r="D82" s="70">
        <f>(D14)/D9</f>
        <v>0.18185451638689049</v>
      </c>
      <c r="E82" s="70">
        <f>(E14)/E9</f>
        <v>0.16907216494845362</v>
      </c>
      <c r="F82" s="70">
        <f>(F14)/F9</f>
        <v>0.18982204183577897</v>
      </c>
      <c r="G82" s="70">
        <f>(G14)/G9</f>
        <v>0.28849649441703451</v>
      </c>
      <c r="H82" s="45">
        <f>(H14)/H9</f>
        <v>0.21386170383442965</v>
      </c>
      <c r="I82" s="70">
        <f>(I14)/I9</f>
        <v>0.29974597798475866</v>
      </c>
      <c r="J82" s="70">
        <f>(J14)/J9</f>
        <v>0.28946066303809997</v>
      </c>
      <c r="K82" s="70">
        <f>(K14)/K9</f>
        <v>0.28238169295712062</v>
      </c>
      <c r="L82" s="70">
        <f>(L14)/L9</f>
        <v>0.22496147919876733</v>
      </c>
      <c r="M82" s="45"/>
      <c r="N82" s="70">
        <f>(N14)/N9</f>
        <v>0.24953548866592346</v>
      </c>
      <c r="O82" s="70">
        <f>(O14)/O9</f>
        <v>0.22731510254816656</v>
      </c>
      <c r="P82" s="70">
        <f>(P14)/P9</f>
        <v>0.21951219512195122</v>
      </c>
      <c r="Q82" s="111">
        <v>0.19</v>
      </c>
      <c r="R82" s="45"/>
      <c r="S82" s="111">
        <v>0.24290640167678723</v>
      </c>
      <c r="T82" s="111">
        <v>0.22397042040077536</v>
      </c>
      <c r="U82" s="111">
        <v>0.19683311552228627</v>
      </c>
      <c r="V82" s="111">
        <v>0.19</v>
      </c>
      <c r="W82" s="45"/>
      <c r="X82" s="111">
        <v>0.25</v>
      </c>
      <c r="Y82" s="111">
        <v>0.24</v>
      </c>
      <c r="Z82" s="111">
        <v>0.22</v>
      </c>
      <c r="AA82" s="111">
        <v>0.2</v>
      </c>
      <c r="AB82" s="45"/>
    </row>
    <row r="83" spans="2:28" s="46" customFormat="1" outlineLevel="1" x14ac:dyDescent="0.3">
      <c r="B83" s="130" t="s">
        <v>81</v>
      </c>
      <c r="C83" s="131"/>
      <c r="D83" s="70">
        <f>(D15)/D9</f>
        <v>0.12909672262190247</v>
      </c>
      <c r="E83" s="70">
        <f>(E15)/E9</f>
        <v>0.12302405498281786</v>
      </c>
      <c r="F83" s="70">
        <f>(F15)/F9</f>
        <v>0.11676553231345614</v>
      </c>
      <c r="G83" s="70">
        <f>(G15)/G9</f>
        <v>0.16203583484809139</v>
      </c>
      <c r="H83" s="45">
        <f>(H15)/H9</f>
        <v>0.13468634686346864</v>
      </c>
      <c r="I83" s="70">
        <f>(I15)/I9</f>
        <v>0.17499294383290998</v>
      </c>
      <c r="J83" s="70">
        <f>(J15)/J9</f>
        <v>0.15487382483918852</v>
      </c>
      <c r="K83" s="70">
        <f>(K15)/K9</f>
        <v>0.15685403243723617</v>
      </c>
      <c r="L83" s="70">
        <f>(L15)/L9</f>
        <v>0.13216914911830166</v>
      </c>
      <c r="M83" s="45"/>
      <c r="N83" s="70">
        <f>(N15)/N9</f>
        <v>0.15347454477889261</v>
      </c>
      <c r="O83" s="70">
        <f>(O15)/O9</f>
        <v>0.1396830329397141</v>
      </c>
      <c r="P83" s="70">
        <f>(P15)/P9</f>
        <v>0.13193552988161461</v>
      </c>
      <c r="Q83" s="111">
        <v>0.11</v>
      </c>
      <c r="R83" s="45"/>
      <c r="S83" s="111">
        <v>0.15</v>
      </c>
      <c r="T83" s="111">
        <v>0.14000000000000001</v>
      </c>
      <c r="U83" s="111">
        <v>0.14000000000000001</v>
      </c>
      <c r="V83" s="111">
        <v>0.13</v>
      </c>
      <c r="W83" s="45"/>
      <c r="X83" s="111">
        <v>0.16</v>
      </c>
      <c r="Y83" s="111">
        <v>0.15</v>
      </c>
      <c r="Z83" s="111">
        <v>0.15</v>
      </c>
      <c r="AA83" s="111">
        <v>0.14000000000000001</v>
      </c>
      <c r="AB83" s="45"/>
    </row>
    <row r="84" spans="2:28" s="46" customFormat="1" outlineLevel="1" x14ac:dyDescent="0.3">
      <c r="B84" s="249" t="s">
        <v>82</v>
      </c>
      <c r="C84" s="250"/>
      <c r="D84" s="70">
        <f>(D16)/D9</f>
        <v>7.4740207833733016E-2</v>
      </c>
      <c r="E84" s="70">
        <f>(E16)/E9</f>
        <v>6.7697594501718208E-2</v>
      </c>
      <c r="F84" s="70">
        <f>(F16)/F9</f>
        <v>8.0861692163596621E-2</v>
      </c>
      <c r="G84" s="70">
        <f>(G16)/G9</f>
        <v>8.5692028044663721E-2</v>
      </c>
      <c r="H84" s="45">
        <f>(H16)/H9</f>
        <v>7.8052302262153053E-2</v>
      </c>
      <c r="I84" s="70">
        <f>(I16)/I9</f>
        <v>7.7335591306802148E-2</v>
      </c>
      <c r="J84" s="70">
        <f>(J16)/J9</f>
        <v>7.5457694210786741E-2</v>
      </c>
      <c r="K84" s="70">
        <f>(K16)/K9</f>
        <v>7.6649633414796706E-2</v>
      </c>
      <c r="L84" s="70">
        <f>(L16)/L9</f>
        <v>6.3516521143639787E-2</v>
      </c>
      <c r="M84" s="45"/>
      <c r="N84" s="70">
        <f>(N16)/N9</f>
        <v>6.8004459308807136E-2</v>
      </c>
      <c r="O84" s="70">
        <f>(O16)/O9</f>
        <v>6.401491609695463E-2</v>
      </c>
      <c r="P84" s="70">
        <f>(P16)/P9</f>
        <v>6.2473256311510482E-2</v>
      </c>
      <c r="Q84" s="111">
        <v>0.06</v>
      </c>
      <c r="R84" s="45"/>
      <c r="S84" s="111">
        <v>7.0000000000000007E-2</v>
      </c>
      <c r="T84" s="111">
        <v>7.0000000000000007E-2</v>
      </c>
      <c r="U84" s="111">
        <v>7.0000000000000007E-2</v>
      </c>
      <c r="V84" s="111">
        <v>7.0000000000000007E-2</v>
      </c>
      <c r="W84" s="45"/>
      <c r="X84" s="111">
        <v>7.4999999999999997E-2</v>
      </c>
      <c r="Y84" s="111">
        <v>7.4999999999999997E-2</v>
      </c>
      <c r="Z84" s="111">
        <v>7.4999999999999997E-2</v>
      </c>
      <c r="AA84" s="111">
        <v>7.0000000000000007E-2</v>
      </c>
      <c r="AB84" s="45"/>
    </row>
    <row r="85" spans="2:28" s="46" customFormat="1" outlineLevel="1" x14ac:dyDescent="0.3">
      <c r="B85" s="245" t="s">
        <v>71</v>
      </c>
      <c r="C85" s="246"/>
      <c r="D85" s="70">
        <f>D21/D9</f>
        <v>0</v>
      </c>
      <c r="E85" s="70">
        <f>E21/E9</f>
        <v>-1.3745704467353953E-3</v>
      </c>
      <c r="F85" s="70">
        <f>F21/F9</f>
        <v>-1.9044645644708084E-2</v>
      </c>
      <c r="G85" s="70">
        <f>G21/G9</f>
        <v>-4.9337834328745779E-3</v>
      </c>
      <c r="H85" s="45">
        <f>H21/H9</f>
        <v>-6.7383282528477462E-3</v>
      </c>
      <c r="I85" s="70">
        <f>I21/I9</f>
        <v>-2.8224668360146769E-4</v>
      </c>
      <c r="J85" s="70">
        <f>J21/J9</f>
        <v>0</v>
      </c>
      <c r="K85" s="70">
        <f>K21/K9</f>
        <v>-5.9986669628971341E-3</v>
      </c>
      <c r="L85" s="70">
        <f>L21/L9</f>
        <v>-5.1361068310220854E-4</v>
      </c>
      <c r="M85" s="45"/>
      <c r="N85" s="70">
        <f>N21/N9</f>
        <v>1.0405053883314752E-2</v>
      </c>
      <c r="O85" s="70">
        <f>O21/O9</f>
        <v>3.1075201988812928E-3</v>
      </c>
      <c r="P85" s="70">
        <f>P21/P9</f>
        <v>6.7037512480387961E-3</v>
      </c>
      <c r="Q85" s="111">
        <v>-1.3772325576203929E-2</v>
      </c>
      <c r="R85" s="45"/>
      <c r="S85" s="111">
        <v>3.0000000000000001E-3</v>
      </c>
      <c r="T85" s="111">
        <f>S85</f>
        <v>3.0000000000000001E-3</v>
      </c>
      <c r="U85" s="111">
        <f>T85</f>
        <v>3.0000000000000001E-3</v>
      </c>
      <c r="V85" s="111">
        <f>U85</f>
        <v>3.0000000000000001E-3</v>
      </c>
      <c r="W85" s="45"/>
      <c r="X85" s="111">
        <f>V85</f>
        <v>3.0000000000000001E-3</v>
      </c>
      <c r="Y85" s="111">
        <f>X85</f>
        <v>3.0000000000000001E-3</v>
      </c>
      <c r="Z85" s="111">
        <f>Y85</f>
        <v>3.0000000000000001E-3</v>
      </c>
      <c r="AA85" s="111">
        <f>Z85</f>
        <v>3.0000000000000001E-3</v>
      </c>
      <c r="AB85" s="45"/>
    </row>
    <row r="86" spans="2:28" s="46" customFormat="1" outlineLevel="1" x14ac:dyDescent="0.3">
      <c r="B86" s="130" t="s">
        <v>90</v>
      </c>
      <c r="C86" s="131"/>
      <c r="D86" s="70">
        <f>D23/D22</f>
        <v>0.40279069767441861</v>
      </c>
      <c r="E86" s="70">
        <f>E23/E22</f>
        <v>0.42929292929292928</v>
      </c>
      <c r="F86" s="70">
        <f>F23/F22</f>
        <v>0.3967065868263473</v>
      </c>
      <c r="G86" s="70">
        <f>G23/G22</f>
        <v>0.37073608617594256</v>
      </c>
      <c r="H86" s="45">
        <f>H23/H22</f>
        <v>0.40134392180818573</v>
      </c>
      <c r="I86" s="70">
        <f>I23/I22</f>
        <v>0.45064377682403434</v>
      </c>
      <c r="J86" s="70">
        <f>J23/J22</f>
        <v>0.43519245875883739</v>
      </c>
      <c r="K86" s="70">
        <f>K23/K22</f>
        <v>0.37430167597765363</v>
      </c>
      <c r="L86" s="70">
        <f>L23/L22</f>
        <v>0.38912788423934297</v>
      </c>
      <c r="M86" s="45">
        <f>M23/M22</f>
        <v>0.40442363577655793</v>
      </c>
      <c r="N86" s="70">
        <f>N23/N22</f>
        <v>0.26876513317191281</v>
      </c>
      <c r="O86" s="70">
        <f>O23/O22</f>
        <v>0.25704989154013014</v>
      </c>
      <c r="P86" s="70">
        <f>P23/P22</f>
        <v>0.24928999684443043</v>
      </c>
      <c r="Q86" s="111">
        <v>0.25</v>
      </c>
      <c r="R86" s="211">
        <f>R23/R22</f>
        <v>0.25616312783409279</v>
      </c>
      <c r="S86" s="111">
        <v>0.255</v>
      </c>
      <c r="T86" s="111">
        <v>0.255</v>
      </c>
      <c r="U86" s="111">
        <v>0.255</v>
      </c>
      <c r="V86" s="111">
        <v>0.255</v>
      </c>
      <c r="W86" s="45">
        <f>W23/W22</f>
        <v>0.26107834248596612</v>
      </c>
      <c r="X86" s="111">
        <v>0.33</v>
      </c>
      <c r="Y86" s="111">
        <v>0.33</v>
      </c>
      <c r="Z86" s="111">
        <v>0.33</v>
      </c>
      <c r="AA86" s="111">
        <v>0.33</v>
      </c>
      <c r="AB86" s="45">
        <f>AB23/AB22</f>
        <v>0.33873257040352883</v>
      </c>
    </row>
    <row r="87" spans="2:28" s="46" customFormat="1" outlineLevel="1" x14ac:dyDescent="0.3">
      <c r="B87" s="130" t="s">
        <v>102</v>
      </c>
      <c r="C87" s="131"/>
      <c r="D87" s="70"/>
      <c r="E87" s="144">
        <f>AVERAGE(E27,D27)</f>
        <v>3</v>
      </c>
      <c r="F87" s="144">
        <f>AVERAGE(F27,E27)</f>
        <v>3.5</v>
      </c>
      <c r="G87" s="144">
        <f>AVERAGE(G27,F27)</f>
        <v>4.5</v>
      </c>
      <c r="H87" s="145"/>
      <c r="I87" s="144">
        <f>AVERAGE(I27,G27)</f>
        <v>4</v>
      </c>
      <c r="J87" s="144">
        <f>AVERAGE(J27,I27)</f>
        <v>3.5</v>
      </c>
      <c r="K87" s="144">
        <f>AVERAGE(K27,J27)</f>
        <v>4.5</v>
      </c>
      <c r="L87" s="144">
        <f>AVERAGE(L27,K27)</f>
        <v>6</v>
      </c>
      <c r="M87" s="145"/>
      <c r="N87" s="144">
        <v>5</v>
      </c>
      <c r="O87" s="144">
        <f>AVERAGE(O27,N27)</f>
        <v>6</v>
      </c>
      <c r="P87" s="144">
        <f>AVERAGE(P27,O27)</f>
        <v>6.5</v>
      </c>
      <c r="Q87" s="146">
        <f t="shared" ref="Q87" si="138">P87</f>
        <v>6.5</v>
      </c>
      <c r="R87" s="145"/>
      <c r="S87" s="146">
        <f>Q87</f>
        <v>6.5</v>
      </c>
      <c r="T87" s="146">
        <f>S87</f>
        <v>6.5</v>
      </c>
      <c r="U87" s="146">
        <f>T87</f>
        <v>6.5</v>
      </c>
      <c r="V87" s="146">
        <f>U87</f>
        <v>6.5</v>
      </c>
      <c r="W87" s="145"/>
      <c r="X87" s="146">
        <f>V87</f>
        <v>6.5</v>
      </c>
      <c r="Y87" s="146">
        <f>X87</f>
        <v>6.5</v>
      </c>
      <c r="Z87" s="146">
        <f>Y87</f>
        <v>6.5</v>
      </c>
      <c r="AA87" s="146">
        <f>Z87</f>
        <v>6.5</v>
      </c>
      <c r="AB87" s="145"/>
    </row>
    <row r="88" spans="2:28" s="93" customFormat="1" x14ac:dyDescent="0.3">
      <c r="B88" s="175" t="s">
        <v>78</v>
      </c>
      <c r="C88" s="176"/>
      <c r="D88" s="215"/>
      <c r="E88" s="177"/>
      <c r="F88" s="177"/>
      <c r="G88" s="177"/>
      <c r="H88" s="178"/>
      <c r="I88" s="177"/>
      <c r="J88" s="177"/>
      <c r="K88" s="177"/>
      <c r="L88" s="177"/>
      <c r="M88" s="178"/>
      <c r="N88" s="177"/>
      <c r="O88" s="177"/>
      <c r="P88" s="177"/>
      <c r="Q88" s="177"/>
      <c r="R88" s="178"/>
      <c r="S88" s="177"/>
      <c r="T88" s="177"/>
      <c r="U88" s="177"/>
      <c r="V88" s="177"/>
      <c r="W88" s="178"/>
      <c r="X88" s="177"/>
      <c r="Y88" s="177"/>
      <c r="Z88" s="177"/>
      <c r="AA88" s="177"/>
      <c r="AB88" s="178"/>
    </row>
    <row r="89" spans="2:28" s="19" customFormat="1" ht="15" customHeight="1" outlineLevel="1" x14ac:dyDescent="0.3">
      <c r="B89" s="152" t="s">
        <v>25</v>
      </c>
      <c r="C89" s="97"/>
      <c r="D89" s="101">
        <v>274</v>
      </c>
      <c r="E89" s="66">
        <v>314</v>
      </c>
      <c r="F89" s="66">
        <v>353</v>
      </c>
      <c r="G89" s="102">
        <v>896</v>
      </c>
      <c r="H89" s="100"/>
      <c r="I89" s="101">
        <v>703</v>
      </c>
      <c r="J89" s="66">
        <v>763</v>
      </c>
      <c r="K89" s="66">
        <v>757</v>
      </c>
      <c r="L89" s="102">
        <v>746</v>
      </c>
      <c r="M89" s="100">
        <f>SUM(I89:L89)</f>
        <v>2969</v>
      </c>
      <c r="N89" s="101">
        <v>747</v>
      </c>
      <c r="O89" s="66">
        <v>805</v>
      </c>
      <c r="P89" s="66">
        <v>819</v>
      </c>
      <c r="Q89" s="219">
        <f>Q92*Q9</f>
        <v>878.99999999999989</v>
      </c>
      <c r="R89" s="110">
        <f>SUM(N89:Q89)</f>
        <v>3250</v>
      </c>
      <c r="S89" s="101">
        <f>S92*S9</f>
        <v>847.36705235000022</v>
      </c>
      <c r="T89" s="66">
        <f>T92*T9</f>
        <v>931.89311290835485</v>
      </c>
      <c r="U89" s="66">
        <f>U92*U9</f>
        <v>954.37887118156459</v>
      </c>
      <c r="V89" s="102">
        <f>V92*V9</f>
        <v>1152.6248251057539</v>
      </c>
      <c r="W89" s="100"/>
      <c r="X89" s="101">
        <f>X92*X9</f>
        <v>958.60082809616426</v>
      </c>
      <c r="Y89" s="66">
        <f>Y92*Y9</f>
        <v>1041.3341051223586</v>
      </c>
      <c r="Z89" s="66">
        <f>Z92*Z9</f>
        <v>1036.3664812296365</v>
      </c>
      <c r="AA89" s="102">
        <f>AA92*AA9</f>
        <v>1244.1605995663613</v>
      </c>
      <c r="AB89" s="100"/>
    </row>
    <row r="90" spans="2:28" s="19" customFormat="1" ht="15" customHeight="1" outlineLevel="1" x14ac:dyDescent="0.3">
      <c r="B90" s="130" t="s">
        <v>75</v>
      </c>
      <c r="C90" s="97"/>
      <c r="D90" s="101">
        <v>25</v>
      </c>
      <c r="E90" s="66">
        <v>8</v>
      </c>
      <c r="F90" s="66">
        <v>11</v>
      </c>
      <c r="G90" s="102">
        <v>13</v>
      </c>
      <c r="H90" s="100"/>
      <c r="I90" s="101">
        <v>25</v>
      </c>
      <c r="J90" s="66">
        <v>12</v>
      </c>
      <c r="K90" s="66">
        <v>14</v>
      </c>
      <c r="L90" s="102">
        <v>26</v>
      </c>
      <c r="M90" s="100"/>
      <c r="N90" s="101">
        <v>41</v>
      </c>
      <c r="O90" s="66">
        <v>20</v>
      </c>
      <c r="P90" s="66">
        <v>20</v>
      </c>
      <c r="Q90" s="102">
        <f t="shared" ref="Q90" si="139">Q89*Q93</f>
        <v>2.1974999999999998</v>
      </c>
      <c r="R90" s="100"/>
      <c r="S90" s="101">
        <f t="shared" ref="S90" si="140">S89*S93</f>
        <v>22.878910413450004</v>
      </c>
      <c r="T90" s="66">
        <f t="shared" ref="T90" si="141">T89*T93</f>
        <v>25.16111404852558</v>
      </c>
      <c r="U90" s="66">
        <f t="shared" ref="U90" si="142">U89*U93</f>
        <v>25.768229521902242</v>
      </c>
      <c r="V90" s="102">
        <f t="shared" ref="V90" si="143">V89*V93</f>
        <v>31.120870277855353</v>
      </c>
      <c r="W90" s="100"/>
      <c r="X90" s="101">
        <f t="shared" ref="X90" si="144">X89*X93</f>
        <v>25.882222358596437</v>
      </c>
      <c r="Y90" s="66">
        <f t="shared" ref="Y90" si="145">Y89*Y93</f>
        <v>28.11602083830368</v>
      </c>
      <c r="Z90" s="66">
        <f t="shared" ref="Z90" si="146">Z89*Z93</f>
        <v>27.981894993200186</v>
      </c>
      <c r="AA90" s="102">
        <f t="shared" ref="AA90" si="147">AA89*AA93</f>
        <v>33.592336188291753</v>
      </c>
      <c r="AB90" s="100"/>
    </row>
    <row r="91" spans="2:28" s="19" customFormat="1" ht="15" customHeight="1" outlineLevel="1" x14ac:dyDescent="0.3">
      <c r="B91" s="130" t="s">
        <v>76</v>
      </c>
      <c r="C91" s="97"/>
      <c r="D91" s="101">
        <v>41</v>
      </c>
      <c r="E91" s="66">
        <v>0</v>
      </c>
      <c r="F91" s="66">
        <v>59</v>
      </c>
      <c r="G91" s="102">
        <v>177</v>
      </c>
      <c r="H91" s="100"/>
      <c r="I91" s="101">
        <v>179</v>
      </c>
      <c r="J91" s="66">
        <v>180</v>
      </c>
      <c r="K91" s="66">
        <v>180</v>
      </c>
      <c r="L91" s="102">
        <v>191</v>
      </c>
      <c r="M91" s="100">
        <f>SUM(I91:L91)</f>
        <v>730</v>
      </c>
      <c r="N91" s="101">
        <v>180</v>
      </c>
      <c r="O91" s="66">
        <v>193</v>
      </c>
      <c r="P91" s="66">
        <v>195</v>
      </c>
      <c r="Q91" s="113">
        <v>182</v>
      </c>
      <c r="R91" s="110">
        <f>SUM(N91:Q91)</f>
        <v>750</v>
      </c>
      <c r="S91" s="119">
        <f>Q91</f>
        <v>182</v>
      </c>
      <c r="T91" s="112">
        <f>S91</f>
        <v>182</v>
      </c>
      <c r="U91" s="112">
        <f>T91</f>
        <v>182</v>
      </c>
      <c r="V91" s="113">
        <f>U91</f>
        <v>182</v>
      </c>
      <c r="W91" s="100"/>
      <c r="X91" s="119">
        <f>V91</f>
        <v>182</v>
      </c>
      <c r="Y91" s="112">
        <f>X91</f>
        <v>182</v>
      </c>
      <c r="Z91" s="112">
        <f>Y91</f>
        <v>182</v>
      </c>
      <c r="AA91" s="113">
        <f>Z91</f>
        <v>182</v>
      </c>
      <c r="AB91" s="100"/>
    </row>
    <row r="92" spans="2:28" s="19" customFormat="1" ht="15" customHeight="1" outlineLevel="1" x14ac:dyDescent="0.3">
      <c r="B92" s="130" t="s">
        <v>85</v>
      </c>
      <c r="C92" s="97"/>
      <c r="D92" s="103">
        <f>D89/D9</f>
        <v>0.10951239008792965</v>
      </c>
      <c r="E92" s="99">
        <f>E89/E9</f>
        <v>0.10790378006872853</v>
      </c>
      <c r="F92" s="99">
        <f>F89/F9</f>
        <v>0.11020917889478614</v>
      </c>
      <c r="G92" s="105">
        <f>G89/G9</f>
        <v>0.23266683978187483</v>
      </c>
      <c r="H92" s="100"/>
      <c r="I92" s="103">
        <f>I89/I9</f>
        <v>0.19841941857183179</v>
      </c>
      <c r="J92" s="98">
        <f>J89/J9</f>
        <v>0.18876793666501732</v>
      </c>
      <c r="K92" s="98">
        <f>K89/K9</f>
        <v>0.16818484781159743</v>
      </c>
      <c r="L92" s="98">
        <f>L89/L9</f>
        <v>0.12771785653141585</v>
      </c>
      <c r="M92" s="100"/>
      <c r="N92" s="104">
        <f>N89/N9</f>
        <v>0.13879598662207357</v>
      </c>
      <c r="O92" s="98">
        <f>O89/O9</f>
        <v>0.12507768800497204</v>
      </c>
      <c r="P92" s="98">
        <f>P89/P9</f>
        <v>0.11681643132220795</v>
      </c>
      <c r="Q92" s="115">
        <v>0.10377804014167652</v>
      </c>
      <c r="R92" s="100"/>
      <c r="S92" s="120">
        <v>0.14000000000000001</v>
      </c>
      <c r="T92" s="114">
        <v>0.13</v>
      </c>
      <c r="U92" s="114">
        <v>0.12</v>
      </c>
      <c r="V92" s="115">
        <v>0.12</v>
      </c>
      <c r="W92" s="100"/>
      <c r="X92" s="120">
        <v>0.14000000000000001</v>
      </c>
      <c r="Y92" s="114">
        <v>0.13</v>
      </c>
      <c r="Z92" s="114">
        <v>0.12</v>
      </c>
      <c r="AA92" s="115">
        <v>0.12</v>
      </c>
      <c r="AB92" s="100"/>
    </row>
    <row r="93" spans="2:28" s="19" customFormat="1" ht="15" customHeight="1" outlineLevel="1" x14ac:dyDescent="0.3">
      <c r="B93" s="130" t="s">
        <v>86</v>
      </c>
      <c r="C93" s="97"/>
      <c r="D93" s="103">
        <f>D90/D89</f>
        <v>9.1240875912408759E-2</v>
      </c>
      <c r="E93" s="99">
        <f t="shared" ref="E93:I93" si="148">E90/E89</f>
        <v>2.5477707006369428E-2</v>
      </c>
      <c r="F93" s="99">
        <f t="shared" si="148"/>
        <v>3.1161473087818695E-2</v>
      </c>
      <c r="G93" s="105">
        <f t="shared" si="148"/>
        <v>1.4508928571428572E-2</v>
      </c>
      <c r="H93" s="100"/>
      <c r="I93" s="103">
        <f t="shared" si="148"/>
        <v>3.5561877667140827E-2</v>
      </c>
      <c r="J93" s="99">
        <f>J90/J89</f>
        <v>1.5727391874180863E-2</v>
      </c>
      <c r="K93" s="99">
        <f>K90/K89</f>
        <v>1.8494055482166448E-2</v>
      </c>
      <c r="L93" s="99">
        <f>L90/L89</f>
        <v>3.4852546916890083E-2</v>
      </c>
      <c r="M93" s="100"/>
      <c r="N93" s="103">
        <f>N90/N89</f>
        <v>5.4886211512717539E-2</v>
      </c>
      <c r="O93" s="99">
        <f>O90/O89</f>
        <v>2.4844720496894408E-2</v>
      </c>
      <c r="P93" s="99">
        <f>P90/P89</f>
        <v>2.442002442002442E-2</v>
      </c>
      <c r="Q93" s="117">
        <v>2.5000000000000001E-3</v>
      </c>
      <c r="R93" s="100"/>
      <c r="S93" s="121">
        <v>2.7E-2</v>
      </c>
      <c r="T93" s="116">
        <v>2.7E-2</v>
      </c>
      <c r="U93" s="116">
        <v>2.7E-2</v>
      </c>
      <c r="V93" s="117">
        <v>2.7E-2</v>
      </c>
      <c r="W93" s="100"/>
      <c r="X93" s="121">
        <v>2.7E-2</v>
      </c>
      <c r="Y93" s="116">
        <v>2.7E-2</v>
      </c>
      <c r="Z93" s="116">
        <v>2.7E-2</v>
      </c>
      <c r="AA93" s="117">
        <v>2.7E-2</v>
      </c>
      <c r="AB93" s="100"/>
    </row>
    <row r="94" spans="2:28" s="19" customFormat="1" ht="15" customHeight="1" outlineLevel="1" x14ac:dyDescent="0.3">
      <c r="B94" s="130" t="s">
        <v>83</v>
      </c>
      <c r="C94" s="97"/>
      <c r="D94" s="103">
        <f>D12/(D89+D90+D91)</f>
        <v>6.4705882352941183E-2</v>
      </c>
      <c r="E94" s="99">
        <f>E12/(E89+E90+E91)</f>
        <v>4.9689440993788817E-2</v>
      </c>
      <c r="F94" s="99">
        <f>F12/(F89+F90+F91)</f>
        <v>0.10165484633569739</v>
      </c>
      <c r="G94" s="105">
        <f>G12/(G89+G90+G91)</f>
        <v>5.5248618784530384E-2</v>
      </c>
      <c r="H94" s="100"/>
      <c r="I94" s="103">
        <f>I12/(I89+I90+I91)</f>
        <v>6.8357221609702312E-2</v>
      </c>
      <c r="J94" s="99">
        <f>J12/(J89+J90+J91)</f>
        <v>7.0157068062827219E-2</v>
      </c>
      <c r="K94" s="99">
        <f>K12/(K89+K90+K91)</f>
        <v>6.8349106203995799E-2</v>
      </c>
      <c r="L94" s="99">
        <f>L12/(L89+L90+L91)</f>
        <v>7.9958463136033234E-2</v>
      </c>
      <c r="M94" s="108"/>
      <c r="N94" s="103">
        <f>N12/(N89+N90+N91)</f>
        <v>7.0247933884297523E-2</v>
      </c>
      <c r="O94" s="99">
        <f>O12/(O89+O90+O91)</f>
        <v>8.1532416502946958E-2</v>
      </c>
      <c r="P94" s="99">
        <f>P12/(P89+P90+P91)</f>
        <v>8.3172147001934232E-2</v>
      </c>
      <c r="Q94" s="117">
        <v>6.8000000000000005E-2</v>
      </c>
      <c r="R94" s="100"/>
      <c r="S94" s="121">
        <v>6.8000000000000005E-2</v>
      </c>
      <c r="T94" s="116">
        <v>6.8000000000000005E-2</v>
      </c>
      <c r="U94" s="116">
        <v>6.8000000000000005E-2</v>
      </c>
      <c r="V94" s="117">
        <v>6.8000000000000005E-2</v>
      </c>
      <c r="W94" s="100"/>
      <c r="X94" s="121">
        <v>6.8000000000000005E-2</v>
      </c>
      <c r="Y94" s="116">
        <v>6.8000000000000005E-2</v>
      </c>
      <c r="Z94" s="116">
        <v>6.8000000000000005E-2</v>
      </c>
      <c r="AA94" s="117">
        <v>6.8000000000000005E-2</v>
      </c>
      <c r="AB94" s="100"/>
    </row>
    <row r="95" spans="2:28" s="19" customFormat="1" ht="15" customHeight="1" outlineLevel="1" x14ac:dyDescent="0.3">
      <c r="B95" s="130" t="s">
        <v>77</v>
      </c>
      <c r="C95" s="97"/>
      <c r="D95" s="101">
        <v>-56</v>
      </c>
      <c r="E95" s="66">
        <v>-22</v>
      </c>
      <c r="F95" s="66">
        <v>-80</v>
      </c>
      <c r="G95" s="102">
        <v>-269</v>
      </c>
      <c r="H95" s="100"/>
      <c r="I95" s="101">
        <v>-230</v>
      </c>
      <c r="J95" s="66">
        <v>-237</v>
      </c>
      <c r="K95" s="66">
        <v>-219</v>
      </c>
      <c r="L95" s="102">
        <v>-260</v>
      </c>
      <c r="M95" s="100"/>
      <c r="N95" s="101">
        <v>-249</v>
      </c>
      <c r="O95" s="66">
        <v>-252</v>
      </c>
      <c r="P95" s="66">
        <v>-245</v>
      </c>
      <c r="Q95" s="102">
        <f t="shared" ref="Q95:AA95" si="149">-Q96*(Q89+Q90+Q91)</f>
        <v>-255.16739999999993</v>
      </c>
      <c r="R95" s="100"/>
      <c r="S95" s="101">
        <f t="shared" si="149"/>
        <v>-263.06149069086257</v>
      </c>
      <c r="T95" s="66">
        <f t="shared" si="149"/>
        <v>-284.76355673922012</v>
      </c>
      <c r="U95" s="66">
        <f t="shared" si="149"/>
        <v>-290.53677517586669</v>
      </c>
      <c r="V95" s="102">
        <f t="shared" si="149"/>
        <v>-341.43642384590231</v>
      </c>
      <c r="W95" s="100"/>
      <c r="X95" s="101">
        <f t="shared" si="149"/>
        <v>-291.6207626136902</v>
      </c>
      <c r="Y95" s="66">
        <f t="shared" si="149"/>
        <v>-312.86253149016557</v>
      </c>
      <c r="Z95" s="66">
        <f t="shared" si="149"/>
        <v>-311.5870940557092</v>
      </c>
      <c r="AA95" s="102">
        <f t="shared" si="149"/>
        <v>-364.93823393866325</v>
      </c>
      <c r="AB95" s="100"/>
    </row>
    <row r="96" spans="2:28" s="19" customFormat="1" ht="15" customHeight="1" outlineLevel="1" x14ac:dyDescent="0.3">
      <c r="B96" s="130" t="s">
        <v>84</v>
      </c>
      <c r="C96" s="97"/>
      <c r="D96" s="104">
        <f t="shared" ref="D96:G96" si="150">-D95/(D89+D90+D91)</f>
        <v>0.16470588235294117</v>
      </c>
      <c r="E96" s="98">
        <f t="shared" si="150"/>
        <v>6.8322981366459631E-2</v>
      </c>
      <c r="F96" s="98">
        <f t="shared" si="150"/>
        <v>0.18912529550827423</v>
      </c>
      <c r="G96" s="106">
        <f t="shared" si="150"/>
        <v>0.24769797421731124</v>
      </c>
      <c r="H96" s="107"/>
      <c r="I96" s="104">
        <f>-I95/(I89+I90+I91)</f>
        <v>0.25358324145534727</v>
      </c>
      <c r="J96" s="98">
        <f>-J95/(J89+J90+J91)</f>
        <v>0.24816753926701571</v>
      </c>
      <c r="K96" s="98">
        <f>-K95/(K89+K90+K91)</f>
        <v>0.2302839116719243</v>
      </c>
      <c r="L96" s="98">
        <f>-L95/(L89+L90+L91)</f>
        <v>0.26998961578400832</v>
      </c>
      <c r="M96" s="100"/>
      <c r="N96" s="104">
        <f>-N95/(N89+N90+N91)</f>
        <v>0.25723140495867769</v>
      </c>
      <c r="O96" s="98">
        <f>-O95/(O89+O90+O91)</f>
        <v>0.2475442043222004</v>
      </c>
      <c r="P96" s="98">
        <f>-P95/(P89+P90+P91)</f>
        <v>0.2369439071566731</v>
      </c>
      <c r="Q96" s="115">
        <v>0.24</v>
      </c>
      <c r="R96" s="100"/>
      <c r="S96" s="120">
        <v>0.25</v>
      </c>
      <c r="T96" s="114">
        <v>0.25</v>
      </c>
      <c r="U96" s="114">
        <v>0.25</v>
      </c>
      <c r="V96" s="115">
        <v>0.25</v>
      </c>
      <c r="W96" s="100"/>
      <c r="X96" s="120">
        <v>0.25</v>
      </c>
      <c r="Y96" s="114">
        <v>0.25</v>
      </c>
      <c r="Z96" s="114">
        <v>0.25</v>
      </c>
      <c r="AA96" s="115">
        <v>0.25</v>
      </c>
      <c r="AB96" s="100"/>
    </row>
    <row r="97" spans="2:28" s="32" customFormat="1" ht="15" customHeight="1" outlineLevel="1" x14ac:dyDescent="0.3">
      <c r="B97" s="130" t="s">
        <v>91</v>
      </c>
      <c r="C97" s="97"/>
      <c r="D97" s="104"/>
      <c r="E97" s="98"/>
      <c r="F97" s="98"/>
      <c r="G97" s="106"/>
      <c r="H97" s="107"/>
      <c r="I97" s="104"/>
      <c r="J97" s="98"/>
      <c r="K97" s="98"/>
      <c r="L97" s="98"/>
      <c r="M97" s="127">
        <f>((M10+M14+M15+M16)/(H10+H14+H15+H16))-1</f>
        <v>0.56632311604872165</v>
      </c>
      <c r="N97" s="104"/>
      <c r="O97" s="98"/>
      <c r="P97" s="98"/>
      <c r="Q97" s="106"/>
      <c r="R97" s="212">
        <f>((R10+R14+R15+R16)/(M10+M14+M15+M16))-1</f>
        <v>0.30630603099977405</v>
      </c>
      <c r="S97" s="98"/>
      <c r="T97" s="98"/>
      <c r="U97" s="98"/>
      <c r="V97" s="98"/>
      <c r="W97" s="107">
        <f>((W10+W14+W15+W16)/(R10+R14+R15+R16))-1</f>
        <v>0.13885912227646791</v>
      </c>
      <c r="X97" s="98"/>
      <c r="Y97" s="98"/>
      <c r="Z97" s="98"/>
      <c r="AA97" s="98"/>
      <c r="AB97" s="107">
        <f>((AB10+AB14+AB15+AB16)/(W10+W14+W15+W16))-1</f>
        <v>0.19456317368610465</v>
      </c>
    </row>
    <row r="98" spans="2:28" s="32" customFormat="1" ht="15" customHeight="1" outlineLevel="1" x14ac:dyDescent="0.3">
      <c r="B98" s="179" t="s">
        <v>92</v>
      </c>
      <c r="C98" s="180"/>
      <c r="D98" s="181"/>
      <c r="E98" s="182"/>
      <c r="F98" s="182"/>
      <c r="G98" s="183"/>
      <c r="H98" s="184"/>
      <c r="I98" s="181"/>
      <c r="J98" s="182"/>
      <c r="K98" s="182"/>
      <c r="L98" s="183"/>
      <c r="M98" s="185">
        <f>((M10+M14+M15+M16-M12-M19-M25)/(H10+H14+H15+H16-H12-H19-H25))-1</f>
        <v>0.55213435969209246</v>
      </c>
      <c r="N98" s="181"/>
      <c r="O98" s="182"/>
      <c r="P98" s="182"/>
      <c r="Q98" s="183"/>
      <c r="R98" s="213">
        <f>((R10+R14+R15+R16-R12-R19)/(M10+M14+M15+M16-M12-M19))-1</f>
        <v>0.41347409472108954</v>
      </c>
      <c r="S98" s="182"/>
      <c r="T98" s="182"/>
      <c r="U98" s="182"/>
      <c r="V98" s="182"/>
      <c r="W98" s="184">
        <f>((W10+W14+W15+W16-W12-W19-W25)/(R10+R14+R15+R16-R12-R19-R25))-1</f>
        <v>0.13645042264504692</v>
      </c>
      <c r="X98" s="182"/>
      <c r="Y98" s="182"/>
      <c r="Z98" s="182"/>
      <c r="AA98" s="182"/>
      <c r="AB98" s="184">
        <f>((AB10+AB14+AB15+AB16-AB12-AB19-AB25)/(W10+W14+W15+W16-W12-W19-W25))-1</f>
        <v>0.22232195975901381</v>
      </c>
    </row>
    <row r="99" spans="2:28" s="32" customFormat="1" ht="15" customHeight="1" x14ac:dyDescent="0.3">
      <c r="B99" s="175" t="s">
        <v>108</v>
      </c>
      <c r="C99" s="97"/>
      <c r="D99" s="104"/>
      <c r="E99" s="98"/>
      <c r="F99" s="98"/>
      <c r="G99" s="98"/>
      <c r="H99" s="107"/>
      <c r="I99" s="98"/>
      <c r="J99" s="98"/>
      <c r="K99" s="98"/>
      <c r="L99" s="98"/>
      <c r="M99" s="127"/>
      <c r="N99" s="98"/>
      <c r="O99" s="98"/>
      <c r="P99" s="98"/>
      <c r="Q99" s="106"/>
      <c r="R99" s="127"/>
      <c r="S99" s="98"/>
      <c r="T99" s="98"/>
      <c r="U99" s="98"/>
      <c r="V99" s="98"/>
      <c r="W99" s="107"/>
      <c r="X99" s="98"/>
      <c r="Y99" s="98"/>
      <c r="Z99" s="98"/>
      <c r="AA99" s="98"/>
      <c r="AB99" s="107"/>
    </row>
    <row r="100" spans="2:28" s="94" customFormat="1" ht="15" customHeight="1" outlineLevel="1" x14ac:dyDescent="0.3">
      <c r="B100" s="152" t="s">
        <v>103</v>
      </c>
      <c r="C100" s="97"/>
      <c r="D100" s="104"/>
      <c r="E100" s="147">
        <f>(E29+E104)/D29-1</f>
        <v>5.893909626718985E-3</v>
      </c>
      <c r="F100" s="147">
        <f>(F29+F104)/E29-1</f>
        <v>1.0546874999999956E-2</v>
      </c>
      <c r="G100" s="147">
        <f>(G29+G104)/F29-1</f>
        <v>6.7259373792037058E-2</v>
      </c>
      <c r="H100" s="107"/>
      <c r="I100" s="147">
        <f>(I29+I104)/G29-1</f>
        <v>8.3303151032234624E-3</v>
      </c>
      <c r="J100" s="147">
        <f>(J29+J104)/I29-1</f>
        <v>4.3103448275862988E-3</v>
      </c>
      <c r="K100" s="147">
        <f>(K29+K104)/J29-1</f>
        <v>4.2918454935623185E-3</v>
      </c>
      <c r="L100" s="147">
        <f>(L29+L104)/K29-1</f>
        <v>6.0541310541311066E-3</v>
      </c>
      <c r="M100" s="127"/>
      <c r="N100" s="147">
        <f>(N29+N104)/L29-1</f>
        <v>6.3716814159291424E-3</v>
      </c>
      <c r="O100" s="147">
        <f>(O29+O104)/M29-1</f>
        <v>1.8908312522297521E-2</v>
      </c>
      <c r="P100" s="147">
        <f>(P29+P104)/N29-1</f>
        <v>9.8487513190292919E-3</v>
      </c>
      <c r="Q100" s="150">
        <f t="shared" ref="Q100" si="151">P100</f>
        <v>9.8487513190292919E-3</v>
      </c>
      <c r="R100" s="127"/>
      <c r="S100" s="148">
        <f>Q100</f>
        <v>9.8487513190292919E-3</v>
      </c>
      <c r="T100" s="149">
        <f>S100</f>
        <v>9.8487513190292919E-3</v>
      </c>
      <c r="U100" s="149">
        <f t="shared" ref="U100:V100" si="152">T100</f>
        <v>9.8487513190292919E-3</v>
      </c>
      <c r="V100" s="150">
        <f t="shared" si="152"/>
        <v>9.8487513190292919E-3</v>
      </c>
      <c r="W100" s="107"/>
      <c r="X100" s="148">
        <f>V100</f>
        <v>9.8487513190292919E-3</v>
      </c>
      <c r="Y100" s="149">
        <f>X100</f>
        <v>9.8487513190292919E-3</v>
      </c>
      <c r="Z100" s="149">
        <f t="shared" ref="Z100:AA100" si="153">Y100</f>
        <v>9.8487513190292919E-3</v>
      </c>
      <c r="AA100" s="150">
        <f t="shared" si="153"/>
        <v>9.8487513190292919E-3</v>
      </c>
      <c r="AB100" s="107"/>
    </row>
    <row r="101" spans="2:28" s="94" customFormat="1" ht="15" customHeight="1" outlineLevel="1" x14ac:dyDescent="0.3">
      <c r="B101" s="130" t="s">
        <v>104</v>
      </c>
      <c r="C101" s="97"/>
      <c r="D101" s="104"/>
      <c r="E101" s="147">
        <f>(E30+E104)/D30-1</f>
        <v>2.2997316979684879E-3</v>
      </c>
      <c r="F101" s="147">
        <f>(F30+F104)/E30-1</f>
        <v>1.1089866156787753E-2</v>
      </c>
      <c r="G101" s="147">
        <f>(G30+G104)/F30-1</f>
        <v>6.5052950075642935E-2</v>
      </c>
      <c r="H101" s="107"/>
      <c r="I101" s="147">
        <f>(I30+I104)/G30-1</f>
        <v>7.1022727272727071E-3</v>
      </c>
      <c r="J101" s="147">
        <f>(J30+J104)/I30-1</f>
        <v>4.9365303244006675E-3</v>
      </c>
      <c r="K101" s="147">
        <f>(K30+K104)/J30-1</f>
        <v>4.5614035087719884E-3</v>
      </c>
      <c r="L101" s="147">
        <f>(L30+L104)/K30-1</f>
        <v>5.239259517988204E-3</v>
      </c>
      <c r="M101" s="127"/>
      <c r="N101" s="147">
        <f>(N30+N104)/L30-1</f>
        <v>3.4746351633079264E-3</v>
      </c>
      <c r="O101" s="147">
        <f>(O30+O104)/M30-1</f>
        <v>1.7875920084122088E-2</v>
      </c>
      <c r="P101" s="147">
        <f>(P30+P104)/N30-1</f>
        <v>9.3490304709140659E-3</v>
      </c>
      <c r="Q101" s="150">
        <f t="shared" ref="Q101" si="154">P101</f>
        <v>9.3490304709140659E-3</v>
      </c>
      <c r="R101" s="127"/>
      <c r="S101" s="148">
        <f>Q101</f>
        <v>9.3490304709140659E-3</v>
      </c>
      <c r="T101" s="149">
        <f>S101</f>
        <v>9.3490304709140659E-3</v>
      </c>
      <c r="U101" s="149">
        <f t="shared" ref="U101:V101" si="155">T101</f>
        <v>9.3490304709140659E-3</v>
      </c>
      <c r="V101" s="150">
        <f t="shared" si="155"/>
        <v>9.3490304709140659E-3</v>
      </c>
      <c r="W101" s="107"/>
      <c r="X101" s="148">
        <f>V101</f>
        <v>9.3490304709140659E-3</v>
      </c>
      <c r="Y101" s="149">
        <f>X101</f>
        <v>9.3490304709140659E-3</v>
      </c>
      <c r="Z101" s="149">
        <f t="shared" ref="Z101:AA101" si="156">Y101</f>
        <v>9.3490304709140659E-3</v>
      </c>
      <c r="AA101" s="150">
        <f t="shared" si="156"/>
        <v>9.3490304709140659E-3</v>
      </c>
      <c r="AB101" s="107"/>
    </row>
    <row r="102" spans="2:28" s="94" customFormat="1" ht="15" customHeight="1" outlineLevel="1" x14ac:dyDescent="0.3">
      <c r="B102" s="130" t="s">
        <v>105</v>
      </c>
      <c r="C102" s="97"/>
      <c r="D102" s="104"/>
      <c r="E102" s="98"/>
      <c r="F102" s="98"/>
      <c r="G102" s="106"/>
      <c r="H102" s="107"/>
      <c r="I102" s="66"/>
      <c r="J102" s="66"/>
      <c r="K102" s="66"/>
      <c r="L102" s="66"/>
      <c r="M102" s="127"/>
      <c r="N102" s="104"/>
      <c r="O102" s="98"/>
      <c r="P102" s="98"/>
      <c r="Q102" s="115"/>
      <c r="R102" s="127"/>
      <c r="S102" s="120"/>
      <c r="T102" s="114"/>
      <c r="U102" s="114"/>
      <c r="V102" s="115"/>
      <c r="W102" s="107"/>
      <c r="X102" s="120"/>
      <c r="Y102" s="114"/>
      <c r="Z102" s="114"/>
      <c r="AA102" s="115"/>
      <c r="AB102" s="107"/>
    </row>
    <row r="103" spans="2:28" s="94" customFormat="1" ht="15" customHeight="1" outlineLevel="1" x14ac:dyDescent="0.3">
      <c r="B103" s="130" t="s">
        <v>106</v>
      </c>
      <c r="C103" s="97"/>
      <c r="D103" s="104"/>
      <c r="E103" s="98"/>
      <c r="F103" s="98"/>
      <c r="G103" s="106"/>
      <c r="H103" s="107"/>
      <c r="I103" s="66"/>
      <c r="J103" s="144"/>
      <c r="K103" s="66"/>
      <c r="L103" s="66"/>
      <c r="M103" s="127"/>
      <c r="N103" s="104"/>
      <c r="O103" s="98"/>
      <c r="P103" s="98"/>
      <c r="Q103" s="115"/>
      <c r="R103" s="127"/>
      <c r="S103" s="120"/>
      <c r="T103" s="114"/>
      <c r="U103" s="114"/>
      <c r="V103" s="115"/>
      <c r="W103" s="107"/>
      <c r="X103" s="120"/>
      <c r="Y103" s="114"/>
      <c r="Z103" s="114"/>
      <c r="AA103" s="115"/>
      <c r="AB103" s="107"/>
    </row>
    <row r="104" spans="2:28" s="94" customFormat="1" ht="15" customHeight="1" outlineLevel="1" x14ac:dyDescent="0.3">
      <c r="B104" s="153" t="s">
        <v>107</v>
      </c>
      <c r="C104" s="186"/>
      <c r="D104" s="187"/>
      <c r="E104" s="188"/>
      <c r="F104" s="188"/>
      <c r="G104" s="189"/>
      <c r="H104" s="190"/>
      <c r="I104" s="191">
        <f>IF((I103)&gt;0,(I103/I102),0)</f>
        <v>0</v>
      </c>
      <c r="J104" s="191">
        <f t="shared" ref="J104:L104" si="157">IF((J103)&gt;0,(J103/J102),0)</f>
        <v>0</v>
      </c>
      <c r="K104" s="191">
        <f t="shared" si="157"/>
        <v>0</v>
      </c>
      <c r="L104" s="191">
        <f t="shared" si="157"/>
        <v>0</v>
      </c>
      <c r="M104" s="192"/>
      <c r="N104" s="191">
        <f>IF((N103)&gt;0,(N103/N102),0)</f>
        <v>0</v>
      </c>
      <c r="O104" s="191">
        <f t="shared" ref="O104:Q104" si="158">IF((O103)&gt;0,(O103/O102),0)</f>
        <v>0</v>
      </c>
      <c r="P104" s="191">
        <f t="shared" si="158"/>
        <v>0</v>
      </c>
      <c r="Q104" s="191">
        <f t="shared" si="158"/>
        <v>0</v>
      </c>
      <c r="R104" s="192"/>
      <c r="S104" s="191">
        <f>IF((S103)&gt;0,(S103/S102),0)</f>
        <v>0</v>
      </c>
      <c r="T104" s="191">
        <f t="shared" ref="T104:V104" si="159">IF((T103)&gt;0,(T103/T102),0)</f>
        <v>0</v>
      </c>
      <c r="U104" s="191">
        <f t="shared" si="159"/>
        <v>0</v>
      </c>
      <c r="V104" s="191">
        <f t="shared" si="159"/>
        <v>0</v>
      </c>
      <c r="W104" s="190"/>
      <c r="X104" s="191">
        <f>IF((X103)&gt;0,(X103/X102),0)</f>
        <v>0</v>
      </c>
      <c r="Y104" s="191">
        <f t="shared" ref="Y104:AA104" si="160">IF((Y103)&gt;0,(Y103/Y102),0)</f>
        <v>0</v>
      </c>
      <c r="Z104" s="191">
        <f t="shared" si="160"/>
        <v>0</v>
      </c>
      <c r="AA104" s="191">
        <f t="shared" si="160"/>
        <v>0</v>
      </c>
      <c r="AB104" s="190"/>
    </row>
    <row r="105" spans="2:28" s="94" customFormat="1" ht="15" customHeight="1" x14ac:dyDescent="0.45">
      <c r="B105" s="55"/>
      <c r="C105" s="134"/>
      <c r="D105" s="66"/>
      <c r="E105" s="3"/>
      <c r="F105" s="3"/>
      <c r="G105" s="3"/>
      <c r="H105" s="66"/>
      <c r="I105" s="66"/>
      <c r="J105" s="66"/>
      <c r="K105" s="66"/>
      <c r="L105" s="66"/>
      <c r="M105" s="66"/>
      <c r="N105" s="66"/>
      <c r="O105" s="66"/>
      <c r="P105" s="66"/>
      <c r="Q105" s="66"/>
      <c r="R105" s="66"/>
      <c r="S105" s="66"/>
      <c r="T105" s="66"/>
      <c r="U105" s="66"/>
      <c r="V105" s="66"/>
      <c r="W105" s="66"/>
      <c r="X105" s="66"/>
      <c r="Y105" s="66"/>
      <c r="Z105" s="66"/>
      <c r="AA105" s="66"/>
      <c r="AB105" s="66"/>
    </row>
    <row r="106" spans="2:28" ht="15.6" x14ac:dyDescent="0.3">
      <c r="B106" s="273" t="s">
        <v>2</v>
      </c>
      <c r="C106" s="274"/>
      <c r="D106" s="33"/>
      <c r="E106" s="33"/>
      <c r="F106" s="33"/>
      <c r="G106" s="33"/>
      <c r="H106" s="53"/>
      <c r="I106" s="33"/>
      <c r="J106" s="33"/>
      <c r="K106" s="33"/>
      <c r="L106" s="33"/>
      <c r="M106" s="33"/>
      <c r="N106" s="33"/>
      <c r="O106" s="33"/>
      <c r="P106" s="33"/>
      <c r="Q106" s="33"/>
      <c r="R106" s="33"/>
      <c r="S106" s="33"/>
      <c r="T106" s="33"/>
      <c r="U106" s="33"/>
      <c r="V106" s="33"/>
      <c r="W106" s="33"/>
      <c r="X106" s="33"/>
      <c r="Y106" s="33"/>
      <c r="Z106" s="33"/>
      <c r="AA106" s="33"/>
      <c r="AB106" s="33"/>
    </row>
    <row r="107" spans="2:28" x14ac:dyDescent="0.3">
      <c r="B107" s="65" t="s">
        <v>96</v>
      </c>
      <c r="C107" s="124">
        <v>22.8</v>
      </c>
      <c r="D107" s="34"/>
      <c r="E107" s="9"/>
      <c r="F107" s="9"/>
      <c r="G107" s="9"/>
      <c r="H107" s="53"/>
      <c r="I107" s="10"/>
      <c r="J107" s="11"/>
      <c r="K107" s="8"/>
      <c r="L107" s="8"/>
      <c r="M107" s="11"/>
      <c r="N107" s="10"/>
      <c r="O107" s="11"/>
      <c r="P107" s="8"/>
      <c r="Q107" s="8"/>
      <c r="R107" s="11"/>
      <c r="S107" s="10"/>
      <c r="T107" s="11"/>
      <c r="U107" s="8"/>
      <c r="V107" s="8"/>
      <c r="W107" s="11"/>
      <c r="X107" s="10"/>
      <c r="Y107" s="11"/>
      <c r="Z107" s="8"/>
      <c r="AA107" s="8"/>
      <c r="AB107" s="11"/>
    </row>
    <row r="108" spans="2:28" x14ac:dyDescent="0.3">
      <c r="B108" s="65" t="s">
        <v>94</v>
      </c>
      <c r="C108" s="123">
        <v>25</v>
      </c>
      <c r="D108" s="35"/>
      <c r="E108" s="53"/>
      <c r="F108" s="53"/>
      <c r="G108" s="53"/>
      <c r="H108" s="96"/>
      <c r="I108" s="53"/>
      <c r="J108" s="53"/>
      <c r="K108" s="54"/>
      <c r="L108" s="54"/>
      <c r="M108" s="54"/>
      <c r="N108" s="53"/>
      <c r="O108" s="53"/>
      <c r="P108" s="54"/>
      <c r="Q108" s="54"/>
      <c r="R108" s="54"/>
      <c r="S108" s="53"/>
      <c r="T108" s="53"/>
      <c r="U108" s="54"/>
      <c r="V108" s="54"/>
      <c r="W108" s="54"/>
      <c r="X108" s="53"/>
      <c r="Y108" s="53"/>
    </row>
    <row r="109" spans="2:28" x14ac:dyDescent="0.3">
      <c r="B109" s="65" t="s">
        <v>95</v>
      </c>
      <c r="C109" s="123">
        <v>21.3</v>
      </c>
      <c r="D109" s="35"/>
      <c r="E109" s="53"/>
      <c r="F109" s="53"/>
      <c r="G109" s="53"/>
      <c r="H109" s="53"/>
      <c r="I109" s="53"/>
      <c r="J109" s="53"/>
      <c r="K109" s="54"/>
      <c r="L109" s="54"/>
      <c r="M109" s="54"/>
      <c r="N109" s="53"/>
      <c r="O109" s="53"/>
      <c r="P109" s="54"/>
      <c r="Q109" s="54"/>
      <c r="R109" s="54"/>
      <c r="S109" s="53"/>
      <c r="T109" s="53"/>
      <c r="U109" s="54"/>
      <c r="V109" s="54"/>
      <c r="W109" s="54"/>
      <c r="X109" s="53"/>
      <c r="Y109" s="53"/>
    </row>
    <row r="110" spans="2:28" x14ac:dyDescent="0.3">
      <c r="B110" s="65" t="s">
        <v>3</v>
      </c>
      <c r="C110" s="122">
        <v>22.69</v>
      </c>
      <c r="D110" s="35"/>
      <c r="E110" s="53"/>
      <c r="F110" s="53"/>
      <c r="G110" s="53"/>
      <c r="H110" s="53"/>
      <c r="I110" s="53"/>
      <c r="J110" s="53"/>
      <c r="K110" s="54"/>
      <c r="L110" s="54"/>
      <c r="M110" s="54"/>
      <c r="N110" s="53"/>
      <c r="O110" s="53"/>
      <c r="P110" s="54"/>
      <c r="Q110" s="54"/>
      <c r="R110" s="54"/>
      <c r="S110" s="53"/>
      <c r="T110" s="53"/>
      <c r="U110" s="54"/>
      <c r="V110" s="54"/>
      <c r="W110" s="54"/>
      <c r="X110" s="53"/>
      <c r="Y110" s="53"/>
    </row>
    <row r="111" spans="2:28" s="94" customFormat="1" ht="16.2" x14ac:dyDescent="0.45">
      <c r="B111" s="5" t="s">
        <v>93</v>
      </c>
      <c r="C111" s="214">
        <v>8.9674099485420236</v>
      </c>
      <c r="D111" s="35"/>
      <c r="E111" s="53"/>
      <c r="F111" s="53"/>
      <c r="G111" s="53"/>
      <c r="H111" s="53"/>
      <c r="I111" s="53"/>
      <c r="J111" s="53"/>
      <c r="K111" s="54"/>
      <c r="L111" s="54"/>
      <c r="M111" s="54"/>
      <c r="N111" s="53"/>
      <c r="O111" s="53"/>
      <c r="P111" s="54"/>
      <c r="Q111" s="54"/>
      <c r="R111" s="54"/>
      <c r="S111" s="53"/>
      <c r="T111" s="53"/>
      <c r="U111" s="54"/>
      <c r="V111" s="54"/>
      <c r="W111" s="54"/>
      <c r="X111" s="53"/>
      <c r="Y111" s="53"/>
      <c r="Z111" s="4"/>
      <c r="AA111" s="4"/>
      <c r="AB111" s="4"/>
    </row>
    <row r="112" spans="2:28" x14ac:dyDescent="0.3">
      <c r="B112" s="275" t="s">
        <v>97</v>
      </c>
      <c r="C112" s="276">
        <f>(Q33+S33+T33+U33)*C110+C111</f>
        <v>107.69918336755465</v>
      </c>
      <c r="D112" s="36"/>
      <c r="E112" s="53"/>
      <c r="F112" s="53"/>
      <c r="G112" s="53"/>
      <c r="H112" s="53"/>
      <c r="I112" s="53"/>
      <c r="J112" s="53"/>
      <c r="K112" s="54"/>
      <c r="L112" s="54"/>
      <c r="M112" s="54"/>
      <c r="N112" s="53"/>
      <c r="O112" s="53"/>
      <c r="P112" s="54"/>
      <c r="Q112" s="54"/>
      <c r="R112" s="54"/>
      <c r="S112" s="53"/>
      <c r="T112" s="53"/>
      <c r="U112" s="54"/>
      <c r="V112" s="54"/>
      <c r="W112" s="54"/>
      <c r="X112" s="53"/>
      <c r="Y112" s="53"/>
    </row>
    <row r="113" spans="2:3" x14ac:dyDescent="0.3">
      <c r="B113" s="19"/>
      <c r="C113" s="1"/>
    </row>
    <row r="114" spans="2:3" x14ac:dyDescent="0.3">
      <c r="C114" s="12"/>
    </row>
    <row r="115" spans="2:3" x14ac:dyDescent="0.3">
      <c r="B115" s="12"/>
      <c r="C115" s="12"/>
    </row>
    <row r="116" spans="2:3" x14ac:dyDescent="0.3">
      <c r="B116" s="12"/>
      <c r="C116" s="12"/>
    </row>
    <row r="117" spans="2:3" x14ac:dyDescent="0.3">
      <c r="B117" s="12"/>
      <c r="C117" s="12"/>
    </row>
    <row r="118" spans="2:3" x14ac:dyDescent="0.3">
      <c r="B118" s="12"/>
      <c r="C118" s="12"/>
    </row>
    <row r="119" spans="2:3" x14ac:dyDescent="0.3">
      <c r="B119" s="12"/>
      <c r="C119" s="12"/>
    </row>
    <row r="122" spans="2:3" x14ac:dyDescent="0.3">
      <c r="C122" s="129" t="s">
        <v>101</v>
      </c>
    </row>
  </sheetData>
  <dataConsolidate/>
  <mergeCells count="56">
    <mergeCell ref="B12:C12"/>
    <mergeCell ref="B79:C79"/>
    <mergeCell ref="B81:C81"/>
    <mergeCell ref="B106:C106"/>
    <mergeCell ref="B77:C77"/>
    <mergeCell ref="B62:C62"/>
    <mergeCell ref="B61:C61"/>
    <mergeCell ref="B60:C60"/>
    <mergeCell ref="B85:C85"/>
    <mergeCell ref="B80:C80"/>
    <mergeCell ref="B63:C63"/>
    <mergeCell ref="B84:C84"/>
    <mergeCell ref="B3:C3"/>
    <mergeCell ref="B4:C4"/>
    <mergeCell ref="B7:C7"/>
    <mergeCell ref="B8:C8"/>
    <mergeCell ref="B34:C34"/>
    <mergeCell ref="B32:C32"/>
    <mergeCell ref="B31:C31"/>
    <mergeCell ref="B30:C30"/>
    <mergeCell ref="B29:C29"/>
    <mergeCell ref="B24:C24"/>
    <mergeCell ref="B9:C9"/>
    <mergeCell ref="B10:C10"/>
    <mergeCell ref="B11:C11"/>
    <mergeCell ref="B14:C14"/>
    <mergeCell ref="B23:C23"/>
    <mergeCell ref="B22:C22"/>
    <mergeCell ref="B33:C33"/>
    <mergeCell ref="B26:C26"/>
    <mergeCell ref="B25:C25"/>
    <mergeCell ref="B52:C52"/>
    <mergeCell ref="B50:C50"/>
    <mergeCell ref="B40:C40"/>
    <mergeCell ref="B21:C21"/>
    <mergeCell ref="B18:C18"/>
    <mergeCell ref="B16:C16"/>
    <mergeCell ref="B53:C53"/>
    <mergeCell ref="B59:C59"/>
    <mergeCell ref="B58:C58"/>
    <mergeCell ref="B2:C2"/>
    <mergeCell ref="B39:C39"/>
    <mergeCell ref="B37:C37"/>
    <mergeCell ref="B36:C36"/>
    <mergeCell ref="B49:C49"/>
    <mergeCell ref="B48:C48"/>
    <mergeCell ref="B47:C47"/>
    <mergeCell ref="B46:C46"/>
    <mergeCell ref="B44:C44"/>
    <mergeCell ref="B42:C42"/>
    <mergeCell ref="B41:C41"/>
    <mergeCell ref="B43:C43"/>
    <mergeCell ref="B56:C56"/>
    <mergeCell ref="B55:C55"/>
    <mergeCell ref="B54:C54"/>
    <mergeCell ref="B82:C82"/>
  </mergeCells>
  <pageMargins left="0.7" right="0.7" top="0.75" bottom="0.75" header="0.3" footer="0.3"/>
  <pageSetup scale="40" orientation="landscape" r:id="rId1"/>
  <headerFooter>
    <oddFooter>&amp;CGutenberg Research LLC prohibits the redistribution of this document in whole or part without the written permission. 
© Gutenberg Research LLC 2016.</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3"/>
  <sheetViews>
    <sheetView topLeftCell="A4" workbookViewId="0">
      <selection activeCell="C13" sqref="C13"/>
    </sheetView>
  </sheetViews>
  <sheetFormatPr defaultColWidth="9.109375" defaultRowHeight="14.4" x14ac:dyDescent="0.3"/>
  <cols>
    <col min="1" max="1" width="1.109375" style="94" customWidth="1"/>
    <col min="2" max="2" width="77.77734375" style="94" customWidth="1"/>
    <col min="3" max="35" width="9.6640625" style="94" customWidth="1"/>
    <col min="36" max="16384" width="9.109375" style="94"/>
  </cols>
  <sheetData>
    <row r="1" spans="2:19" x14ac:dyDescent="0.3">
      <c r="B1" s="37" t="s">
        <v>150</v>
      </c>
    </row>
    <row r="2" spans="2:19" ht="15.6" x14ac:dyDescent="0.3">
      <c r="B2" s="255"/>
      <c r="C2" s="256"/>
      <c r="D2" s="68" t="s">
        <v>6</v>
      </c>
      <c r="E2" s="68" t="s">
        <v>5</v>
      </c>
      <c r="F2" s="68" t="s">
        <v>4</v>
      </c>
      <c r="G2" s="68" t="s">
        <v>7</v>
      </c>
      <c r="H2" s="68" t="s">
        <v>8</v>
      </c>
      <c r="I2" s="68" t="s">
        <v>9</v>
      </c>
      <c r="J2" s="68" t="s">
        <v>10</v>
      </c>
      <c r="K2" s="68" t="s">
        <v>12</v>
      </c>
      <c r="L2" s="68" t="s">
        <v>13</v>
      </c>
      <c r="M2" s="68" t="s">
        <v>14</v>
      </c>
      <c r="N2" s="68" t="s">
        <v>15</v>
      </c>
      <c r="O2" s="225" t="s">
        <v>11</v>
      </c>
      <c r="P2" s="225" t="s">
        <v>16</v>
      </c>
      <c r="Q2" s="225" t="s">
        <v>17</v>
      </c>
      <c r="R2" s="225" t="s">
        <v>18</v>
      </c>
      <c r="S2" s="226" t="s">
        <v>19</v>
      </c>
    </row>
    <row r="3" spans="2:19" ht="16.2" x14ac:dyDescent="0.45">
      <c r="B3" s="253"/>
      <c r="C3" s="254"/>
      <c r="D3" s="69" t="s">
        <v>29</v>
      </c>
      <c r="E3" s="69" t="s">
        <v>30</v>
      </c>
      <c r="F3" s="69" t="s">
        <v>31</v>
      </c>
      <c r="G3" s="69" t="s">
        <v>32</v>
      </c>
      <c r="H3" s="69" t="s">
        <v>33</v>
      </c>
      <c r="I3" s="69" t="s">
        <v>74</v>
      </c>
      <c r="J3" s="69" t="s">
        <v>98</v>
      </c>
      <c r="K3" s="69" t="s">
        <v>99</v>
      </c>
      <c r="L3" s="69" t="s">
        <v>118</v>
      </c>
      <c r="M3" s="69" t="s">
        <v>121</v>
      </c>
      <c r="N3" s="69" t="s">
        <v>144</v>
      </c>
      <c r="O3" s="227" t="s">
        <v>47</v>
      </c>
      <c r="P3" s="227" t="s">
        <v>49</v>
      </c>
      <c r="Q3" s="227" t="s">
        <v>50</v>
      </c>
      <c r="R3" s="227" t="s">
        <v>51</v>
      </c>
      <c r="S3" s="228" t="s">
        <v>52</v>
      </c>
    </row>
    <row r="4" spans="2:19" x14ac:dyDescent="0.3">
      <c r="B4" s="229" t="s">
        <v>151</v>
      </c>
      <c r="C4" s="230"/>
      <c r="D4" s="241">
        <f>'Earnings Model'!D73</f>
        <v>-0.17</v>
      </c>
      <c r="E4" s="241">
        <f>'Earnings Model'!E73</f>
        <v>-0.25</v>
      </c>
      <c r="F4" s="241">
        <f>'Earnings Model'!F73</f>
        <v>-0.56000000000000005</v>
      </c>
      <c r="G4" s="241">
        <f>'Earnings Model'!G73</f>
        <v>-0.65</v>
      </c>
      <c r="H4" s="241">
        <f>'Earnings Model'!I73</f>
        <v>-0.62</v>
      </c>
      <c r="I4" s="241">
        <f>'Earnings Model'!J73</f>
        <v>-0.55000000000000004</v>
      </c>
      <c r="J4" s="241">
        <f>'Earnings Model'!K73</f>
        <v>-0.1</v>
      </c>
      <c r="K4" s="241">
        <f>'Earnings Model'!L73</f>
        <v>0.28999999999999998</v>
      </c>
      <c r="L4" s="241">
        <f>'Earnings Model'!N73</f>
        <v>0.5</v>
      </c>
      <c r="M4" s="241">
        <f>'Earnings Model'!O73</f>
        <v>0.49</v>
      </c>
      <c r="N4" s="241">
        <f>'Earnings Model'!P73</f>
        <v>0.5</v>
      </c>
      <c r="O4" s="241"/>
      <c r="P4" s="241"/>
      <c r="Q4" s="241"/>
      <c r="R4" s="241"/>
      <c r="S4" s="242"/>
    </row>
    <row r="5" spans="2:19" x14ac:dyDescent="0.3">
      <c r="B5" s="223" t="s">
        <v>152</v>
      </c>
      <c r="C5" s="224"/>
      <c r="D5" s="241">
        <f>'Earnings Model'!D74</f>
        <v>1.18</v>
      </c>
      <c r="E5" s="241">
        <f>'Earnings Model'!E74</f>
        <v>1.23</v>
      </c>
      <c r="F5" s="241">
        <f>'Earnings Model'!F74</f>
        <v>2.74</v>
      </c>
      <c r="G5" s="241">
        <f>'Earnings Model'!G74</f>
        <v>3.35</v>
      </c>
      <c r="H5" s="241">
        <f>'Earnings Model'!I74</f>
        <v>2.85</v>
      </c>
      <c r="I5" s="241">
        <f>'Earnings Model'!J74</f>
        <v>2.2000000000000002</v>
      </c>
      <c r="J5" s="241">
        <f>'Earnings Model'!K74</f>
        <v>0.61</v>
      </c>
      <c r="K5" s="241">
        <f>'Earnings Model'!L74</f>
        <v>0.21</v>
      </c>
      <c r="L5" s="241">
        <f>'Earnings Model'!N74</f>
        <v>0.05</v>
      </c>
      <c r="M5" s="241">
        <f>'Earnings Model'!O74</f>
        <v>0.09</v>
      </c>
      <c r="N5" s="241">
        <f>'Earnings Model'!P74</f>
        <v>0.06</v>
      </c>
      <c r="O5" s="241"/>
      <c r="P5" s="241"/>
      <c r="Q5" s="241"/>
      <c r="R5" s="241"/>
      <c r="S5" s="242"/>
    </row>
    <row r="6" spans="2:19" x14ac:dyDescent="0.3">
      <c r="B6" s="234" t="s">
        <v>155</v>
      </c>
      <c r="C6" s="235"/>
      <c r="D6" s="236">
        <f>'Earnings Model'!D50</f>
        <v>1276</v>
      </c>
      <c r="E6" s="236">
        <f>'Earnings Model'!E50</f>
        <v>1317</v>
      </c>
      <c r="F6" s="236">
        <f>'Earnings Model'!F50</f>
        <v>1351</v>
      </c>
      <c r="G6" s="236">
        <f>'Earnings Model'!G50</f>
        <v>1394</v>
      </c>
      <c r="H6" s="236">
        <f>'Earnings Model'!I50</f>
        <v>1441</v>
      </c>
      <c r="I6" s="236">
        <f>'Earnings Model'!J50</f>
        <v>1491</v>
      </c>
      <c r="J6" s="236">
        <f>'Earnings Model'!K50</f>
        <v>1546</v>
      </c>
      <c r="K6" s="236">
        <f>'Earnings Model'!L50</f>
        <v>1591</v>
      </c>
      <c r="L6" s="236">
        <f>'Earnings Model'!N50</f>
        <v>1654</v>
      </c>
      <c r="M6" s="236">
        <f>'Earnings Model'!O50</f>
        <v>1712</v>
      </c>
      <c r="N6" s="236">
        <f>'Earnings Model'!P50</f>
        <v>1787</v>
      </c>
      <c r="O6" s="236">
        <f>'Earnings Model'!Q50</f>
        <v>1850.0340000000001</v>
      </c>
      <c r="P6" s="236">
        <f>'Earnings Model'!S50</f>
        <v>1926.9402260000002</v>
      </c>
      <c r="Q6" s="236">
        <f>'Earnings Model'!T50</f>
        <v>2006.8982276460001</v>
      </c>
      <c r="R6" s="236">
        <f>'Earnings Model'!U50</f>
        <v>2090.2986978864601</v>
      </c>
      <c r="S6" s="237">
        <f>'Earnings Model'!V50</f>
        <v>2177.5518586162448</v>
      </c>
    </row>
    <row r="7" spans="2:19" x14ac:dyDescent="0.3">
      <c r="B7" s="231" t="s">
        <v>156</v>
      </c>
      <c r="C7" s="232"/>
      <c r="D7" s="243">
        <f>'Earnings Model'!D62</f>
        <v>1.9984025559105432</v>
      </c>
      <c r="E7" s="243">
        <f>'Earnings Model'!E62</f>
        <v>2.2445044350173546</v>
      </c>
      <c r="F7" s="243">
        <f>'Earnings Model'!F62</f>
        <v>2.401049475262369</v>
      </c>
      <c r="G7" s="243">
        <f>'Earnings Model'!G62</f>
        <v>2.8058287795992713</v>
      </c>
      <c r="H7" s="243">
        <f>'Earnings Model'!I62</f>
        <v>2.4994708994708996</v>
      </c>
      <c r="I7" s="243">
        <f>'Earnings Model'!J62</f>
        <v>2.7571623465211461</v>
      </c>
      <c r="J7" s="243">
        <f>'Earnings Model'!K62</f>
        <v>2.9641093184063219</v>
      </c>
      <c r="K7" s="243">
        <f>'Earnings Model'!L62</f>
        <v>3.7239400701306979</v>
      </c>
      <c r="L7" s="243">
        <f>'Earnings Model'!N62</f>
        <v>3.3171032357473034</v>
      </c>
      <c r="M7" s="243">
        <f>'Earnings Model'!O62</f>
        <v>3.8241235888294711</v>
      </c>
      <c r="N7" s="243">
        <f>'Earnings Model'!P62</f>
        <v>4.007430694484138</v>
      </c>
      <c r="O7" s="243">
        <f>'Earnings Model'!Q62</f>
        <v>4.6576413638145793</v>
      </c>
      <c r="P7" s="243">
        <f>'Earnings Model'!S62</f>
        <v>3.2050109110275935</v>
      </c>
      <c r="Q7" s="243">
        <f>'Earnings Model'!T62</f>
        <v>3.6444854791582006</v>
      </c>
      <c r="R7" s="243">
        <f>'Earnings Model'!U62</f>
        <v>3.8822431063953813</v>
      </c>
      <c r="S7" s="244">
        <f>'Earnings Model'!V62</f>
        <v>4.5011917585756711</v>
      </c>
    </row>
    <row r="8" spans="2:19" x14ac:dyDescent="0.3">
      <c r="B8" s="238"/>
      <c r="C8" s="239"/>
      <c r="D8" s="233"/>
      <c r="E8" s="233"/>
      <c r="F8" s="233"/>
      <c r="G8" s="233"/>
      <c r="H8" s="233"/>
      <c r="I8" s="233"/>
      <c r="J8" s="233"/>
      <c r="K8" s="233"/>
      <c r="L8" s="233"/>
      <c r="M8" s="233"/>
      <c r="N8" s="233"/>
      <c r="O8" s="233"/>
      <c r="P8" s="233"/>
      <c r="Q8" s="233"/>
      <c r="R8" s="233"/>
      <c r="S8" s="233"/>
    </row>
    <row r="9" spans="2:19" x14ac:dyDescent="0.3">
      <c r="B9" s="94" t="s">
        <v>153</v>
      </c>
      <c r="D9" s="94" t="s">
        <v>157</v>
      </c>
    </row>
    <row r="10" spans="2:19" ht="234" customHeight="1" x14ac:dyDescent="0.3">
      <c r="B10" s="240"/>
    </row>
    <row r="11" spans="2:19" x14ac:dyDescent="0.3">
      <c r="B11" s="94" t="s">
        <v>154</v>
      </c>
      <c r="D11" s="94" t="s">
        <v>154</v>
      </c>
    </row>
    <row r="13" spans="2:19" x14ac:dyDescent="0.3">
      <c r="B13" s="94" t="s">
        <v>158</v>
      </c>
    </row>
  </sheetData>
  <mergeCells count="2">
    <mergeCell ref="B2:C2"/>
    <mergeCell ref="B3:C3"/>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Earnings Model</vt:lpstr>
      <vt:lpstr>Charts</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2016-03-31T00:40:00Z</cp:lastPrinted>
  <dcterms:created xsi:type="dcterms:W3CDTF">2014-10-18T18:34:10Z</dcterms:created>
  <dcterms:modified xsi:type="dcterms:W3CDTF">2017-01-16T16:05:36Z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