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https://d.docs.live.net/4bf9dc2a65e82d9d/Documents/Gutenberg/16-Coop Program/2021 (Fall)/Model Submissions/Assignment 2 (Babson)/Done/Christina Corino/"/>
    </mc:Choice>
  </mc:AlternateContent>
  <xr:revisionPtr revIDLastSave="8" documentId="13_ncr:1_{B46B6EE9-7495-48B4-85EF-22467849DDBC}" xr6:coauthVersionLast="47" xr6:coauthVersionMax="47" xr10:uidLastSave="{3A3881D3-4EAB-411A-850E-D20E99A42CEF}"/>
  <bookViews>
    <workbookView xWindow="-120" yWindow="-120" windowWidth="38640" windowHeight="21240" tabRatio="767" xr2:uid="{00000000-000D-0000-FFFF-FFFF00000000}"/>
  </bookViews>
  <sheets>
    <sheet name="Earnings Model (adjusted)" sheetId="38" r:id="rId1"/>
    <sheet name="Earnings Model" sheetId="33" r:id="rId2"/>
    <sheet name="Recon of ASRs" sheetId="31" state="hidden" r:id="rId3"/>
    <sheet name="CHANGE" sheetId="39" r:id="rId4"/>
    <sheet name="Charts" sheetId="21" r:id="rId5"/>
    <sheet name="Std Dev" sheetId="29" r:id="rId6"/>
    <sheet name="Class" sheetId="35" state="hidden" r:id="rId7"/>
  </sheets>
  <definedNames>
    <definedName name="DATA" localSheetId="4">#REF!</definedName>
    <definedName name="DATA">#REF!</definedName>
    <definedName name="_xlnm.Print_Area" localSheetId="3">CHANGE!$B$2:$AB$336</definedName>
    <definedName name="_xlnm.Print_Area" localSheetId="1">'Earnings Model'!$B$2:$AB$336</definedName>
    <definedName name="_xlnm.Print_Area" localSheetId="0">'Earnings Model (adjusted)'!$B$2:$AB$336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53" i="38" l="1"/>
  <c r="Q14" i="39"/>
  <c r="R14" i="39"/>
  <c r="S14" i="39"/>
  <c r="T14" i="39"/>
  <c r="U14" i="39"/>
  <c r="V14" i="39"/>
  <c r="W14" i="39"/>
  <c r="X14" i="39"/>
  <c r="Y14" i="39"/>
  <c r="Z14" i="39"/>
  <c r="AA14" i="39"/>
  <c r="AB14" i="39"/>
  <c r="AC14" i="39"/>
  <c r="AD14" i="39"/>
  <c r="AE14" i="39"/>
  <c r="AF14" i="39"/>
  <c r="AG14" i="39"/>
  <c r="AH14" i="39"/>
  <c r="AI14" i="39"/>
  <c r="AJ14" i="39"/>
  <c r="AK14" i="39"/>
  <c r="AL14" i="39"/>
  <c r="AM14" i="39"/>
  <c r="AN14" i="39"/>
  <c r="AO14" i="39"/>
  <c r="AP14" i="39"/>
  <c r="AQ14" i="39"/>
  <c r="Q15" i="39"/>
  <c r="R15" i="39"/>
  <c r="S15" i="39"/>
  <c r="T15" i="39"/>
  <c r="U15" i="39"/>
  <c r="V15" i="39"/>
  <c r="W15" i="39"/>
  <c r="X15" i="39"/>
  <c r="Y15" i="39"/>
  <c r="Z15" i="39"/>
  <c r="AA15" i="39"/>
  <c r="AB15" i="39"/>
  <c r="AC15" i="39"/>
  <c r="AD15" i="39"/>
  <c r="AE15" i="39"/>
  <c r="AF15" i="39"/>
  <c r="AG15" i="39"/>
  <c r="AH15" i="39"/>
  <c r="AI15" i="39"/>
  <c r="AJ15" i="39"/>
  <c r="AK15" i="39"/>
  <c r="AL15" i="39"/>
  <c r="AM15" i="39"/>
  <c r="AN15" i="39"/>
  <c r="AO15" i="39"/>
  <c r="AP15" i="39"/>
  <c r="AQ15" i="39"/>
  <c r="Q16" i="39"/>
  <c r="R16" i="39"/>
  <c r="S16" i="39"/>
  <c r="T16" i="39"/>
  <c r="U16" i="39"/>
  <c r="V16" i="39"/>
  <c r="W16" i="39"/>
  <c r="X51" i="38"/>
  <c r="X56" i="38"/>
  <c r="X13" i="38"/>
  <c r="X16" i="38"/>
  <c r="X16" i="39"/>
  <c r="Y51" i="38"/>
  <c r="Y56" i="38"/>
  <c r="Y13" i="38"/>
  <c r="Y16" i="38"/>
  <c r="Y16" i="39"/>
  <c r="Z16" i="39"/>
  <c r="AA16" i="39"/>
  <c r="AB13" i="38"/>
  <c r="AB16" i="38"/>
  <c r="AB16" i="39"/>
  <c r="AC51" i="38"/>
  <c r="AC56" i="38"/>
  <c r="AC13" i="38"/>
  <c r="AC16" i="38"/>
  <c r="AC16" i="39"/>
  <c r="AD51" i="38"/>
  <c r="AD56" i="38"/>
  <c r="AD13" i="38"/>
  <c r="AD16" i="38"/>
  <c r="AD16" i="39"/>
  <c r="AE16" i="39"/>
  <c r="AF51" i="38"/>
  <c r="AF56" i="38"/>
  <c r="AF13" i="38"/>
  <c r="AF16" i="38"/>
  <c r="AF16" i="39"/>
  <c r="AG13" i="38"/>
  <c r="AG16" i="38"/>
  <c r="AG16" i="39"/>
  <c r="AH51" i="38"/>
  <c r="AH56" i="38"/>
  <c r="AH13" i="38"/>
  <c r="AH16" i="38"/>
  <c r="AH16" i="39"/>
  <c r="AI51" i="38"/>
  <c r="AI56" i="38"/>
  <c r="AI13" i="38"/>
  <c r="AI16" i="38"/>
  <c r="AI16" i="39"/>
  <c r="AJ16" i="39"/>
  <c r="AK51" i="38"/>
  <c r="AK56" i="38"/>
  <c r="AK13" i="38"/>
  <c r="AK16" i="38"/>
  <c r="AK16" i="39"/>
  <c r="AL13" i="38"/>
  <c r="AL16" i="38"/>
  <c r="AL16" i="39"/>
  <c r="AM51" i="38"/>
  <c r="AM56" i="38"/>
  <c r="AM13" i="38"/>
  <c r="AM16" i="38"/>
  <c r="AM16" i="39"/>
  <c r="AN51" i="38"/>
  <c r="AN56" i="38"/>
  <c r="AN13" i="38"/>
  <c r="AN16" i="38"/>
  <c r="AN16" i="39"/>
  <c r="AO16" i="39"/>
  <c r="AP51" i="38"/>
  <c r="AP56" i="38"/>
  <c r="AP13" i="38"/>
  <c r="AP16" i="38"/>
  <c r="AP16" i="39"/>
  <c r="AQ13" i="38"/>
  <c r="AQ16" i="38"/>
  <c r="AQ16" i="39"/>
  <c r="Q69" i="38"/>
  <c r="Q17" i="38"/>
  <c r="Q17" i="39"/>
  <c r="R17" i="38"/>
  <c r="R17" i="39"/>
  <c r="S69" i="38"/>
  <c r="S17" i="38"/>
  <c r="S17" i="39"/>
  <c r="T69" i="38"/>
  <c r="T17" i="38"/>
  <c r="T17" i="39"/>
  <c r="U69" i="38"/>
  <c r="U17" i="38"/>
  <c r="U17" i="39"/>
  <c r="V69" i="38"/>
  <c r="V17" i="38"/>
  <c r="V17" i="39"/>
  <c r="W17" i="38"/>
  <c r="W17" i="39"/>
  <c r="X68" i="38"/>
  <c r="X69" i="38"/>
  <c r="X17" i="38"/>
  <c r="X17" i="39"/>
  <c r="Y68" i="38"/>
  <c r="Y69" i="38"/>
  <c r="Y17" i="38"/>
  <c r="Y17" i="39"/>
  <c r="Z69" i="38"/>
  <c r="Z17" i="38"/>
  <c r="Z17" i="39"/>
  <c r="AA69" i="38"/>
  <c r="AA17" i="38"/>
  <c r="AA17" i="39"/>
  <c r="AB17" i="38"/>
  <c r="AB17" i="39"/>
  <c r="W69" i="38"/>
  <c r="W70" i="38"/>
  <c r="R69" i="38"/>
  <c r="R70" i="38"/>
  <c r="AC70" i="38"/>
  <c r="AC68" i="38"/>
  <c r="AC69" i="38"/>
  <c r="AC17" i="38"/>
  <c r="AC17" i="39"/>
  <c r="AD70" i="38"/>
  <c r="AD68" i="38"/>
  <c r="AD69" i="38"/>
  <c r="AD17" i="38"/>
  <c r="AD17" i="39"/>
  <c r="AE70" i="38"/>
  <c r="AE69" i="38"/>
  <c r="AE17" i="38"/>
  <c r="AE17" i="39"/>
  <c r="AF70" i="38"/>
  <c r="AF68" i="38"/>
  <c r="AF69" i="38"/>
  <c r="AF17" i="38"/>
  <c r="AF17" i="39"/>
  <c r="AG17" i="38"/>
  <c r="AG17" i="39"/>
  <c r="AB69" i="38"/>
  <c r="AB68" i="38"/>
  <c r="AB70" i="38"/>
  <c r="AH70" i="38"/>
  <c r="AH68" i="38"/>
  <c r="AH69" i="38"/>
  <c r="AH17" i="38"/>
  <c r="AH17" i="39"/>
  <c r="AI70" i="38"/>
  <c r="AI68" i="38"/>
  <c r="AI69" i="38"/>
  <c r="AI17" i="38"/>
  <c r="AI17" i="39"/>
  <c r="AJ70" i="38"/>
  <c r="AJ69" i="38"/>
  <c r="AJ17" i="38"/>
  <c r="AJ17" i="39"/>
  <c r="AK70" i="38"/>
  <c r="AK68" i="38"/>
  <c r="AK69" i="38"/>
  <c r="AK17" i="38"/>
  <c r="AK17" i="39"/>
  <c r="AL17" i="38"/>
  <c r="AL17" i="39"/>
  <c r="AG69" i="38"/>
  <c r="AG68" i="38"/>
  <c r="AG70" i="38"/>
  <c r="AM70" i="38"/>
  <c r="AM68" i="38"/>
  <c r="AM69" i="38"/>
  <c r="AM17" i="38"/>
  <c r="AM17" i="39"/>
  <c r="AN70" i="38"/>
  <c r="AN68" i="38"/>
  <c r="AN69" i="38"/>
  <c r="AN17" i="38"/>
  <c r="AN17" i="39"/>
  <c r="AO70" i="38"/>
  <c r="AO69" i="38"/>
  <c r="AO17" i="38"/>
  <c r="AO17" i="39"/>
  <c r="AP70" i="38"/>
  <c r="AP68" i="38"/>
  <c r="AP69" i="38"/>
  <c r="AP17" i="38"/>
  <c r="AP17" i="39"/>
  <c r="AQ17" i="38"/>
  <c r="AQ17" i="39"/>
  <c r="Q18" i="39"/>
  <c r="R18" i="39"/>
  <c r="S18" i="39"/>
  <c r="T18" i="39"/>
  <c r="U18" i="39"/>
  <c r="V18" i="39"/>
  <c r="W18" i="39"/>
  <c r="X71" i="38"/>
  <c r="X18" i="38"/>
  <c r="X18" i="39"/>
  <c r="Y71" i="38"/>
  <c r="Y18" i="38"/>
  <c r="Y18" i="39"/>
  <c r="Z18" i="39"/>
  <c r="AA18" i="39"/>
  <c r="AB18" i="38"/>
  <c r="AB18" i="39"/>
  <c r="AC71" i="38"/>
  <c r="AC18" i="38"/>
  <c r="AC18" i="39"/>
  <c r="AD71" i="38"/>
  <c r="AD18" i="38"/>
  <c r="AD18" i="39"/>
  <c r="AE18" i="39"/>
  <c r="AF71" i="38"/>
  <c r="AF18" i="38"/>
  <c r="AF18" i="39"/>
  <c r="AG18" i="38"/>
  <c r="AG18" i="39"/>
  <c r="AH71" i="38"/>
  <c r="AH18" i="38"/>
  <c r="AH18" i="39"/>
  <c r="AI71" i="38"/>
  <c r="AI18" i="38"/>
  <c r="AI18" i="39"/>
  <c r="AJ18" i="39"/>
  <c r="AK71" i="38"/>
  <c r="AK18" i="38"/>
  <c r="AK18" i="39"/>
  <c r="AL18" i="38"/>
  <c r="AL18" i="39"/>
  <c r="AM71" i="38"/>
  <c r="AM18" i="38"/>
  <c r="AM18" i="39"/>
  <c r="AN71" i="38"/>
  <c r="AN18" i="38"/>
  <c r="AN18" i="39"/>
  <c r="AO18" i="39"/>
  <c r="AP71" i="38"/>
  <c r="AP18" i="38"/>
  <c r="AP18" i="39"/>
  <c r="AQ18" i="38"/>
  <c r="AQ18" i="39"/>
  <c r="Q19" i="39"/>
  <c r="R19" i="39"/>
  <c r="S19" i="39"/>
  <c r="T19" i="39"/>
  <c r="U19" i="39"/>
  <c r="V19" i="39"/>
  <c r="W19" i="39"/>
  <c r="X73" i="38"/>
  <c r="X19" i="38"/>
  <c r="X19" i="39"/>
  <c r="Y73" i="38"/>
  <c r="Y19" i="38"/>
  <c r="Y19" i="39"/>
  <c r="Z19" i="39"/>
  <c r="AA19" i="39"/>
  <c r="AB19" i="38"/>
  <c r="AB19" i="39"/>
  <c r="AC73" i="38"/>
  <c r="AC19" i="38"/>
  <c r="AC19" i="39"/>
  <c r="AD73" i="38"/>
  <c r="AD19" i="38"/>
  <c r="AD19" i="39"/>
  <c r="AE19" i="39"/>
  <c r="AF73" i="38"/>
  <c r="AF19" i="38"/>
  <c r="AF19" i="39"/>
  <c r="AG19" i="38"/>
  <c r="AG19" i="39"/>
  <c r="AH73" i="38"/>
  <c r="AH19" i="38"/>
  <c r="AH19" i="39"/>
  <c r="AI73" i="38"/>
  <c r="AI19" i="38"/>
  <c r="AI19" i="39"/>
  <c r="AJ19" i="39"/>
  <c r="AK73" i="38"/>
  <c r="AK19" i="38"/>
  <c r="AK19" i="39"/>
  <c r="AL19" i="38"/>
  <c r="AL19" i="39"/>
  <c r="AM73" i="38"/>
  <c r="AM19" i="38"/>
  <c r="AM19" i="39"/>
  <c r="AN73" i="38"/>
  <c r="AN19" i="38"/>
  <c r="AN19" i="39"/>
  <c r="AO19" i="39"/>
  <c r="AP73" i="38"/>
  <c r="AP19" i="38"/>
  <c r="AP19" i="39"/>
  <c r="AQ19" i="38"/>
  <c r="AQ19" i="39"/>
  <c r="Q20" i="39"/>
  <c r="R20" i="39"/>
  <c r="S20" i="39"/>
  <c r="T20" i="39"/>
  <c r="U20" i="39"/>
  <c r="V20" i="39"/>
  <c r="W20" i="39"/>
  <c r="X20" i="39"/>
  <c r="X263" i="38"/>
  <c r="X195" i="38"/>
  <c r="Y245" i="38"/>
  <c r="Y75" i="38"/>
  <c r="Y110" i="38"/>
  <c r="Y125" i="38"/>
  <c r="Y138" i="38"/>
  <c r="Y20" i="38"/>
  <c r="Y20" i="39"/>
  <c r="Y263" i="38"/>
  <c r="Y195" i="38"/>
  <c r="Z245" i="38"/>
  <c r="Z75" i="38"/>
  <c r="Z110" i="38"/>
  <c r="Z125" i="38"/>
  <c r="Z138" i="38"/>
  <c r="Z20" i="38"/>
  <c r="Z20" i="39"/>
  <c r="Z195" i="38"/>
  <c r="AA245" i="38"/>
  <c r="AA75" i="38"/>
  <c r="AA110" i="38"/>
  <c r="AA125" i="38"/>
  <c r="AA138" i="38"/>
  <c r="AA20" i="38"/>
  <c r="AA20" i="39"/>
  <c r="AB20" i="38"/>
  <c r="AB20" i="39"/>
  <c r="AA195" i="38"/>
  <c r="AB195" i="38"/>
  <c r="AC245" i="38"/>
  <c r="AC75" i="38"/>
  <c r="AC110" i="38"/>
  <c r="AC125" i="38"/>
  <c r="AC138" i="38"/>
  <c r="AC20" i="38"/>
  <c r="AC20" i="39"/>
  <c r="AC263" i="38"/>
  <c r="AC195" i="38"/>
  <c r="AD245" i="38"/>
  <c r="AD75" i="38"/>
  <c r="AD110" i="38"/>
  <c r="AD125" i="38"/>
  <c r="AD138" i="38"/>
  <c r="AD20" i="38"/>
  <c r="AD20" i="39"/>
  <c r="AD263" i="38"/>
  <c r="AD195" i="38"/>
  <c r="AE245" i="38"/>
  <c r="AE75" i="38"/>
  <c r="AE110" i="38"/>
  <c r="AE125" i="38"/>
  <c r="AE138" i="38"/>
  <c r="AE20" i="38"/>
  <c r="AE20" i="39"/>
  <c r="AE195" i="38"/>
  <c r="AF245" i="38"/>
  <c r="AF75" i="38"/>
  <c r="AF110" i="38"/>
  <c r="AF125" i="38"/>
  <c r="AF138" i="38"/>
  <c r="AF20" i="38"/>
  <c r="AF20" i="39"/>
  <c r="AG20" i="38"/>
  <c r="AG20" i="39"/>
  <c r="AF263" i="38"/>
  <c r="AF195" i="38"/>
  <c r="AG195" i="38"/>
  <c r="AH245" i="38"/>
  <c r="AH75" i="38"/>
  <c r="AH110" i="38"/>
  <c r="AH125" i="38"/>
  <c r="AH138" i="38"/>
  <c r="AH20" i="38"/>
  <c r="AH20" i="39"/>
  <c r="AH263" i="38"/>
  <c r="AH195" i="38"/>
  <c r="AI245" i="38"/>
  <c r="AI75" i="38"/>
  <c r="AI110" i="38"/>
  <c r="AI125" i="38"/>
  <c r="AI138" i="38"/>
  <c r="AI20" i="38"/>
  <c r="AI20" i="39"/>
  <c r="AI263" i="38"/>
  <c r="AI195" i="38"/>
  <c r="AJ245" i="38"/>
  <c r="AJ75" i="38"/>
  <c r="AJ110" i="38"/>
  <c r="AJ125" i="38"/>
  <c r="AJ138" i="38"/>
  <c r="AJ20" i="38"/>
  <c r="AJ20" i="39"/>
  <c r="AJ195" i="38"/>
  <c r="AK245" i="38"/>
  <c r="AK75" i="38"/>
  <c r="AK110" i="38"/>
  <c r="AK125" i="38"/>
  <c r="AK138" i="38"/>
  <c r="AK20" i="38"/>
  <c r="AK20" i="39"/>
  <c r="AL20" i="38"/>
  <c r="AL20" i="39"/>
  <c r="AK263" i="38"/>
  <c r="AK195" i="38"/>
  <c r="AL195" i="38"/>
  <c r="AM245" i="38"/>
  <c r="AM75" i="38"/>
  <c r="AM110" i="38"/>
  <c r="AM125" i="38"/>
  <c r="AM138" i="38"/>
  <c r="AM20" i="38"/>
  <c r="AM20" i="39"/>
  <c r="AM263" i="38"/>
  <c r="AM195" i="38"/>
  <c r="AN245" i="38"/>
  <c r="AN75" i="38"/>
  <c r="AN110" i="38"/>
  <c r="AN125" i="38"/>
  <c r="AN138" i="38"/>
  <c r="AN20" i="38"/>
  <c r="AN20" i="39"/>
  <c r="AN263" i="38"/>
  <c r="AN195" i="38"/>
  <c r="AO245" i="38"/>
  <c r="AO75" i="38"/>
  <c r="AO110" i="38"/>
  <c r="AO125" i="38"/>
  <c r="AO138" i="38"/>
  <c r="AO20" i="38"/>
  <c r="AO20" i="39"/>
  <c r="AO195" i="38"/>
  <c r="AP245" i="38"/>
  <c r="AP75" i="38"/>
  <c r="AP110" i="38"/>
  <c r="AP125" i="38"/>
  <c r="AP138" i="38"/>
  <c r="AP20" i="38"/>
  <c r="AP20" i="39"/>
  <c r="AQ20" i="38"/>
  <c r="AQ20" i="39"/>
  <c r="Q21" i="39"/>
  <c r="R21" i="39"/>
  <c r="S21" i="39"/>
  <c r="T21" i="39"/>
  <c r="U21" i="39"/>
  <c r="V21" i="39"/>
  <c r="W21" i="39"/>
  <c r="X76" i="38"/>
  <c r="X21" i="38"/>
  <c r="X21" i="39"/>
  <c r="Y76" i="38"/>
  <c r="Y21" i="38"/>
  <c r="Y21" i="39"/>
  <c r="Z21" i="39"/>
  <c r="AA21" i="39"/>
  <c r="AB21" i="38"/>
  <c r="AB21" i="39"/>
  <c r="AC76" i="38"/>
  <c r="AC21" i="38"/>
  <c r="AC21" i="39"/>
  <c r="AD76" i="38"/>
  <c r="AD21" i="38"/>
  <c r="AD21" i="39"/>
  <c r="AE21" i="39"/>
  <c r="AF76" i="38"/>
  <c r="AF21" i="38"/>
  <c r="AF21" i="39"/>
  <c r="AG21" i="38"/>
  <c r="AG21" i="39"/>
  <c r="AB76" i="38"/>
  <c r="AB77" i="38"/>
  <c r="AH77" i="38"/>
  <c r="AH76" i="38"/>
  <c r="AH21" i="38"/>
  <c r="AH21" i="39"/>
  <c r="AI77" i="38"/>
  <c r="AI76" i="38"/>
  <c r="AI21" i="38"/>
  <c r="AI21" i="39"/>
  <c r="AJ77" i="38"/>
  <c r="AJ76" i="38"/>
  <c r="AJ21" i="38"/>
  <c r="AJ21" i="39"/>
  <c r="AK77" i="38"/>
  <c r="AK76" i="38"/>
  <c r="AK21" i="38"/>
  <c r="AK21" i="39"/>
  <c r="AL21" i="38"/>
  <c r="AL21" i="39"/>
  <c r="AG76" i="38"/>
  <c r="AG77" i="38"/>
  <c r="AM77" i="38"/>
  <c r="AM76" i="38"/>
  <c r="AM21" i="38"/>
  <c r="AM21" i="39"/>
  <c r="AN77" i="38"/>
  <c r="AN76" i="38"/>
  <c r="AN21" i="38"/>
  <c r="AN21" i="39"/>
  <c r="AO77" i="38"/>
  <c r="AO76" i="38"/>
  <c r="AO21" i="38"/>
  <c r="AO21" i="39"/>
  <c r="AP77" i="38"/>
  <c r="AP76" i="38"/>
  <c r="AP21" i="38"/>
  <c r="AP21" i="39"/>
  <c r="AQ21" i="38"/>
  <c r="AQ21" i="39"/>
  <c r="Q22" i="39"/>
  <c r="R22" i="39"/>
  <c r="S22" i="39"/>
  <c r="T22" i="39"/>
  <c r="U22" i="39"/>
  <c r="V22" i="39"/>
  <c r="W22" i="39"/>
  <c r="X22" i="39"/>
  <c r="Y22" i="39"/>
  <c r="Z22" i="39"/>
  <c r="AA22" i="39"/>
  <c r="AB22" i="39"/>
  <c r="AC22" i="39"/>
  <c r="AD22" i="39"/>
  <c r="AE22" i="39"/>
  <c r="AF22" i="39"/>
  <c r="AG22" i="39"/>
  <c r="AH22" i="39"/>
  <c r="AI22" i="39"/>
  <c r="AJ22" i="39"/>
  <c r="AK22" i="39"/>
  <c r="AL22" i="39"/>
  <c r="AM22" i="39"/>
  <c r="AN22" i="39"/>
  <c r="AO22" i="39"/>
  <c r="AP22" i="39"/>
  <c r="AQ22" i="39"/>
  <c r="Q23" i="38"/>
  <c r="Q23" i="39"/>
  <c r="R23" i="38"/>
  <c r="R23" i="39"/>
  <c r="S23" i="38"/>
  <c r="S23" i="39"/>
  <c r="T23" i="38"/>
  <c r="T23" i="39"/>
  <c r="U23" i="38"/>
  <c r="U23" i="39"/>
  <c r="V23" i="38"/>
  <c r="V23" i="39"/>
  <c r="W23" i="38"/>
  <c r="W23" i="39"/>
  <c r="X23" i="38"/>
  <c r="X23" i="39"/>
  <c r="Y23" i="38"/>
  <c r="Y23" i="39"/>
  <c r="Z23" i="38"/>
  <c r="Z23" i="39"/>
  <c r="AA23" i="38"/>
  <c r="AA23" i="39"/>
  <c r="AB23" i="38"/>
  <c r="AB23" i="39"/>
  <c r="AC23" i="38"/>
  <c r="AC23" i="39"/>
  <c r="AD23" i="38"/>
  <c r="AD23" i="39"/>
  <c r="AE23" i="38"/>
  <c r="AE23" i="39"/>
  <c r="AF23" i="38"/>
  <c r="AF23" i="39"/>
  <c r="AG23" i="38"/>
  <c r="AG23" i="39"/>
  <c r="AH23" i="38"/>
  <c r="AH23" i="39"/>
  <c r="AI23" i="38"/>
  <c r="AI23" i="39"/>
  <c r="AJ23" i="38"/>
  <c r="AJ23" i="39"/>
  <c r="AK23" i="38"/>
  <c r="AK23" i="39"/>
  <c r="AL23" i="38"/>
  <c r="AL23" i="39"/>
  <c r="AM23" i="38"/>
  <c r="AM23" i="39"/>
  <c r="AN23" i="38"/>
  <c r="AN23" i="39"/>
  <c r="AO23" i="38"/>
  <c r="AO23" i="39"/>
  <c r="AP23" i="38"/>
  <c r="AP23" i="39"/>
  <c r="AQ23" i="38"/>
  <c r="AQ23" i="39"/>
  <c r="Q24" i="39"/>
  <c r="R24" i="39"/>
  <c r="S24" i="39"/>
  <c r="T24" i="39"/>
  <c r="U24" i="39"/>
  <c r="V24" i="39"/>
  <c r="W24" i="39"/>
  <c r="X24" i="39"/>
  <c r="Y24" i="39"/>
  <c r="Z24" i="39"/>
  <c r="AA24" i="39"/>
  <c r="AB24" i="39"/>
  <c r="AC24" i="39"/>
  <c r="AD24" i="39"/>
  <c r="AE24" i="39"/>
  <c r="AF24" i="39"/>
  <c r="AG24" i="39"/>
  <c r="AH24" i="39"/>
  <c r="AI24" i="39"/>
  <c r="AJ24" i="39"/>
  <c r="AK24" i="39"/>
  <c r="AL24" i="39"/>
  <c r="AM24" i="39"/>
  <c r="AN24" i="39"/>
  <c r="AO24" i="39"/>
  <c r="AP24" i="39"/>
  <c r="AQ24" i="39"/>
  <c r="Q25" i="38"/>
  <c r="Q25" i="39"/>
  <c r="R25" i="38"/>
  <c r="R25" i="39"/>
  <c r="S25" i="38"/>
  <c r="S25" i="39"/>
  <c r="T25" i="38"/>
  <c r="T25" i="39"/>
  <c r="U25" i="38"/>
  <c r="U25" i="39"/>
  <c r="V25" i="38"/>
  <c r="V25" i="39"/>
  <c r="W25" i="38"/>
  <c r="W25" i="39"/>
  <c r="X25" i="38"/>
  <c r="X25" i="39"/>
  <c r="Y25" i="38"/>
  <c r="Y25" i="39"/>
  <c r="Z25" i="38"/>
  <c r="Z25" i="39"/>
  <c r="AA25" i="38"/>
  <c r="AA25" i="39"/>
  <c r="AB25" i="38"/>
  <c r="AB25" i="39"/>
  <c r="AC25" i="38"/>
  <c r="AC25" i="39"/>
  <c r="AD25" i="38"/>
  <c r="AD25" i="39"/>
  <c r="AE25" i="38"/>
  <c r="AE25" i="39"/>
  <c r="AF25" i="38"/>
  <c r="AF25" i="39"/>
  <c r="AG25" i="38"/>
  <c r="AG25" i="39"/>
  <c r="AH25" i="38"/>
  <c r="AH25" i="39"/>
  <c r="AI25" i="38"/>
  <c r="AI25" i="39"/>
  <c r="AJ25" i="38"/>
  <c r="AJ25" i="39"/>
  <c r="AK25" i="38"/>
  <c r="AK25" i="39"/>
  <c r="AL25" i="38"/>
  <c r="AL25" i="39"/>
  <c r="AM25" i="38"/>
  <c r="AM25" i="39"/>
  <c r="AN25" i="38"/>
  <c r="AN25" i="39"/>
  <c r="AO25" i="38"/>
  <c r="AO25" i="39"/>
  <c r="AP25" i="38"/>
  <c r="AP25" i="39"/>
  <c r="AQ25" i="38"/>
  <c r="AQ25" i="39"/>
  <c r="Q26" i="39"/>
  <c r="R26" i="39"/>
  <c r="S26" i="39"/>
  <c r="T26" i="39"/>
  <c r="U26" i="39"/>
  <c r="V26" i="39"/>
  <c r="W26" i="39"/>
  <c r="X26" i="39"/>
  <c r="Y26" i="39"/>
  <c r="Z26" i="39"/>
  <c r="AA26" i="39"/>
  <c r="AB26" i="39"/>
  <c r="AC26" i="39"/>
  <c r="AD26" i="39"/>
  <c r="AE26" i="39"/>
  <c r="AF26" i="39"/>
  <c r="AG26" i="39"/>
  <c r="AH26" i="39"/>
  <c r="AI26" i="39"/>
  <c r="AJ26" i="39"/>
  <c r="AK26" i="39"/>
  <c r="AL26" i="39"/>
  <c r="AM26" i="39"/>
  <c r="AN26" i="39"/>
  <c r="AO26" i="39"/>
  <c r="AP26" i="39"/>
  <c r="AQ26" i="39"/>
  <c r="Q27" i="38"/>
  <c r="Q27" i="39"/>
  <c r="R27" i="38"/>
  <c r="R27" i="39"/>
  <c r="S27" i="38"/>
  <c r="S27" i="39"/>
  <c r="T27" i="38"/>
  <c r="T27" i="39"/>
  <c r="U27" i="38"/>
  <c r="U27" i="39"/>
  <c r="V27" i="38"/>
  <c r="V27" i="39"/>
  <c r="W27" i="38"/>
  <c r="W27" i="39"/>
  <c r="X27" i="38"/>
  <c r="X27" i="39"/>
  <c r="Y27" i="38"/>
  <c r="Y27" i="39"/>
  <c r="Z27" i="38"/>
  <c r="Z27" i="39"/>
  <c r="AA27" i="38"/>
  <c r="AA27" i="39"/>
  <c r="AB27" i="38"/>
  <c r="AB27" i="39"/>
  <c r="AC27" i="38"/>
  <c r="AC27" i="39"/>
  <c r="AD27" i="38"/>
  <c r="AD27" i="39"/>
  <c r="AE27" i="38"/>
  <c r="AE27" i="39"/>
  <c r="AF27" i="38"/>
  <c r="AF27" i="39"/>
  <c r="AG27" i="38"/>
  <c r="AG27" i="39"/>
  <c r="AH27" i="38"/>
  <c r="AH27" i="39"/>
  <c r="AI27" i="38"/>
  <c r="AI27" i="39"/>
  <c r="AJ27" i="38"/>
  <c r="AJ27" i="39"/>
  <c r="AK27" i="38"/>
  <c r="AK27" i="39"/>
  <c r="AL27" i="38"/>
  <c r="AL27" i="39"/>
  <c r="AM27" i="38"/>
  <c r="AM27" i="39"/>
  <c r="AN27" i="38"/>
  <c r="AN27" i="39"/>
  <c r="AO27" i="38"/>
  <c r="AO27" i="39"/>
  <c r="AP27" i="38"/>
  <c r="AP27" i="39"/>
  <c r="AQ27" i="38"/>
  <c r="AQ27" i="39"/>
  <c r="Q28" i="39"/>
  <c r="R28" i="39"/>
  <c r="S28" i="39"/>
  <c r="T28" i="39"/>
  <c r="U28" i="39"/>
  <c r="V28" i="39"/>
  <c r="W28" i="39"/>
  <c r="X28" i="39"/>
  <c r="Y28" i="39"/>
  <c r="Z28" i="39"/>
  <c r="AA28" i="39"/>
  <c r="AB28" i="39"/>
  <c r="AC28" i="39"/>
  <c r="AD28" i="39"/>
  <c r="AE28" i="39"/>
  <c r="AF28" i="39"/>
  <c r="AG28" i="39"/>
  <c r="AH28" i="39"/>
  <c r="AI28" i="39"/>
  <c r="AJ28" i="39"/>
  <c r="AK28" i="39"/>
  <c r="AL28" i="39"/>
  <c r="AM28" i="39"/>
  <c r="AN28" i="39"/>
  <c r="AO28" i="39"/>
  <c r="AP28" i="39"/>
  <c r="AQ28" i="39"/>
  <c r="Q29" i="39"/>
  <c r="R29" i="39"/>
  <c r="Q31" i="38"/>
  <c r="Q32" i="38"/>
  <c r="Q33" i="38"/>
  <c r="Q244" i="38"/>
  <c r="Q219" i="38"/>
  <c r="Q222" i="38"/>
  <c r="Q203" i="38"/>
  <c r="Q211" i="38"/>
  <c r="Q216" i="38"/>
  <c r="Q223" i="38"/>
  <c r="Q188" i="38"/>
  <c r="Q193" i="38"/>
  <c r="Q262" i="38"/>
  <c r="Q198" i="38"/>
  <c r="Q264" i="38"/>
  <c r="Q265" i="38"/>
  <c r="Q190" i="38"/>
  <c r="Q254" i="38"/>
  <c r="Q256" i="38"/>
  <c r="Q260" i="38"/>
  <c r="Q277" i="38"/>
  <c r="Q279" i="38"/>
  <c r="Q187" i="38"/>
  <c r="S29" i="38"/>
  <c r="S29" i="39"/>
  <c r="R262" i="38"/>
  <c r="R264" i="38"/>
  <c r="R265" i="38"/>
  <c r="R31" i="38"/>
  <c r="R32" i="38"/>
  <c r="R33" i="38"/>
  <c r="R244" i="38"/>
  <c r="R254" i="38"/>
  <c r="R256" i="38"/>
  <c r="R260" i="38"/>
  <c r="R277" i="38"/>
  <c r="R279" i="38"/>
  <c r="S278" i="38"/>
  <c r="S31" i="38"/>
  <c r="S32" i="38"/>
  <c r="S33" i="38"/>
  <c r="S244" i="38"/>
  <c r="S219" i="38"/>
  <c r="S222" i="38"/>
  <c r="S203" i="38"/>
  <c r="S211" i="38"/>
  <c r="S216" i="38"/>
  <c r="S223" i="38"/>
  <c r="S188" i="38"/>
  <c r="S193" i="38"/>
  <c r="S262" i="38"/>
  <c r="S198" i="38"/>
  <c r="S264" i="38"/>
  <c r="S265" i="38"/>
  <c r="S190" i="38"/>
  <c r="S254" i="38"/>
  <c r="S256" i="38"/>
  <c r="S260" i="38"/>
  <c r="S277" i="38"/>
  <c r="S279" i="38"/>
  <c r="S187" i="38"/>
  <c r="T29" i="38"/>
  <c r="T29" i="39"/>
  <c r="T278" i="38"/>
  <c r="T31" i="38"/>
  <c r="T32" i="38"/>
  <c r="T33" i="38"/>
  <c r="T244" i="38"/>
  <c r="T219" i="38"/>
  <c r="T222" i="38"/>
  <c r="T203" i="38"/>
  <c r="T211" i="38"/>
  <c r="T216" i="38"/>
  <c r="T223" i="38"/>
  <c r="T188" i="38"/>
  <c r="T193" i="38"/>
  <c r="T262" i="38"/>
  <c r="T198" i="38"/>
  <c r="T264" i="38"/>
  <c r="T265" i="38"/>
  <c r="T190" i="38"/>
  <c r="T254" i="38"/>
  <c r="T256" i="38"/>
  <c r="T260" i="38"/>
  <c r="T277" i="38"/>
  <c r="T279" i="38"/>
  <c r="T187" i="38"/>
  <c r="U29" i="38"/>
  <c r="U29" i="39"/>
  <c r="U278" i="38"/>
  <c r="U31" i="38"/>
  <c r="U32" i="38"/>
  <c r="U33" i="38"/>
  <c r="U244" i="38"/>
  <c r="U219" i="38"/>
  <c r="U222" i="38"/>
  <c r="U203" i="38"/>
  <c r="U211" i="38"/>
  <c r="U216" i="38"/>
  <c r="U223" i="38"/>
  <c r="U188" i="38"/>
  <c r="U193" i="38"/>
  <c r="U262" i="38"/>
  <c r="U198" i="38"/>
  <c r="U264" i="38"/>
  <c r="U265" i="38"/>
  <c r="U190" i="38"/>
  <c r="U254" i="38"/>
  <c r="U256" i="38"/>
  <c r="U260" i="38"/>
  <c r="U277" i="38"/>
  <c r="U279" i="38"/>
  <c r="U187" i="38"/>
  <c r="V29" i="38"/>
  <c r="V29" i="39"/>
  <c r="W29" i="38"/>
  <c r="W29" i="39"/>
  <c r="V31" i="38"/>
  <c r="V32" i="38"/>
  <c r="V33" i="38"/>
  <c r="V244" i="38"/>
  <c r="V219" i="38"/>
  <c r="V222" i="38"/>
  <c r="V203" i="38"/>
  <c r="V204" i="38"/>
  <c r="V211" i="38"/>
  <c r="V216" i="38"/>
  <c r="V223" i="38"/>
  <c r="V188" i="38"/>
  <c r="V193" i="38"/>
  <c r="V262" i="38"/>
  <c r="V198" i="38"/>
  <c r="V264" i="38"/>
  <c r="V265" i="38"/>
  <c r="V190" i="38"/>
  <c r="V254" i="38"/>
  <c r="V256" i="38"/>
  <c r="V259" i="38"/>
  <c r="V260" i="38"/>
  <c r="V277" i="38"/>
  <c r="V278" i="38"/>
  <c r="V279" i="38"/>
  <c r="V187" i="38"/>
  <c r="X29" i="38"/>
  <c r="X29" i="39"/>
  <c r="X31" i="38"/>
  <c r="X32" i="38"/>
  <c r="X33" i="38"/>
  <c r="X244" i="38"/>
  <c r="X219" i="38"/>
  <c r="X250" i="38"/>
  <c r="X273" i="38"/>
  <c r="X218" i="38"/>
  <c r="X222" i="38"/>
  <c r="X203" i="38"/>
  <c r="W204" i="38"/>
  <c r="X204" i="38"/>
  <c r="X211" i="38"/>
  <c r="X216" i="38"/>
  <c r="X223" i="38"/>
  <c r="X188" i="38"/>
  <c r="X193" i="38"/>
  <c r="X262" i="38"/>
  <c r="X198" i="38"/>
  <c r="X264" i="38"/>
  <c r="X265" i="38"/>
  <c r="X190" i="38"/>
  <c r="X254" i="38"/>
  <c r="X256" i="38"/>
  <c r="X189" i="38"/>
  <c r="X253" i="38"/>
  <c r="X259" i="38"/>
  <c r="X260" i="38"/>
  <c r="X275" i="38"/>
  <c r="X277" i="38"/>
  <c r="W262" i="38"/>
  <c r="W264" i="38"/>
  <c r="W265" i="38"/>
  <c r="W31" i="38"/>
  <c r="W32" i="38"/>
  <c r="W33" i="38"/>
  <c r="W244" i="38"/>
  <c r="W254" i="38"/>
  <c r="W256" i="38"/>
  <c r="W259" i="38"/>
  <c r="W260" i="38"/>
  <c r="W277" i="38"/>
  <c r="W279" i="38"/>
  <c r="X278" i="38"/>
  <c r="X279" i="38"/>
  <c r="X187" i="38"/>
  <c r="Y29" i="38"/>
  <c r="Y29" i="39"/>
  <c r="Y278" i="38"/>
  <c r="Y31" i="38"/>
  <c r="Y32" i="38"/>
  <c r="Y33" i="38"/>
  <c r="Y244" i="38"/>
  <c r="Y219" i="38"/>
  <c r="Y250" i="38"/>
  <c r="Y273" i="38"/>
  <c r="Y218" i="38"/>
  <c r="Y222" i="38"/>
  <c r="Y203" i="38"/>
  <c r="Y204" i="38"/>
  <c r="Y211" i="38"/>
  <c r="Y216" i="38"/>
  <c r="Y223" i="38"/>
  <c r="Y188" i="38"/>
  <c r="Y193" i="38"/>
  <c r="Y262" i="38"/>
  <c r="Y198" i="38"/>
  <c r="Y264" i="38"/>
  <c r="Y265" i="38"/>
  <c r="Y190" i="38"/>
  <c r="Y254" i="38"/>
  <c r="Y256" i="38"/>
  <c r="Y189" i="38"/>
  <c r="Y253" i="38"/>
  <c r="Y259" i="38"/>
  <c r="Y260" i="38"/>
  <c r="Y275" i="38"/>
  <c r="Y277" i="38"/>
  <c r="Y279" i="38"/>
  <c r="Y187" i="38"/>
  <c r="Z29" i="38"/>
  <c r="Z29" i="39"/>
  <c r="Z278" i="38"/>
  <c r="Z31" i="38"/>
  <c r="Z32" i="38"/>
  <c r="Z33" i="38"/>
  <c r="Z244" i="38"/>
  <c r="Z219" i="38"/>
  <c r="Z273" i="38"/>
  <c r="Z218" i="38"/>
  <c r="Z222" i="38"/>
  <c r="Z203" i="38"/>
  <c r="Z204" i="38"/>
  <c r="Z211" i="38"/>
  <c r="Z216" i="38"/>
  <c r="Z223" i="38"/>
  <c r="Z188" i="38"/>
  <c r="Z193" i="38"/>
  <c r="Z262" i="38"/>
  <c r="Z198" i="38"/>
  <c r="Z264" i="38"/>
  <c r="Z265" i="38"/>
  <c r="Z190" i="38"/>
  <c r="Z254" i="38"/>
  <c r="Z256" i="38"/>
  <c r="Z253" i="38"/>
  <c r="Z259" i="38"/>
  <c r="Z260" i="38"/>
  <c r="Z275" i="38"/>
  <c r="Z277" i="38"/>
  <c r="Z279" i="38"/>
  <c r="Z187" i="38"/>
  <c r="AA29" i="38"/>
  <c r="AA29" i="39"/>
  <c r="AB29" i="38"/>
  <c r="AB29" i="39"/>
  <c r="AA278" i="38"/>
  <c r="AA31" i="38"/>
  <c r="AA32" i="38"/>
  <c r="AA33" i="38"/>
  <c r="AA244" i="38"/>
  <c r="AA219" i="38"/>
  <c r="AA273" i="38"/>
  <c r="AA218" i="38"/>
  <c r="AA222" i="38"/>
  <c r="AA203" i="38"/>
  <c r="AA204" i="38"/>
  <c r="AA211" i="38"/>
  <c r="AA216" i="38"/>
  <c r="AA223" i="38"/>
  <c r="AA188" i="38"/>
  <c r="AA193" i="38"/>
  <c r="AA262" i="38"/>
  <c r="AA198" i="38"/>
  <c r="AA264" i="38"/>
  <c r="AA265" i="38"/>
  <c r="AA190" i="38"/>
  <c r="AA254" i="38"/>
  <c r="AA256" i="38"/>
  <c r="AA259" i="38"/>
  <c r="AA260" i="38"/>
  <c r="AA275" i="38"/>
  <c r="AA277" i="38"/>
  <c r="AA279" i="38"/>
  <c r="AA187" i="38"/>
  <c r="AC29" i="38"/>
  <c r="AC29" i="39"/>
  <c r="AB262" i="38"/>
  <c r="AB264" i="38"/>
  <c r="AB263" i="38"/>
  <c r="AB265" i="38"/>
  <c r="AB31" i="38"/>
  <c r="AB32" i="38"/>
  <c r="AB33" i="38"/>
  <c r="AB244" i="38"/>
  <c r="AB254" i="38"/>
  <c r="AB256" i="38"/>
  <c r="AB259" i="38"/>
  <c r="AB245" i="38"/>
  <c r="AB250" i="38"/>
  <c r="AB253" i="38"/>
  <c r="AB260" i="38"/>
  <c r="AB273" i="38"/>
  <c r="AB275" i="38"/>
  <c r="AB277" i="38"/>
  <c r="AB279" i="38"/>
  <c r="AC278" i="38"/>
  <c r="AC31" i="38"/>
  <c r="AC32" i="38"/>
  <c r="AC33" i="38"/>
  <c r="AC244" i="38"/>
  <c r="AC219" i="38"/>
  <c r="AC250" i="38"/>
  <c r="AC273" i="38"/>
  <c r="AC218" i="38"/>
  <c r="AC222" i="38"/>
  <c r="AC203" i="38"/>
  <c r="AB204" i="38"/>
  <c r="AC204" i="38"/>
  <c r="AC211" i="38"/>
  <c r="AC216" i="38"/>
  <c r="AC223" i="38"/>
  <c r="AC188" i="38"/>
  <c r="AC193" i="38"/>
  <c r="AC262" i="38"/>
  <c r="AC198" i="38"/>
  <c r="AC264" i="38"/>
  <c r="AC265" i="38"/>
  <c r="AC190" i="38"/>
  <c r="AC254" i="38"/>
  <c r="AC256" i="38"/>
  <c r="AC259" i="38"/>
  <c r="AC189" i="38"/>
  <c r="AC253" i="38"/>
  <c r="AC260" i="38"/>
  <c r="AC275" i="38"/>
  <c r="AC277" i="38"/>
  <c r="AC279" i="38"/>
  <c r="AC187" i="38"/>
  <c r="AD29" i="38"/>
  <c r="AD29" i="39"/>
  <c r="AD278" i="38"/>
  <c r="AD31" i="38"/>
  <c r="AD32" i="38"/>
  <c r="AD33" i="38"/>
  <c r="AD244" i="38"/>
  <c r="AD219" i="38"/>
  <c r="AD250" i="38"/>
  <c r="AD273" i="38"/>
  <c r="AD218" i="38"/>
  <c r="AD222" i="38"/>
  <c r="AD203" i="38"/>
  <c r="AD204" i="38"/>
  <c r="AD211" i="38"/>
  <c r="AD216" i="38"/>
  <c r="AD223" i="38"/>
  <c r="AD188" i="38"/>
  <c r="AD193" i="38"/>
  <c r="AD262" i="38"/>
  <c r="AD198" i="38"/>
  <c r="AD264" i="38"/>
  <c r="AD265" i="38"/>
  <c r="AD190" i="38"/>
  <c r="AD254" i="38"/>
  <c r="AD256" i="38"/>
  <c r="AD259" i="38"/>
  <c r="AD189" i="38"/>
  <c r="AD253" i="38"/>
  <c r="AD260" i="38"/>
  <c r="AD275" i="38"/>
  <c r="AD277" i="38"/>
  <c r="AD279" i="38"/>
  <c r="AD187" i="38"/>
  <c r="AE29" i="38"/>
  <c r="AE29" i="39"/>
  <c r="AE278" i="38"/>
  <c r="AE31" i="38"/>
  <c r="AE32" i="38"/>
  <c r="AE33" i="38"/>
  <c r="AE244" i="38"/>
  <c r="AE219" i="38"/>
  <c r="AE273" i="38"/>
  <c r="AE218" i="38"/>
  <c r="AE222" i="38"/>
  <c r="AE203" i="38"/>
  <c r="AE204" i="38"/>
  <c r="AE211" i="38"/>
  <c r="AE216" i="38"/>
  <c r="AE223" i="38"/>
  <c r="AE188" i="38"/>
  <c r="AE193" i="38"/>
  <c r="AE262" i="38"/>
  <c r="AE198" i="38"/>
  <c r="AE264" i="38"/>
  <c r="AE265" i="38"/>
  <c r="AE190" i="38"/>
  <c r="AE254" i="38"/>
  <c r="AE256" i="38"/>
  <c r="AE259" i="38"/>
  <c r="AE253" i="38"/>
  <c r="AE260" i="38"/>
  <c r="AE275" i="38"/>
  <c r="AE277" i="38"/>
  <c r="AE279" i="38"/>
  <c r="AE187" i="38"/>
  <c r="AF29" i="38"/>
  <c r="AF29" i="39"/>
  <c r="AG29" i="38"/>
  <c r="AG29" i="39"/>
  <c r="AF278" i="38"/>
  <c r="AF31" i="38"/>
  <c r="AF32" i="38"/>
  <c r="AF33" i="38"/>
  <c r="AF244" i="38"/>
  <c r="AF219" i="38"/>
  <c r="AF250" i="38"/>
  <c r="AF273" i="38"/>
  <c r="AF218" i="38"/>
  <c r="AF222" i="38"/>
  <c r="AF203" i="38"/>
  <c r="AF204" i="38"/>
  <c r="AF211" i="38"/>
  <c r="AF216" i="38"/>
  <c r="AF223" i="38"/>
  <c r="AF188" i="38"/>
  <c r="AF193" i="38"/>
  <c r="AF262" i="38"/>
  <c r="AF198" i="38"/>
  <c r="AF264" i="38"/>
  <c r="AF265" i="38"/>
  <c r="AF190" i="38"/>
  <c r="AF254" i="38"/>
  <c r="AF256" i="38"/>
  <c r="AF259" i="38"/>
  <c r="AF189" i="38"/>
  <c r="AF253" i="38"/>
  <c r="AF260" i="38"/>
  <c r="AF275" i="38"/>
  <c r="AF277" i="38"/>
  <c r="AF279" i="38"/>
  <c r="AF187" i="38"/>
  <c r="AH29" i="38"/>
  <c r="AH29" i="39"/>
  <c r="AG262" i="38"/>
  <c r="AG264" i="38"/>
  <c r="AG263" i="38"/>
  <c r="AG265" i="38"/>
  <c r="AG31" i="38"/>
  <c r="AG32" i="38"/>
  <c r="AG33" i="38"/>
  <c r="AG244" i="38"/>
  <c r="AG254" i="38"/>
  <c r="AG256" i="38"/>
  <c r="AG259" i="38"/>
  <c r="AG245" i="38"/>
  <c r="AG250" i="38"/>
  <c r="AG253" i="38"/>
  <c r="AG260" i="38"/>
  <c r="AG273" i="38"/>
  <c r="AG275" i="38"/>
  <c r="AG277" i="38"/>
  <c r="AG279" i="38"/>
  <c r="AH278" i="38"/>
  <c r="AH31" i="38"/>
  <c r="AH32" i="38"/>
  <c r="AH33" i="38"/>
  <c r="AH244" i="38"/>
  <c r="AH219" i="38"/>
  <c r="AH250" i="38"/>
  <c r="AH273" i="38"/>
  <c r="AH218" i="38"/>
  <c r="AH222" i="38"/>
  <c r="AH203" i="38"/>
  <c r="AG204" i="38"/>
  <c r="AH204" i="38"/>
  <c r="AH211" i="38"/>
  <c r="AH216" i="38"/>
  <c r="AH223" i="38"/>
  <c r="AH188" i="38"/>
  <c r="AH193" i="38"/>
  <c r="AH262" i="38"/>
  <c r="AH198" i="38"/>
  <c r="AH264" i="38"/>
  <c r="AH265" i="38"/>
  <c r="AH190" i="38"/>
  <c r="AH254" i="38"/>
  <c r="AH256" i="38"/>
  <c r="AH259" i="38"/>
  <c r="AH189" i="38"/>
  <c r="AH253" i="38"/>
  <c r="AH260" i="38"/>
  <c r="AH275" i="38"/>
  <c r="AH277" i="38"/>
  <c r="AH279" i="38"/>
  <c r="AH187" i="38"/>
  <c r="AI29" i="38"/>
  <c r="AI29" i="39"/>
  <c r="AI278" i="38"/>
  <c r="AI31" i="38"/>
  <c r="AI32" i="38"/>
  <c r="AI33" i="38"/>
  <c r="AI244" i="38"/>
  <c r="AI219" i="38"/>
  <c r="AI250" i="38"/>
  <c r="AI273" i="38"/>
  <c r="AI218" i="38"/>
  <c r="AI222" i="38"/>
  <c r="AI203" i="38"/>
  <c r="AI204" i="38"/>
  <c r="AI211" i="38"/>
  <c r="AI216" i="38"/>
  <c r="AI223" i="38"/>
  <c r="AI188" i="38"/>
  <c r="AI193" i="38"/>
  <c r="AI262" i="38"/>
  <c r="AI198" i="38"/>
  <c r="AI264" i="38"/>
  <c r="AI265" i="38"/>
  <c r="AI190" i="38"/>
  <c r="AI254" i="38"/>
  <c r="AI256" i="38"/>
  <c r="AI259" i="38"/>
  <c r="AI189" i="38"/>
  <c r="AI253" i="38"/>
  <c r="AI260" i="38"/>
  <c r="AI275" i="38"/>
  <c r="AI277" i="38"/>
  <c r="AI279" i="38"/>
  <c r="AI187" i="38"/>
  <c r="AJ29" i="38"/>
  <c r="AJ29" i="39"/>
  <c r="AJ278" i="38"/>
  <c r="AJ31" i="38"/>
  <c r="AJ32" i="38"/>
  <c r="AJ33" i="38"/>
  <c r="AJ244" i="38"/>
  <c r="AJ219" i="38"/>
  <c r="AJ273" i="38"/>
  <c r="AJ218" i="38"/>
  <c r="AJ222" i="38"/>
  <c r="AJ203" i="38"/>
  <c r="AJ204" i="38"/>
  <c r="AJ211" i="38"/>
  <c r="AJ216" i="38"/>
  <c r="AJ223" i="38"/>
  <c r="AJ188" i="38"/>
  <c r="AJ193" i="38"/>
  <c r="AJ262" i="38"/>
  <c r="AJ198" i="38"/>
  <c r="AJ264" i="38"/>
  <c r="AJ265" i="38"/>
  <c r="AJ190" i="38"/>
  <c r="AJ254" i="38"/>
  <c r="AJ256" i="38"/>
  <c r="AJ259" i="38"/>
  <c r="AJ253" i="38"/>
  <c r="AJ260" i="38"/>
  <c r="AJ275" i="38"/>
  <c r="AJ277" i="38"/>
  <c r="AJ279" i="38"/>
  <c r="AJ187" i="38"/>
  <c r="AK29" i="38"/>
  <c r="AK29" i="39"/>
  <c r="AL29" i="38"/>
  <c r="AL29" i="39"/>
  <c r="AK278" i="38"/>
  <c r="AK31" i="38"/>
  <c r="AK32" i="38"/>
  <c r="AK33" i="38"/>
  <c r="AK244" i="38"/>
  <c r="AK219" i="38"/>
  <c r="AK250" i="38"/>
  <c r="AK273" i="38"/>
  <c r="AK218" i="38"/>
  <c r="AK222" i="38"/>
  <c r="AK203" i="38"/>
  <c r="AK204" i="38"/>
  <c r="AK211" i="38"/>
  <c r="AK216" i="38"/>
  <c r="AK223" i="38"/>
  <c r="AK188" i="38"/>
  <c r="AK193" i="38"/>
  <c r="AK262" i="38"/>
  <c r="AK198" i="38"/>
  <c r="AK264" i="38"/>
  <c r="AK265" i="38"/>
  <c r="AK190" i="38"/>
  <c r="AK254" i="38"/>
  <c r="AK256" i="38"/>
  <c r="AK259" i="38"/>
  <c r="AK189" i="38"/>
  <c r="AK253" i="38"/>
  <c r="AK260" i="38"/>
  <c r="AK275" i="38"/>
  <c r="AK277" i="38"/>
  <c r="AK279" i="38"/>
  <c r="AK187" i="38"/>
  <c r="AM29" i="38"/>
  <c r="AM29" i="39"/>
  <c r="AL262" i="38"/>
  <c r="AL264" i="38"/>
  <c r="AL263" i="38"/>
  <c r="AL265" i="38"/>
  <c r="AL31" i="38"/>
  <c r="AL32" i="38"/>
  <c r="AL33" i="38"/>
  <c r="AL244" i="38"/>
  <c r="AL254" i="38"/>
  <c r="AL256" i="38"/>
  <c r="AL259" i="38"/>
  <c r="AL245" i="38"/>
  <c r="AL250" i="38"/>
  <c r="AL253" i="38"/>
  <c r="AL260" i="38"/>
  <c r="AL273" i="38"/>
  <c r="AL275" i="38"/>
  <c r="AL277" i="38"/>
  <c r="AL279" i="38"/>
  <c r="AM278" i="38"/>
  <c r="AM31" i="38"/>
  <c r="AM32" i="38"/>
  <c r="AM33" i="38"/>
  <c r="AM244" i="38"/>
  <c r="AM219" i="38"/>
  <c r="AM250" i="38"/>
  <c r="AM273" i="38"/>
  <c r="AM218" i="38"/>
  <c r="AM222" i="38"/>
  <c r="AM203" i="38"/>
  <c r="AL204" i="38"/>
  <c r="AM204" i="38"/>
  <c r="AM211" i="38"/>
  <c r="AM216" i="38"/>
  <c r="AM223" i="38"/>
  <c r="AM188" i="38"/>
  <c r="AM193" i="38"/>
  <c r="AM262" i="38"/>
  <c r="AM198" i="38"/>
  <c r="AM264" i="38"/>
  <c r="AM265" i="38"/>
  <c r="AM190" i="38"/>
  <c r="AM254" i="38"/>
  <c r="AM256" i="38"/>
  <c r="AM259" i="38"/>
  <c r="AM189" i="38"/>
  <c r="AM253" i="38"/>
  <c r="AM260" i="38"/>
  <c r="AM275" i="38"/>
  <c r="AM277" i="38"/>
  <c r="AM279" i="38"/>
  <c r="AM187" i="38"/>
  <c r="AN29" i="38"/>
  <c r="AN29" i="39"/>
  <c r="AN278" i="38"/>
  <c r="AN31" i="38"/>
  <c r="AN32" i="38"/>
  <c r="AN33" i="38"/>
  <c r="AN244" i="38"/>
  <c r="AN219" i="38"/>
  <c r="AN250" i="38"/>
  <c r="AN273" i="38"/>
  <c r="AN218" i="38"/>
  <c r="AN222" i="38"/>
  <c r="AN203" i="38"/>
  <c r="AN204" i="38"/>
  <c r="AN211" i="38"/>
  <c r="AN216" i="38"/>
  <c r="AN223" i="38"/>
  <c r="AN188" i="38"/>
  <c r="AN193" i="38"/>
  <c r="AN262" i="38"/>
  <c r="AN198" i="38"/>
  <c r="AN264" i="38"/>
  <c r="AN265" i="38"/>
  <c r="AN190" i="38"/>
  <c r="AN254" i="38"/>
  <c r="AN256" i="38"/>
  <c r="AN259" i="38"/>
  <c r="AN189" i="38"/>
  <c r="AN253" i="38"/>
  <c r="AN260" i="38"/>
  <c r="AN275" i="38"/>
  <c r="AN277" i="38"/>
  <c r="AN279" i="38"/>
  <c r="AN187" i="38"/>
  <c r="AO29" i="38"/>
  <c r="AO29" i="39"/>
  <c r="AO278" i="38"/>
  <c r="AO31" i="38"/>
  <c r="AO32" i="38"/>
  <c r="AO33" i="38"/>
  <c r="AO244" i="38"/>
  <c r="AO219" i="38"/>
  <c r="AO273" i="38"/>
  <c r="AO218" i="38"/>
  <c r="AO222" i="38"/>
  <c r="AO203" i="38"/>
  <c r="AO204" i="38"/>
  <c r="AO211" i="38"/>
  <c r="AO216" i="38"/>
  <c r="AO223" i="38"/>
  <c r="AO188" i="38"/>
  <c r="AO193" i="38"/>
  <c r="AO262" i="38"/>
  <c r="AO198" i="38"/>
  <c r="AO264" i="38"/>
  <c r="AO265" i="38"/>
  <c r="AO190" i="38"/>
  <c r="AO254" i="38"/>
  <c r="AO256" i="38"/>
  <c r="AO259" i="38"/>
  <c r="AO253" i="38"/>
  <c r="AO260" i="38"/>
  <c r="AO275" i="38"/>
  <c r="AO277" i="38"/>
  <c r="AO279" i="38"/>
  <c r="AO187" i="38"/>
  <c r="AP29" i="38"/>
  <c r="AP29" i="39"/>
  <c r="AQ29" i="38"/>
  <c r="AQ29" i="39"/>
  <c r="Q30" i="39"/>
  <c r="R30" i="39"/>
  <c r="S30" i="39"/>
  <c r="T30" i="39"/>
  <c r="U30" i="39"/>
  <c r="V30" i="39"/>
  <c r="W30" i="39"/>
  <c r="X30" i="39"/>
  <c r="Y30" i="39"/>
  <c r="Z30" i="39"/>
  <c r="AA30" i="39"/>
  <c r="AB30" i="39"/>
  <c r="AC30" i="39"/>
  <c r="AD30" i="39"/>
  <c r="AE30" i="39"/>
  <c r="AF30" i="39"/>
  <c r="AG30" i="39"/>
  <c r="AH30" i="39"/>
  <c r="AI30" i="39"/>
  <c r="AJ30" i="39"/>
  <c r="AK30" i="39"/>
  <c r="AL30" i="39"/>
  <c r="AM30" i="39"/>
  <c r="AN30" i="39"/>
  <c r="AO30" i="39"/>
  <c r="AP30" i="39"/>
  <c r="AQ30" i="39"/>
  <c r="Q31" i="39"/>
  <c r="R31" i="39"/>
  <c r="S31" i="39"/>
  <c r="T31" i="39"/>
  <c r="U31" i="39"/>
  <c r="V31" i="39"/>
  <c r="W31" i="39"/>
  <c r="X31" i="39"/>
  <c r="Y31" i="39"/>
  <c r="Z31" i="39"/>
  <c r="AA31" i="39"/>
  <c r="AB31" i="39"/>
  <c r="AC31" i="39"/>
  <c r="AD31" i="39"/>
  <c r="AE31" i="39"/>
  <c r="AF31" i="39"/>
  <c r="AG31" i="39"/>
  <c r="AH31" i="39"/>
  <c r="AI31" i="39"/>
  <c r="AJ31" i="39"/>
  <c r="AK31" i="39"/>
  <c r="AL31" i="39"/>
  <c r="AM31" i="39"/>
  <c r="AN31" i="39"/>
  <c r="AO31" i="39"/>
  <c r="AP31" i="38"/>
  <c r="AP31" i="39"/>
  <c r="AQ31" i="38"/>
  <c r="AQ31" i="39"/>
  <c r="Q32" i="39"/>
  <c r="R32" i="39"/>
  <c r="S32" i="39"/>
  <c r="T32" i="39"/>
  <c r="U32" i="39"/>
  <c r="V32" i="39"/>
  <c r="W32" i="39"/>
  <c r="X32" i="39"/>
  <c r="Y32" i="39"/>
  <c r="Z32" i="39"/>
  <c r="AA32" i="39"/>
  <c r="AB32" i="39"/>
  <c r="AC32" i="39"/>
  <c r="AD32" i="39"/>
  <c r="AE32" i="39"/>
  <c r="AF32" i="39"/>
  <c r="AG32" i="39"/>
  <c r="AH32" i="39"/>
  <c r="AI32" i="39"/>
  <c r="AJ32" i="39"/>
  <c r="AK32" i="39"/>
  <c r="AL32" i="39"/>
  <c r="AM32" i="39"/>
  <c r="AN32" i="39"/>
  <c r="AO32" i="39"/>
  <c r="AP32" i="38"/>
  <c r="AP32" i="39"/>
  <c r="AQ32" i="38"/>
  <c r="AQ32" i="39"/>
  <c r="Q33" i="39"/>
  <c r="R33" i="39"/>
  <c r="S33" i="39"/>
  <c r="T33" i="39"/>
  <c r="U33" i="39"/>
  <c r="V33" i="39"/>
  <c r="W33" i="39"/>
  <c r="X33" i="39"/>
  <c r="Y33" i="39"/>
  <c r="Z33" i="39"/>
  <c r="AA33" i="39"/>
  <c r="AB33" i="39"/>
  <c r="AC33" i="39"/>
  <c r="AD33" i="39"/>
  <c r="AE33" i="39"/>
  <c r="AF33" i="39"/>
  <c r="AG33" i="39"/>
  <c r="AH33" i="39"/>
  <c r="AI33" i="39"/>
  <c r="AJ33" i="39"/>
  <c r="AK33" i="39"/>
  <c r="AL33" i="39"/>
  <c r="AM33" i="39"/>
  <c r="AN33" i="39"/>
  <c r="AO33" i="39"/>
  <c r="AP33" i="38"/>
  <c r="AP33" i="39"/>
  <c r="AQ33" i="38"/>
  <c r="AQ33" i="39"/>
  <c r="Q34" i="39"/>
  <c r="R34" i="39"/>
  <c r="S34" i="39"/>
  <c r="T34" i="39"/>
  <c r="U34" i="39"/>
  <c r="V34" i="39"/>
  <c r="W34" i="39"/>
  <c r="X34" i="39"/>
  <c r="Y34" i="39"/>
  <c r="Z34" i="39"/>
  <c r="AA34" i="39"/>
  <c r="AB34" i="39"/>
  <c r="AC34" i="39"/>
  <c r="AD34" i="39"/>
  <c r="AE34" i="39"/>
  <c r="AF34" i="39"/>
  <c r="AG34" i="39"/>
  <c r="AH34" i="39"/>
  <c r="AI34" i="39"/>
  <c r="AJ34" i="39"/>
  <c r="AK34" i="39"/>
  <c r="AL34" i="39"/>
  <c r="AM34" i="39"/>
  <c r="AN34" i="39"/>
  <c r="AO34" i="39"/>
  <c r="AP34" i="39"/>
  <c r="AQ34" i="39"/>
  <c r="Q35" i="38"/>
  <c r="Q35" i="39"/>
  <c r="R35" i="38"/>
  <c r="R35" i="39"/>
  <c r="S35" i="38"/>
  <c r="S35" i="39"/>
  <c r="T35" i="38"/>
  <c r="T35" i="39"/>
  <c r="U35" i="38"/>
  <c r="U35" i="39"/>
  <c r="V35" i="38"/>
  <c r="V35" i="39"/>
  <c r="W35" i="38"/>
  <c r="W35" i="39"/>
  <c r="X35" i="38"/>
  <c r="X35" i="39"/>
  <c r="Y35" i="38"/>
  <c r="Y35" i="39"/>
  <c r="Z35" i="38"/>
  <c r="Z35" i="39"/>
  <c r="AA35" i="38"/>
  <c r="AA35" i="39"/>
  <c r="AB35" i="38"/>
  <c r="AB35" i="39"/>
  <c r="AC35" i="38"/>
  <c r="AC35" i="39"/>
  <c r="AD35" i="38"/>
  <c r="AD35" i="39"/>
  <c r="AE35" i="38"/>
  <c r="AE35" i="39"/>
  <c r="AF35" i="38"/>
  <c r="AF35" i="39"/>
  <c r="AG35" i="38"/>
  <c r="AG35" i="39"/>
  <c r="AH35" i="38"/>
  <c r="AH35" i="39"/>
  <c r="AI35" i="38"/>
  <c r="AI35" i="39"/>
  <c r="AJ35" i="38"/>
  <c r="AJ35" i="39"/>
  <c r="AK35" i="38"/>
  <c r="AK35" i="39"/>
  <c r="AL35" i="38"/>
  <c r="AL35" i="39"/>
  <c r="AM35" i="38"/>
  <c r="AM35" i="39"/>
  <c r="AN35" i="38"/>
  <c r="AN35" i="39"/>
  <c r="AO35" i="38"/>
  <c r="AO35" i="39"/>
  <c r="AP35" i="38"/>
  <c r="AP35" i="39"/>
  <c r="AQ35" i="38"/>
  <c r="AQ35" i="39"/>
  <c r="Q36" i="39"/>
  <c r="R36" i="39"/>
  <c r="S36" i="39"/>
  <c r="T36" i="39"/>
  <c r="U36" i="39"/>
  <c r="V36" i="39"/>
  <c r="W36" i="39"/>
  <c r="X36" i="39"/>
  <c r="Y36" i="39"/>
  <c r="Z36" i="39"/>
  <c r="AA36" i="39"/>
  <c r="AB36" i="39"/>
  <c r="AC36" i="39"/>
  <c r="AD36" i="39"/>
  <c r="AE36" i="39"/>
  <c r="AF36" i="39"/>
  <c r="AG36" i="39"/>
  <c r="AH36" i="39"/>
  <c r="AI36" i="39"/>
  <c r="AJ36" i="39"/>
  <c r="AK36" i="39"/>
  <c r="AL36" i="39"/>
  <c r="AM36" i="39"/>
  <c r="AN36" i="39"/>
  <c r="AO36" i="39"/>
  <c r="AP36" i="39"/>
  <c r="AQ36" i="39"/>
  <c r="Q37" i="38"/>
  <c r="Q37" i="39"/>
  <c r="R37" i="38"/>
  <c r="R37" i="39"/>
  <c r="S37" i="38"/>
  <c r="S37" i="39"/>
  <c r="T37" i="38"/>
  <c r="T37" i="39"/>
  <c r="U37" i="38"/>
  <c r="U37" i="39"/>
  <c r="V37" i="38"/>
  <c r="V37" i="39"/>
  <c r="W37" i="38"/>
  <c r="W37" i="39"/>
  <c r="X37" i="38"/>
  <c r="X37" i="39"/>
  <c r="Y37" i="38"/>
  <c r="Y37" i="39"/>
  <c r="Z37" i="38"/>
  <c r="Z37" i="39"/>
  <c r="AA37" i="38"/>
  <c r="AA37" i="39"/>
  <c r="AB37" i="38"/>
  <c r="AB37" i="39"/>
  <c r="AC37" i="38"/>
  <c r="AC37" i="39"/>
  <c r="AD37" i="38"/>
  <c r="AD37" i="39"/>
  <c r="AE37" i="38"/>
  <c r="AE37" i="39"/>
  <c r="AF37" i="38"/>
  <c r="AF37" i="39"/>
  <c r="AG37" i="38"/>
  <c r="AG37" i="39"/>
  <c r="AH37" i="38"/>
  <c r="AH37" i="39"/>
  <c r="AI37" i="38"/>
  <c r="AI37" i="39"/>
  <c r="AJ37" i="38"/>
  <c r="AJ37" i="39"/>
  <c r="AK37" i="38"/>
  <c r="AK37" i="39"/>
  <c r="AL37" i="38"/>
  <c r="AL37" i="39"/>
  <c r="AM37" i="38"/>
  <c r="AM37" i="39"/>
  <c r="AN37" i="38"/>
  <c r="AN37" i="39"/>
  <c r="AO37" i="38"/>
  <c r="AO37" i="39"/>
  <c r="AP37" i="38"/>
  <c r="AP37" i="39"/>
  <c r="AQ37" i="38"/>
  <c r="AQ37" i="39"/>
  <c r="Q38" i="39"/>
  <c r="R38" i="38"/>
  <c r="R38" i="39"/>
  <c r="S38" i="39"/>
  <c r="T38" i="39"/>
  <c r="U38" i="39"/>
  <c r="V38" i="39"/>
  <c r="W38" i="38"/>
  <c r="W38" i="39"/>
  <c r="X38" i="39"/>
  <c r="Y38" i="39"/>
  <c r="Z38" i="39"/>
  <c r="AA38" i="39"/>
  <c r="AB38" i="38"/>
  <c r="AB38" i="39"/>
  <c r="AC38" i="39"/>
  <c r="AD38" i="39"/>
  <c r="AE38" i="39"/>
  <c r="AF38" i="39"/>
  <c r="AG38" i="38"/>
  <c r="AG38" i="39"/>
  <c r="AH38" i="39"/>
  <c r="AI38" i="39"/>
  <c r="AJ38" i="39"/>
  <c r="AK38" i="39"/>
  <c r="AL38" i="38"/>
  <c r="AL38" i="39"/>
  <c r="AM38" i="39"/>
  <c r="AN38" i="39"/>
  <c r="AO38" i="39"/>
  <c r="AP38" i="39"/>
  <c r="AQ38" i="38"/>
  <c r="AQ38" i="39"/>
  <c r="Q39" i="39"/>
  <c r="R39" i="38"/>
  <c r="R39" i="39"/>
  <c r="S39" i="39"/>
  <c r="T39" i="39"/>
  <c r="U39" i="39"/>
  <c r="V39" i="39"/>
  <c r="W39" i="38"/>
  <c r="W39" i="39"/>
  <c r="X39" i="39"/>
  <c r="Y39" i="39"/>
  <c r="Z39" i="39"/>
  <c r="AA39" i="39"/>
  <c r="AB39" i="38"/>
  <c r="AB39" i="39"/>
  <c r="AC39" i="39"/>
  <c r="AD39" i="39"/>
  <c r="AE39" i="39"/>
  <c r="AF39" i="39"/>
  <c r="AG39" i="38"/>
  <c r="AG39" i="39"/>
  <c r="AH39" i="39"/>
  <c r="AI39" i="39"/>
  <c r="AJ39" i="39"/>
  <c r="AK39" i="39"/>
  <c r="AL39" i="38"/>
  <c r="AL39" i="39"/>
  <c r="AM39" i="39"/>
  <c r="AN39" i="39"/>
  <c r="AO39" i="39"/>
  <c r="AP39" i="39"/>
  <c r="AQ39" i="38"/>
  <c r="AQ39" i="39"/>
  <c r="Q40" i="38"/>
  <c r="Q40" i="39"/>
  <c r="R40" i="38"/>
  <c r="R40" i="39"/>
  <c r="S40" i="38"/>
  <c r="S40" i="39"/>
  <c r="T40" i="38"/>
  <c r="T40" i="39"/>
  <c r="U40" i="38"/>
  <c r="U40" i="39"/>
  <c r="V40" i="38"/>
  <c r="V40" i="39"/>
  <c r="W40" i="38"/>
  <c r="W40" i="39"/>
  <c r="X40" i="38"/>
  <c r="X40" i="39"/>
  <c r="Y40" i="38"/>
  <c r="Y40" i="39"/>
  <c r="Z40" i="38"/>
  <c r="Z40" i="39"/>
  <c r="AA40" i="38"/>
  <c r="AA40" i="39"/>
  <c r="AB40" i="38"/>
  <c r="AB40" i="39"/>
  <c r="AC40" i="38"/>
  <c r="AC40" i="39"/>
  <c r="AD40" i="38"/>
  <c r="AD40" i="39"/>
  <c r="AE40" i="38"/>
  <c r="AE40" i="39"/>
  <c r="AF40" i="38"/>
  <c r="AF40" i="39"/>
  <c r="AG40" i="38"/>
  <c r="AG40" i="39"/>
  <c r="AH40" i="38"/>
  <c r="AH40" i="39"/>
  <c r="AI40" i="38"/>
  <c r="AI40" i="39"/>
  <c r="AJ40" i="38"/>
  <c r="AJ40" i="39"/>
  <c r="AK40" i="38"/>
  <c r="AK40" i="39"/>
  <c r="AL40" i="38"/>
  <c r="AL40" i="39"/>
  <c r="AM40" i="38"/>
  <c r="AM40" i="39"/>
  <c r="AN40" i="38"/>
  <c r="AN40" i="39"/>
  <c r="AO40" i="38"/>
  <c r="AO40" i="39"/>
  <c r="AP40" i="38"/>
  <c r="AP40" i="39"/>
  <c r="AQ40" i="38"/>
  <c r="AQ40" i="39"/>
  <c r="Q41" i="38"/>
  <c r="Q41" i="39"/>
  <c r="R41" i="38"/>
  <c r="R41" i="39"/>
  <c r="S41" i="38"/>
  <c r="S41" i="39"/>
  <c r="T41" i="38"/>
  <c r="T41" i="39"/>
  <c r="U41" i="38"/>
  <c r="U41" i="39"/>
  <c r="V41" i="38"/>
  <c r="V41" i="39"/>
  <c r="W41" i="38"/>
  <c r="W41" i="39"/>
  <c r="X41" i="38"/>
  <c r="X41" i="39"/>
  <c r="Y41" i="38"/>
  <c r="Y41" i="39"/>
  <c r="Z41" i="38"/>
  <c r="Z41" i="39"/>
  <c r="AA41" i="38"/>
  <c r="AA41" i="39"/>
  <c r="AB41" i="38"/>
  <c r="AB41" i="39"/>
  <c r="AC41" i="38"/>
  <c r="AC41" i="39"/>
  <c r="AD41" i="38"/>
  <c r="AD41" i="39"/>
  <c r="AE41" i="38"/>
  <c r="AE41" i="39"/>
  <c r="AF41" i="38"/>
  <c r="AF41" i="39"/>
  <c r="AG41" i="38"/>
  <c r="AG41" i="39"/>
  <c r="AH41" i="38"/>
  <c r="AH41" i="39"/>
  <c r="AI41" i="38"/>
  <c r="AI41" i="39"/>
  <c r="AJ41" i="38"/>
  <c r="AJ41" i="39"/>
  <c r="AK41" i="38"/>
  <c r="AK41" i="39"/>
  <c r="AL41" i="38"/>
  <c r="AL41" i="39"/>
  <c r="AM41" i="38"/>
  <c r="AM41" i="39"/>
  <c r="AN41" i="38"/>
  <c r="AN41" i="39"/>
  <c r="AO41" i="38"/>
  <c r="AO41" i="39"/>
  <c r="AP41" i="38"/>
  <c r="AP41" i="39"/>
  <c r="AQ41" i="38"/>
  <c r="AQ41" i="39"/>
  <c r="Q42" i="38"/>
  <c r="Q42" i="39"/>
  <c r="R42" i="38"/>
  <c r="R42" i="39"/>
  <c r="S42" i="38"/>
  <c r="S42" i="39"/>
  <c r="T42" i="38"/>
  <c r="T42" i="39"/>
  <c r="U42" i="38"/>
  <c r="U42" i="39"/>
  <c r="V42" i="38"/>
  <c r="V42" i="39"/>
  <c r="W42" i="38"/>
  <c r="W42" i="39"/>
  <c r="X42" i="38"/>
  <c r="X42" i="39"/>
  <c r="Y42" i="38"/>
  <c r="Y42" i="39"/>
  <c r="Z42" i="38"/>
  <c r="Z42" i="39"/>
  <c r="AA42" i="38"/>
  <c r="AA42" i="39"/>
  <c r="AB42" i="38"/>
  <c r="AB42" i="39"/>
  <c r="AC42" i="38"/>
  <c r="AC42" i="39"/>
  <c r="AD42" i="38"/>
  <c r="AD42" i="39"/>
  <c r="AE42" i="38"/>
  <c r="AE42" i="39"/>
  <c r="AF42" i="38"/>
  <c r="AF42" i="39"/>
  <c r="AG42" i="38"/>
  <c r="AG42" i="39"/>
  <c r="AH42" i="38"/>
  <c r="AH42" i="39"/>
  <c r="AI42" i="38"/>
  <c r="AI42" i="39"/>
  <c r="AJ42" i="38"/>
  <c r="AJ42" i="39"/>
  <c r="AK42" i="38"/>
  <c r="AK42" i="39"/>
  <c r="AL42" i="38"/>
  <c r="AL42" i="39"/>
  <c r="AM42" i="38"/>
  <c r="AM42" i="39"/>
  <c r="AN42" i="38"/>
  <c r="AN42" i="39"/>
  <c r="AO42" i="38"/>
  <c r="AO42" i="39"/>
  <c r="AP42" i="38"/>
  <c r="AP42" i="39"/>
  <c r="AQ42" i="38"/>
  <c r="AQ42" i="39"/>
  <c r="Q43" i="39"/>
  <c r="R43" i="39"/>
  <c r="S43" i="39"/>
  <c r="T43" i="39"/>
  <c r="U43" i="39"/>
  <c r="V43" i="39"/>
  <c r="W43" i="39"/>
  <c r="X43" i="39"/>
  <c r="Y43" i="39"/>
  <c r="Z43" i="39"/>
  <c r="AA43" i="39"/>
  <c r="AB43" i="39"/>
  <c r="AC43" i="39"/>
  <c r="AD43" i="39"/>
  <c r="AE43" i="39"/>
  <c r="AF43" i="39"/>
  <c r="AG43" i="39"/>
  <c r="AH43" i="39"/>
  <c r="AI43" i="39"/>
  <c r="AJ43" i="39"/>
  <c r="AK43" i="39"/>
  <c r="AL43" i="39"/>
  <c r="AM43" i="39"/>
  <c r="AN43" i="39"/>
  <c r="AO43" i="39"/>
  <c r="AP43" i="39"/>
  <c r="AQ43" i="39"/>
  <c r="Q44" i="39"/>
  <c r="R44" i="38"/>
  <c r="R44" i="39"/>
  <c r="S44" i="39"/>
  <c r="T44" i="39"/>
  <c r="U44" i="39"/>
  <c r="V44" i="39"/>
  <c r="W44" i="38"/>
  <c r="W44" i="39"/>
  <c r="X44" i="39"/>
  <c r="Y44" i="39"/>
  <c r="Z44" i="39"/>
  <c r="AA44" i="39"/>
  <c r="AB44" i="38"/>
  <c r="AB44" i="39"/>
  <c r="AC44" i="39"/>
  <c r="AD44" i="39"/>
  <c r="AE44" i="39"/>
  <c r="AF44" i="39"/>
  <c r="AG44" i="38"/>
  <c r="AG44" i="39"/>
  <c r="AH44" i="39"/>
  <c r="AI44" i="39"/>
  <c r="AJ44" i="39"/>
  <c r="AK44" i="39"/>
  <c r="AL44" i="38"/>
  <c r="AL44" i="39"/>
  <c r="AM44" i="39"/>
  <c r="AN44" i="39"/>
  <c r="AO44" i="39"/>
  <c r="AP44" i="39"/>
  <c r="AQ44" i="38"/>
  <c r="AQ44" i="39"/>
  <c r="Q45" i="39"/>
  <c r="R45" i="39"/>
  <c r="S45" i="39"/>
  <c r="T45" i="39"/>
  <c r="U45" i="39"/>
  <c r="V45" i="39"/>
  <c r="W45" i="39"/>
  <c r="X45" i="39"/>
  <c r="Y45" i="39"/>
  <c r="Z45" i="39"/>
  <c r="AA45" i="39"/>
  <c r="AB45" i="39"/>
  <c r="AC45" i="39"/>
  <c r="AD45" i="39"/>
  <c r="AE45" i="39"/>
  <c r="AF45" i="39"/>
  <c r="AG45" i="39"/>
  <c r="AH45" i="39"/>
  <c r="AI45" i="39"/>
  <c r="AJ45" i="39"/>
  <c r="AK45" i="39"/>
  <c r="AL45" i="39"/>
  <c r="AM45" i="39"/>
  <c r="AN45" i="39"/>
  <c r="AO45" i="39"/>
  <c r="AP45" i="39"/>
  <c r="AQ45" i="39"/>
  <c r="Q46" i="39"/>
  <c r="R46" i="39"/>
  <c r="S46" i="39"/>
  <c r="T46" i="39"/>
  <c r="U46" i="39"/>
  <c r="V46" i="39"/>
  <c r="W46" i="39"/>
  <c r="X46" i="39"/>
  <c r="Y46" i="39"/>
  <c r="Z46" i="39"/>
  <c r="AA46" i="39"/>
  <c r="AB46" i="39"/>
  <c r="AC46" i="39"/>
  <c r="AD46" i="39"/>
  <c r="AE46" i="39"/>
  <c r="AF46" i="39"/>
  <c r="AG46" i="39"/>
  <c r="AH46" i="39"/>
  <c r="AI46" i="39"/>
  <c r="AJ46" i="39"/>
  <c r="AK46" i="39"/>
  <c r="AL46" i="39"/>
  <c r="AM46" i="39"/>
  <c r="AN46" i="39"/>
  <c r="AO46" i="39"/>
  <c r="AP46" i="39"/>
  <c r="AQ46" i="39"/>
  <c r="Q47" i="39"/>
  <c r="R47" i="39"/>
  <c r="S47" i="39"/>
  <c r="T47" i="39"/>
  <c r="U47" i="39"/>
  <c r="V47" i="39"/>
  <c r="W47" i="39"/>
  <c r="X47" i="39"/>
  <c r="Y47" i="39"/>
  <c r="Z47" i="39"/>
  <c r="AA47" i="39"/>
  <c r="AB47" i="39"/>
  <c r="AC47" i="39"/>
  <c r="AD47" i="39"/>
  <c r="AE47" i="39"/>
  <c r="AF47" i="39"/>
  <c r="AG47" i="39"/>
  <c r="AH47" i="39"/>
  <c r="AI47" i="39"/>
  <c r="AJ47" i="39"/>
  <c r="AK47" i="39"/>
  <c r="AL47" i="39"/>
  <c r="AM47" i="39"/>
  <c r="AN47" i="39"/>
  <c r="AO47" i="39"/>
  <c r="AP47" i="39"/>
  <c r="AQ47" i="39"/>
  <c r="Q48" i="39"/>
  <c r="R48" i="39"/>
  <c r="S48" i="39"/>
  <c r="T48" i="39"/>
  <c r="U48" i="39"/>
  <c r="V48" i="39"/>
  <c r="W48" i="39"/>
  <c r="X48" i="39"/>
  <c r="Y48" i="39"/>
  <c r="Z48" i="39"/>
  <c r="AA48" i="39"/>
  <c r="AB48" i="39"/>
  <c r="AC48" i="39"/>
  <c r="AD48" i="39"/>
  <c r="AE48" i="39"/>
  <c r="AF48" i="39"/>
  <c r="AG48" i="39"/>
  <c r="AH48" i="39"/>
  <c r="AI48" i="39"/>
  <c r="AJ48" i="39"/>
  <c r="AK48" i="39"/>
  <c r="AL48" i="39"/>
  <c r="AM48" i="39"/>
  <c r="AN48" i="39"/>
  <c r="AO48" i="39"/>
  <c r="AP48" i="39"/>
  <c r="AQ48" i="39"/>
  <c r="Q49" i="39"/>
  <c r="R49" i="39"/>
  <c r="S49" i="39"/>
  <c r="T49" i="39"/>
  <c r="U49" i="39"/>
  <c r="V49" i="39"/>
  <c r="W49" i="39"/>
  <c r="X49" i="39"/>
  <c r="Y49" i="39"/>
  <c r="Z49" i="39"/>
  <c r="AA49" i="39"/>
  <c r="AB49" i="39"/>
  <c r="AC49" i="39"/>
  <c r="AD49" i="39"/>
  <c r="AE49" i="39"/>
  <c r="AF49" i="39"/>
  <c r="AG49" i="39"/>
  <c r="AH49" i="39"/>
  <c r="AI49" i="39"/>
  <c r="AJ49" i="39"/>
  <c r="AK49" i="39"/>
  <c r="AL49" i="39"/>
  <c r="AM49" i="39"/>
  <c r="AN49" i="39"/>
  <c r="AO49" i="39"/>
  <c r="AP49" i="39"/>
  <c r="AQ49" i="39"/>
  <c r="Q50" i="39"/>
  <c r="R50" i="39"/>
  <c r="S50" i="39"/>
  <c r="T50" i="39"/>
  <c r="U50" i="39"/>
  <c r="V50" i="39"/>
  <c r="W50" i="39"/>
  <c r="X50" i="39"/>
  <c r="Y50" i="39"/>
  <c r="Z50" i="39"/>
  <c r="AA50" i="39"/>
  <c r="AB50" i="39"/>
  <c r="AC50" i="39"/>
  <c r="AD50" i="39"/>
  <c r="AE50" i="39"/>
  <c r="AF50" i="39"/>
  <c r="AG50" i="39"/>
  <c r="AH50" i="39"/>
  <c r="AI50" i="39"/>
  <c r="AJ50" i="39"/>
  <c r="AK50" i="39"/>
  <c r="AL50" i="39"/>
  <c r="AM50" i="39"/>
  <c r="AN50" i="39"/>
  <c r="AO50" i="39"/>
  <c r="AP50" i="39"/>
  <c r="AQ50" i="39"/>
  <c r="Q51" i="39"/>
  <c r="R51" i="39"/>
  <c r="S51" i="39"/>
  <c r="T51" i="39"/>
  <c r="U51" i="39"/>
  <c r="V51" i="39"/>
  <c r="W51" i="39"/>
  <c r="X51" i="39"/>
  <c r="Y51" i="39"/>
  <c r="Z51" i="39"/>
  <c r="AA51" i="39"/>
  <c r="AB51" i="39"/>
  <c r="AC51" i="39"/>
  <c r="AD51" i="39"/>
  <c r="AE51" i="39"/>
  <c r="AF51" i="39"/>
  <c r="AG51" i="39"/>
  <c r="AH51" i="39"/>
  <c r="AI51" i="39"/>
  <c r="AJ51" i="39"/>
  <c r="AK51" i="39"/>
  <c r="AL51" i="39"/>
  <c r="AM51" i="39"/>
  <c r="AN51" i="39"/>
  <c r="AO51" i="39"/>
  <c r="AP51" i="39"/>
  <c r="AQ51" i="39"/>
  <c r="Q52" i="39"/>
  <c r="R52" i="39"/>
  <c r="S52" i="39"/>
  <c r="T52" i="39"/>
  <c r="U52" i="39"/>
  <c r="V52" i="39"/>
  <c r="W52" i="39"/>
  <c r="X52" i="39"/>
  <c r="Y52" i="39"/>
  <c r="Z52" i="39"/>
  <c r="AA52" i="39"/>
  <c r="AB52" i="39"/>
  <c r="AC52" i="39"/>
  <c r="AD52" i="39"/>
  <c r="AE52" i="39"/>
  <c r="AF52" i="39"/>
  <c r="AG52" i="39"/>
  <c r="AH52" i="39"/>
  <c r="AI52" i="39"/>
  <c r="AJ52" i="39"/>
  <c r="AK52" i="39"/>
  <c r="AL52" i="39"/>
  <c r="AM52" i="39"/>
  <c r="AN52" i="39"/>
  <c r="AO52" i="39"/>
  <c r="AP52" i="39"/>
  <c r="AQ52" i="39"/>
  <c r="Q53" i="39"/>
  <c r="R53" i="39"/>
  <c r="S53" i="39"/>
  <c r="T53" i="39"/>
  <c r="U53" i="39"/>
  <c r="V53" i="39"/>
  <c r="W53" i="39"/>
  <c r="X53" i="39"/>
  <c r="Y53" i="39"/>
  <c r="Z53" i="39"/>
  <c r="AA53" i="39"/>
  <c r="AB53" i="39"/>
  <c r="AC53" i="39"/>
  <c r="AD53" i="39"/>
  <c r="AE53" i="39"/>
  <c r="AF53" i="39"/>
  <c r="AG53" i="39"/>
  <c r="AH53" i="39"/>
  <c r="AI53" i="39"/>
  <c r="AJ53" i="39"/>
  <c r="AK53" i="39"/>
  <c r="AL53" i="39"/>
  <c r="AM53" i="39"/>
  <c r="AN53" i="39"/>
  <c r="AO53" i="39"/>
  <c r="AP53" i="39"/>
  <c r="AQ53" i="39"/>
  <c r="Q54" i="39"/>
  <c r="R54" i="39"/>
  <c r="S54" i="39"/>
  <c r="T54" i="39"/>
  <c r="U54" i="39"/>
  <c r="V54" i="39"/>
  <c r="W54" i="39"/>
  <c r="X54" i="39"/>
  <c r="Y54" i="39"/>
  <c r="Z54" i="39"/>
  <c r="AA54" i="39"/>
  <c r="AB54" i="39"/>
  <c r="AC54" i="39"/>
  <c r="AD54" i="39"/>
  <c r="AE54" i="39"/>
  <c r="AF54" i="39"/>
  <c r="AG54" i="39"/>
  <c r="AH54" i="39"/>
  <c r="AI54" i="39"/>
  <c r="AJ54" i="39"/>
  <c r="AK54" i="39"/>
  <c r="AL54" i="39"/>
  <c r="AM54" i="39"/>
  <c r="AN54" i="39"/>
  <c r="AO54" i="39"/>
  <c r="AP54" i="39"/>
  <c r="AQ54" i="39"/>
  <c r="Q55" i="39"/>
  <c r="R55" i="39"/>
  <c r="S55" i="39"/>
  <c r="T55" i="39"/>
  <c r="U55" i="39"/>
  <c r="V55" i="39"/>
  <c r="W55" i="39"/>
  <c r="X55" i="39"/>
  <c r="Y55" i="39"/>
  <c r="Z55" i="39"/>
  <c r="AA55" i="39"/>
  <c r="AB55" i="39"/>
  <c r="AC55" i="39"/>
  <c r="AD55" i="39"/>
  <c r="AE55" i="39"/>
  <c r="AF55" i="39"/>
  <c r="AG55" i="39"/>
  <c r="AH55" i="39"/>
  <c r="AI55" i="39"/>
  <c r="AJ55" i="39"/>
  <c r="AK55" i="39"/>
  <c r="AL55" i="39"/>
  <c r="AM55" i="39"/>
  <c r="AN55" i="39"/>
  <c r="AO55" i="39"/>
  <c r="AP55" i="39"/>
  <c r="AQ55" i="39"/>
  <c r="Q56" i="39"/>
  <c r="R56" i="39"/>
  <c r="S56" i="39"/>
  <c r="T56" i="39"/>
  <c r="U56" i="39"/>
  <c r="V56" i="39"/>
  <c r="W56" i="39"/>
  <c r="X56" i="39"/>
  <c r="Y56" i="39"/>
  <c r="Z56" i="39"/>
  <c r="AA56" i="39"/>
  <c r="AB56" i="38"/>
  <c r="AB56" i="39"/>
  <c r="AC56" i="39"/>
  <c r="AD56" i="39"/>
  <c r="AE56" i="39"/>
  <c r="AF56" i="39"/>
  <c r="AG56" i="38"/>
  <c r="AG56" i="39"/>
  <c r="AH56" i="39"/>
  <c r="AI56" i="39"/>
  <c r="AJ56" i="39"/>
  <c r="AK56" i="39"/>
  <c r="AL56" i="38"/>
  <c r="AL56" i="39"/>
  <c r="AM56" i="39"/>
  <c r="AN56" i="39"/>
  <c r="AO56" i="39"/>
  <c r="AP56" i="39"/>
  <c r="AQ56" i="38"/>
  <c r="AQ56" i="39"/>
  <c r="Q57" i="39"/>
  <c r="R57" i="39"/>
  <c r="S57" i="39"/>
  <c r="T57" i="39"/>
  <c r="U57" i="39"/>
  <c r="V57" i="39"/>
  <c r="W57" i="39"/>
  <c r="X57" i="38"/>
  <c r="X57" i="39"/>
  <c r="Y57" i="38"/>
  <c r="Y57" i="39"/>
  <c r="Z57" i="39"/>
  <c r="AA57" i="39"/>
  <c r="AB57" i="39"/>
  <c r="AC57" i="38"/>
  <c r="AC57" i="39"/>
  <c r="AD57" i="38"/>
  <c r="AD57" i="39"/>
  <c r="AE57" i="39"/>
  <c r="AF57" i="38"/>
  <c r="AF57" i="39"/>
  <c r="AG57" i="39"/>
  <c r="AH57" i="38"/>
  <c r="AH57" i="39"/>
  <c r="AI57" i="38"/>
  <c r="AI57" i="39"/>
  <c r="AJ57" i="39"/>
  <c r="AK57" i="38"/>
  <c r="AK57" i="39"/>
  <c r="AL57" i="39"/>
  <c r="AM57" i="38"/>
  <c r="AM57" i="39"/>
  <c r="AN57" i="38"/>
  <c r="AN57" i="39"/>
  <c r="AO57" i="39"/>
  <c r="AP57" i="38"/>
  <c r="AP57" i="39"/>
  <c r="AQ57" i="39"/>
  <c r="Q58" i="39"/>
  <c r="R58" i="39"/>
  <c r="S58" i="39"/>
  <c r="T58" i="39"/>
  <c r="U58" i="39"/>
  <c r="V58" i="39"/>
  <c r="W58" i="39"/>
  <c r="X58" i="38"/>
  <c r="X58" i="39"/>
  <c r="Y58" i="38"/>
  <c r="Y58" i="39"/>
  <c r="Z58" i="39"/>
  <c r="AA58" i="39"/>
  <c r="AB58" i="39"/>
  <c r="AC58" i="38"/>
  <c r="AC58" i="39"/>
  <c r="AD58" i="38"/>
  <c r="AD58" i="39"/>
  <c r="AE58" i="39"/>
  <c r="AF58" i="38"/>
  <c r="AF58" i="39"/>
  <c r="AG58" i="39"/>
  <c r="AH58" i="38"/>
  <c r="AH58" i="39"/>
  <c r="AI58" i="38"/>
  <c r="AI58" i="39"/>
  <c r="AJ58" i="39"/>
  <c r="AK58" i="38"/>
  <c r="AK58" i="39"/>
  <c r="AL58" i="39"/>
  <c r="AM58" i="38"/>
  <c r="AM58" i="39"/>
  <c r="AN58" i="38"/>
  <c r="AN58" i="39"/>
  <c r="AO58" i="39"/>
  <c r="AP58" i="38"/>
  <c r="AP58" i="39"/>
  <c r="AQ58" i="39"/>
  <c r="Q59" i="39"/>
  <c r="R59" i="39"/>
  <c r="S59" i="39"/>
  <c r="T59" i="39"/>
  <c r="U59" i="39"/>
  <c r="V59" i="39"/>
  <c r="W59" i="39"/>
  <c r="X59" i="39"/>
  <c r="Y59" i="39"/>
  <c r="Z59" i="39"/>
  <c r="AA59" i="39"/>
  <c r="AB59" i="39"/>
  <c r="AC59" i="39"/>
  <c r="AD59" i="39"/>
  <c r="AE59" i="39"/>
  <c r="AF59" i="39"/>
  <c r="AG59" i="39"/>
  <c r="AH59" i="39"/>
  <c r="AI59" i="39"/>
  <c r="AJ59" i="39"/>
  <c r="AK59" i="39"/>
  <c r="AL59" i="39"/>
  <c r="AM59" i="39"/>
  <c r="AN59" i="39"/>
  <c r="AO59" i="39"/>
  <c r="AP59" i="39"/>
  <c r="AQ59" i="39"/>
  <c r="Q60" i="39"/>
  <c r="R60" i="39"/>
  <c r="S60" i="39"/>
  <c r="T60" i="39"/>
  <c r="U60" i="39"/>
  <c r="V60" i="39"/>
  <c r="W60" i="39"/>
  <c r="X60" i="39"/>
  <c r="Y60" i="39"/>
  <c r="Z60" i="39"/>
  <c r="AA60" i="39"/>
  <c r="AB60" i="39"/>
  <c r="AC60" i="39"/>
  <c r="AD60" i="39"/>
  <c r="AE60" i="39"/>
  <c r="AF60" i="39"/>
  <c r="AG60" i="39"/>
  <c r="AH60" i="39"/>
  <c r="AI60" i="39"/>
  <c r="AJ60" i="39"/>
  <c r="AK60" i="39"/>
  <c r="AL60" i="39"/>
  <c r="AM60" i="39"/>
  <c r="AN60" i="39"/>
  <c r="AO60" i="39"/>
  <c r="AP60" i="39"/>
  <c r="AQ60" i="39"/>
  <c r="Q61" i="39"/>
  <c r="R61" i="39"/>
  <c r="S61" i="39"/>
  <c r="T61" i="39"/>
  <c r="U61" i="39"/>
  <c r="V61" i="39"/>
  <c r="W61" i="39"/>
  <c r="X61" i="39"/>
  <c r="Y61" i="39"/>
  <c r="Z61" i="39"/>
  <c r="AA61" i="39"/>
  <c r="AB61" i="39"/>
  <c r="AC61" i="39"/>
  <c r="AD61" i="39"/>
  <c r="AE61" i="39"/>
  <c r="AF61" i="39"/>
  <c r="AG61" i="39"/>
  <c r="AH61" i="39"/>
  <c r="AI61" i="39"/>
  <c r="AJ61" i="39"/>
  <c r="AK61" i="39"/>
  <c r="AL61" i="39"/>
  <c r="AM61" i="39"/>
  <c r="AN61" i="39"/>
  <c r="AO61" i="39"/>
  <c r="AP61" i="39"/>
  <c r="AQ61" i="39"/>
  <c r="Q62" i="39"/>
  <c r="R62" i="39"/>
  <c r="S62" i="39"/>
  <c r="T62" i="39"/>
  <c r="U62" i="39"/>
  <c r="V62" i="39"/>
  <c r="W62" i="39"/>
  <c r="X62" i="39"/>
  <c r="Y62" i="39"/>
  <c r="Z62" i="39"/>
  <c r="AA62" i="39"/>
  <c r="AB62" i="39"/>
  <c r="AC62" i="39"/>
  <c r="AD62" i="39"/>
  <c r="AE62" i="39"/>
  <c r="AF62" i="39"/>
  <c r="AG62" i="39"/>
  <c r="AH62" i="39"/>
  <c r="AI62" i="39"/>
  <c r="AJ62" i="39"/>
  <c r="AK62" i="39"/>
  <c r="AL62" i="39"/>
  <c r="AM62" i="39"/>
  <c r="AN62" i="39"/>
  <c r="AO62" i="39"/>
  <c r="AP62" i="39"/>
  <c r="AQ62" i="39"/>
  <c r="Q63" i="39"/>
  <c r="R63" i="39"/>
  <c r="S63" i="39"/>
  <c r="T63" i="39"/>
  <c r="U63" i="39"/>
  <c r="V63" i="39"/>
  <c r="W63" i="39"/>
  <c r="X63" i="39"/>
  <c r="Y63" i="39"/>
  <c r="Z63" i="39"/>
  <c r="AA63" i="39"/>
  <c r="AB63" i="39"/>
  <c r="AC63" i="39"/>
  <c r="AD63" i="39"/>
  <c r="AE63" i="39"/>
  <c r="AF63" i="39"/>
  <c r="AG63" i="39"/>
  <c r="AH63" i="39"/>
  <c r="AI63" i="39"/>
  <c r="AJ63" i="39"/>
  <c r="AK63" i="39"/>
  <c r="AL63" i="39"/>
  <c r="AM63" i="39"/>
  <c r="AN63" i="39"/>
  <c r="AO63" i="39"/>
  <c r="AP63" i="39"/>
  <c r="AQ63" i="39"/>
  <c r="Q64" i="39"/>
  <c r="R64" i="39"/>
  <c r="S64" i="39"/>
  <c r="T64" i="39"/>
  <c r="U64" i="39"/>
  <c r="V64" i="39"/>
  <c r="W64" i="39"/>
  <c r="X64" i="39"/>
  <c r="Y64" i="39"/>
  <c r="Z64" i="39"/>
  <c r="AA64" i="39"/>
  <c r="AB64" i="39"/>
  <c r="AC64" i="39"/>
  <c r="AD64" i="39"/>
  <c r="AE64" i="39"/>
  <c r="AF64" i="39"/>
  <c r="AG64" i="39"/>
  <c r="AH64" i="39"/>
  <c r="AI64" i="39"/>
  <c r="AJ64" i="39"/>
  <c r="AK64" i="39"/>
  <c r="AL64" i="39"/>
  <c r="AM64" i="39"/>
  <c r="AN64" i="39"/>
  <c r="AO64" i="39"/>
  <c r="AP64" i="39"/>
  <c r="AQ64" i="39"/>
  <c r="Q65" i="39"/>
  <c r="R65" i="39"/>
  <c r="S65" i="39"/>
  <c r="T65" i="39"/>
  <c r="U65" i="39"/>
  <c r="V65" i="39"/>
  <c r="W65" i="39"/>
  <c r="X65" i="39"/>
  <c r="Y65" i="39"/>
  <c r="Z65" i="39"/>
  <c r="AA65" i="39"/>
  <c r="AB65" i="39"/>
  <c r="AC65" i="39"/>
  <c r="AD65" i="39"/>
  <c r="AE65" i="39"/>
  <c r="AF65" i="39"/>
  <c r="AG65" i="39"/>
  <c r="AH65" i="39"/>
  <c r="AI65" i="39"/>
  <c r="AJ65" i="39"/>
  <c r="AK65" i="39"/>
  <c r="AL65" i="39"/>
  <c r="AM65" i="39"/>
  <c r="AN65" i="39"/>
  <c r="AO65" i="39"/>
  <c r="AP65" i="39"/>
  <c r="AQ65" i="39"/>
  <c r="Q66" i="39"/>
  <c r="R66" i="39"/>
  <c r="S66" i="39"/>
  <c r="T66" i="39"/>
  <c r="U66" i="39"/>
  <c r="V66" i="39"/>
  <c r="W66" i="39"/>
  <c r="X66" i="39"/>
  <c r="Y66" i="39"/>
  <c r="Z66" i="39"/>
  <c r="AA66" i="39"/>
  <c r="AB66" i="39"/>
  <c r="AC66" i="39"/>
  <c r="AD66" i="39"/>
  <c r="AE66" i="39"/>
  <c r="AF66" i="39"/>
  <c r="AG66" i="39"/>
  <c r="AH66" i="39"/>
  <c r="AI66" i="39"/>
  <c r="AJ66" i="39"/>
  <c r="AK66" i="39"/>
  <c r="AL66" i="39"/>
  <c r="AM66" i="39"/>
  <c r="AN66" i="39"/>
  <c r="AO66" i="39"/>
  <c r="AP66" i="39"/>
  <c r="AQ66" i="39"/>
  <c r="Q67" i="39"/>
  <c r="R67" i="39"/>
  <c r="S67" i="39"/>
  <c r="T67" i="39"/>
  <c r="U67" i="39"/>
  <c r="V67" i="39"/>
  <c r="W67" i="39"/>
  <c r="X67" i="39"/>
  <c r="Y67" i="39"/>
  <c r="Z67" i="39"/>
  <c r="AA67" i="39"/>
  <c r="AB67" i="39"/>
  <c r="AC67" i="39"/>
  <c r="AD67" i="39"/>
  <c r="AE67" i="39"/>
  <c r="AF67" i="39"/>
  <c r="AG67" i="39"/>
  <c r="AH67" i="39"/>
  <c r="AI67" i="39"/>
  <c r="AJ67" i="39"/>
  <c r="AK67" i="39"/>
  <c r="AL67" i="39"/>
  <c r="AM67" i="39"/>
  <c r="AN67" i="39"/>
  <c r="AO67" i="39"/>
  <c r="AP67" i="39"/>
  <c r="AQ67" i="39"/>
  <c r="Q68" i="39"/>
  <c r="R68" i="39"/>
  <c r="S68" i="39"/>
  <c r="T68" i="39"/>
  <c r="U68" i="39"/>
  <c r="V68" i="39"/>
  <c r="W68" i="39"/>
  <c r="X68" i="39"/>
  <c r="Y68" i="39"/>
  <c r="Z68" i="39"/>
  <c r="AA68" i="39"/>
  <c r="AB68" i="39"/>
  <c r="AC68" i="39"/>
  <c r="AD68" i="39"/>
  <c r="AE68" i="39"/>
  <c r="AF68" i="39"/>
  <c r="AG68" i="39"/>
  <c r="AH68" i="39"/>
  <c r="AI68" i="39"/>
  <c r="AJ68" i="39"/>
  <c r="AK68" i="39"/>
  <c r="AL68" i="38"/>
  <c r="AL68" i="39"/>
  <c r="AM68" i="39"/>
  <c r="AN68" i="39"/>
  <c r="AO68" i="39"/>
  <c r="AP68" i="39"/>
  <c r="AQ68" i="38"/>
  <c r="AQ68" i="39"/>
  <c r="Q69" i="39"/>
  <c r="R69" i="39"/>
  <c r="S69" i="39"/>
  <c r="T69" i="39"/>
  <c r="U69" i="39"/>
  <c r="V69" i="39"/>
  <c r="W69" i="39"/>
  <c r="X69" i="39"/>
  <c r="Y69" i="39"/>
  <c r="Z69" i="39"/>
  <c r="AA69" i="39"/>
  <c r="AB69" i="39"/>
  <c r="AC69" i="39"/>
  <c r="AD69" i="39"/>
  <c r="AE69" i="39"/>
  <c r="AF69" i="39"/>
  <c r="AG69" i="39"/>
  <c r="AH69" i="39"/>
  <c r="AI69" i="39"/>
  <c r="AJ69" i="39"/>
  <c r="AK69" i="39"/>
  <c r="AL69" i="38"/>
  <c r="AL69" i="39"/>
  <c r="AM69" i="39"/>
  <c r="AN69" i="39"/>
  <c r="AO69" i="39"/>
  <c r="AP69" i="39"/>
  <c r="AQ69" i="38"/>
  <c r="AQ69" i="39"/>
  <c r="Q70" i="39"/>
  <c r="R70" i="39"/>
  <c r="S70" i="39"/>
  <c r="T70" i="39"/>
  <c r="U70" i="39"/>
  <c r="V70" i="39"/>
  <c r="W70" i="39"/>
  <c r="X70" i="39"/>
  <c r="Y70" i="39"/>
  <c r="Z70" i="39"/>
  <c r="AA70" i="39"/>
  <c r="AB70" i="39"/>
  <c r="AC70" i="39"/>
  <c r="AD70" i="39"/>
  <c r="AE70" i="39"/>
  <c r="AF70" i="39"/>
  <c r="AG70" i="39"/>
  <c r="AH70" i="39"/>
  <c r="AI70" i="39"/>
  <c r="AJ70" i="39"/>
  <c r="AK70" i="39"/>
  <c r="AL70" i="38"/>
  <c r="AL70" i="39"/>
  <c r="AM70" i="39"/>
  <c r="AN70" i="39"/>
  <c r="AO70" i="39"/>
  <c r="AP70" i="39"/>
  <c r="AQ70" i="38"/>
  <c r="AQ70" i="39"/>
  <c r="Q71" i="39"/>
  <c r="R71" i="39"/>
  <c r="S71" i="39"/>
  <c r="T71" i="39"/>
  <c r="U71" i="39"/>
  <c r="V71" i="39"/>
  <c r="W71" i="39"/>
  <c r="X71" i="39"/>
  <c r="Y71" i="39"/>
  <c r="Z71" i="39"/>
  <c r="AA71" i="39"/>
  <c r="AB71" i="38"/>
  <c r="AB71" i="39"/>
  <c r="AC71" i="39"/>
  <c r="AD71" i="39"/>
  <c r="AE71" i="39"/>
  <c r="AF71" i="39"/>
  <c r="AG71" i="38"/>
  <c r="AG71" i="39"/>
  <c r="AH71" i="39"/>
  <c r="AI71" i="39"/>
  <c r="AJ71" i="39"/>
  <c r="AK71" i="39"/>
  <c r="AL71" i="38"/>
  <c r="AL71" i="39"/>
  <c r="AM71" i="39"/>
  <c r="AN71" i="39"/>
  <c r="AO71" i="39"/>
  <c r="AP71" i="39"/>
  <c r="AQ71" i="38"/>
  <c r="AQ71" i="39"/>
  <c r="Q72" i="39"/>
  <c r="R72" i="39"/>
  <c r="S72" i="39"/>
  <c r="T72" i="39"/>
  <c r="U72" i="39"/>
  <c r="V72" i="39"/>
  <c r="W72" i="39"/>
  <c r="X72" i="39"/>
  <c r="Y72" i="39"/>
  <c r="Z72" i="39"/>
  <c r="AA72" i="39"/>
  <c r="AB72" i="38"/>
  <c r="AB72" i="39"/>
  <c r="AC72" i="39"/>
  <c r="AD72" i="39"/>
  <c r="AE72" i="39"/>
  <c r="AF72" i="39"/>
  <c r="AG72" i="38"/>
  <c r="AG72" i="39"/>
  <c r="AH72" i="39"/>
  <c r="AI72" i="39"/>
  <c r="AJ72" i="39"/>
  <c r="AK72" i="39"/>
  <c r="AL72" i="38"/>
  <c r="AL72" i="39"/>
  <c r="AM72" i="39"/>
  <c r="AN72" i="39"/>
  <c r="AO72" i="39"/>
  <c r="AP72" i="39"/>
  <c r="AQ72" i="38"/>
  <c r="AQ72" i="39"/>
  <c r="Q73" i="39"/>
  <c r="R73" i="39"/>
  <c r="S73" i="39"/>
  <c r="T73" i="39"/>
  <c r="U73" i="39"/>
  <c r="V73" i="39"/>
  <c r="W73" i="39"/>
  <c r="X73" i="39"/>
  <c r="Y73" i="39"/>
  <c r="Z73" i="39"/>
  <c r="AA73" i="39"/>
  <c r="AB73" i="38"/>
  <c r="AB73" i="39"/>
  <c r="AC73" i="39"/>
  <c r="AD73" i="39"/>
  <c r="AE73" i="39"/>
  <c r="AF73" i="39"/>
  <c r="AG73" i="38"/>
  <c r="AG73" i="39"/>
  <c r="AH73" i="39"/>
  <c r="AI73" i="39"/>
  <c r="AJ73" i="39"/>
  <c r="AK73" i="39"/>
  <c r="AL73" i="38"/>
  <c r="AL73" i="39"/>
  <c r="AM73" i="39"/>
  <c r="AN73" i="39"/>
  <c r="AO73" i="39"/>
  <c r="AP73" i="39"/>
  <c r="AQ73" i="38"/>
  <c r="AQ73" i="39"/>
  <c r="Q74" i="39"/>
  <c r="R74" i="39"/>
  <c r="S74" i="39"/>
  <c r="T74" i="39"/>
  <c r="U74" i="39"/>
  <c r="V74" i="39"/>
  <c r="W74" i="39"/>
  <c r="X74" i="39"/>
  <c r="Y74" i="39"/>
  <c r="Z74" i="39"/>
  <c r="AA74" i="39"/>
  <c r="AB74" i="38"/>
  <c r="AB74" i="39"/>
  <c r="AC74" i="39"/>
  <c r="AD74" i="39"/>
  <c r="AE74" i="39"/>
  <c r="AF74" i="39"/>
  <c r="AG74" i="38"/>
  <c r="AG74" i="39"/>
  <c r="AH74" i="39"/>
  <c r="AI74" i="39"/>
  <c r="AJ74" i="39"/>
  <c r="AK74" i="39"/>
  <c r="AL74" i="38"/>
  <c r="AL74" i="39"/>
  <c r="AM74" i="39"/>
  <c r="AN74" i="39"/>
  <c r="AO74" i="39"/>
  <c r="AP74" i="39"/>
  <c r="AQ74" i="38"/>
  <c r="AQ74" i="39"/>
  <c r="Q75" i="39"/>
  <c r="R75" i="39"/>
  <c r="S75" i="39"/>
  <c r="T75" i="39"/>
  <c r="U75" i="39"/>
  <c r="V75" i="39"/>
  <c r="W75" i="39"/>
  <c r="X75" i="39"/>
  <c r="Y75" i="39"/>
  <c r="Z75" i="39"/>
  <c r="AA75" i="39"/>
  <c r="AB75" i="38"/>
  <c r="AB75" i="39"/>
  <c r="AC75" i="39"/>
  <c r="AD75" i="39"/>
  <c r="AE75" i="39"/>
  <c r="AF75" i="39"/>
  <c r="AG75" i="38"/>
  <c r="AG75" i="39"/>
  <c r="AH75" i="39"/>
  <c r="AI75" i="39"/>
  <c r="AJ75" i="39"/>
  <c r="AK75" i="39"/>
  <c r="AL75" i="38"/>
  <c r="AL75" i="39"/>
  <c r="AM75" i="39"/>
  <c r="AN75" i="39"/>
  <c r="AO75" i="39"/>
  <c r="AP75" i="39"/>
  <c r="AQ75" i="38"/>
  <c r="AQ75" i="39"/>
  <c r="Q76" i="39"/>
  <c r="R76" i="39"/>
  <c r="S76" i="39"/>
  <c r="T76" i="39"/>
  <c r="U76" i="39"/>
  <c r="V76" i="39"/>
  <c r="W76" i="39"/>
  <c r="X76" i="39"/>
  <c r="Y76" i="39"/>
  <c r="Z76" i="39"/>
  <c r="AA76" i="39"/>
  <c r="AB76" i="39"/>
  <c r="AC76" i="39"/>
  <c r="AD76" i="39"/>
  <c r="AE76" i="39"/>
  <c r="AF76" i="39"/>
  <c r="AG76" i="39"/>
  <c r="AH76" i="39"/>
  <c r="AI76" i="39"/>
  <c r="AJ76" i="39"/>
  <c r="AK76" i="39"/>
  <c r="AL76" i="38"/>
  <c r="AL76" i="39"/>
  <c r="AM76" i="39"/>
  <c r="AN76" i="39"/>
  <c r="AO76" i="39"/>
  <c r="AP76" i="39"/>
  <c r="AQ76" i="38"/>
  <c r="AQ76" i="39"/>
  <c r="Q77" i="39"/>
  <c r="R77" i="39"/>
  <c r="S77" i="39"/>
  <c r="T77" i="39"/>
  <c r="U77" i="39"/>
  <c r="V77" i="39"/>
  <c r="W77" i="39"/>
  <c r="X77" i="39"/>
  <c r="Y77" i="39"/>
  <c r="Z77" i="39"/>
  <c r="AA77" i="39"/>
  <c r="AB77" i="39"/>
  <c r="AC77" i="39"/>
  <c r="AD77" i="39"/>
  <c r="AE77" i="39"/>
  <c r="AF77" i="39"/>
  <c r="AG77" i="39"/>
  <c r="AH77" i="39"/>
  <c r="AI77" i="39"/>
  <c r="AJ77" i="39"/>
  <c r="AK77" i="39"/>
  <c r="AL77" i="38"/>
  <c r="AL77" i="39"/>
  <c r="AM77" i="39"/>
  <c r="AN77" i="39"/>
  <c r="AO77" i="39"/>
  <c r="AP77" i="39"/>
  <c r="AQ77" i="38"/>
  <c r="AQ77" i="39"/>
  <c r="Q78" i="39"/>
  <c r="R78" i="39"/>
  <c r="S78" i="39"/>
  <c r="T78" i="39"/>
  <c r="U78" i="39"/>
  <c r="V78" i="39"/>
  <c r="W78" i="39"/>
  <c r="X78" i="39"/>
  <c r="Y78" i="39"/>
  <c r="Z78" i="39"/>
  <c r="AA78" i="39"/>
  <c r="AB78" i="39"/>
  <c r="AC78" i="39"/>
  <c r="AD78" i="39"/>
  <c r="AE78" i="39"/>
  <c r="AF78" i="39"/>
  <c r="AG78" i="39"/>
  <c r="AH78" i="39"/>
  <c r="AI78" i="39"/>
  <c r="AJ78" i="39"/>
  <c r="AK78" i="39"/>
  <c r="AL78" i="39"/>
  <c r="AM78" i="39"/>
  <c r="AN78" i="39"/>
  <c r="AO78" i="39"/>
  <c r="AP78" i="39"/>
  <c r="AQ78" i="39"/>
  <c r="Q79" i="38"/>
  <c r="Q79" i="39"/>
  <c r="R79" i="38"/>
  <c r="R79" i="39"/>
  <c r="S79" i="38"/>
  <c r="S79" i="39"/>
  <c r="T79" i="38"/>
  <c r="T79" i="39"/>
  <c r="U79" i="38"/>
  <c r="U79" i="39"/>
  <c r="V79" i="38"/>
  <c r="V79" i="39"/>
  <c r="W79" i="38"/>
  <c r="W79" i="39"/>
  <c r="X79" i="38"/>
  <c r="X79" i="39"/>
  <c r="Y79" i="38"/>
  <c r="Y79" i="39"/>
  <c r="Z79" i="38"/>
  <c r="Z79" i="39"/>
  <c r="AA79" i="38"/>
  <c r="AA79" i="39"/>
  <c r="AB79" i="38"/>
  <c r="AB79" i="39"/>
  <c r="AC79" i="38"/>
  <c r="AC79" i="39"/>
  <c r="AD79" i="38"/>
  <c r="AD79" i="39"/>
  <c r="AE79" i="38"/>
  <c r="AE79" i="39"/>
  <c r="AF79" i="38"/>
  <c r="AF79" i="39"/>
  <c r="AG79" i="38"/>
  <c r="AG79" i="39"/>
  <c r="AH79" i="38"/>
  <c r="AH79" i="39"/>
  <c r="AI79" i="38"/>
  <c r="AI79" i="39"/>
  <c r="AJ79" i="38"/>
  <c r="AJ79" i="39"/>
  <c r="AK79" i="38"/>
  <c r="AK79" i="39"/>
  <c r="AL79" i="38"/>
  <c r="AL79" i="39"/>
  <c r="AM79" i="38"/>
  <c r="AM79" i="39"/>
  <c r="AN79" i="38"/>
  <c r="AN79" i="39"/>
  <c r="AO79" i="38"/>
  <c r="AO79" i="39"/>
  <c r="AP79" i="38"/>
  <c r="AP79" i="39"/>
  <c r="AQ79" i="38"/>
  <c r="AQ79" i="39"/>
  <c r="Q80" i="38"/>
  <c r="Q80" i="39"/>
  <c r="R80" i="38"/>
  <c r="R80" i="39"/>
  <c r="S80" i="38"/>
  <c r="S80" i="39"/>
  <c r="T80" i="38"/>
  <c r="T80" i="39"/>
  <c r="U80" i="38"/>
  <c r="U80" i="39"/>
  <c r="V80" i="38"/>
  <c r="V80" i="39"/>
  <c r="W80" i="38"/>
  <c r="W80" i="39"/>
  <c r="X80" i="38"/>
  <c r="X80" i="39"/>
  <c r="Y80" i="38"/>
  <c r="Y80" i="39"/>
  <c r="Z80" i="38"/>
  <c r="Z80" i="39"/>
  <c r="AA80" i="38"/>
  <c r="AA80" i="39"/>
  <c r="AB80" i="38"/>
  <c r="AB80" i="39"/>
  <c r="AC80" i="38"/>
  <c r="AC80" i="39"/>
  <c r="AD80" i="38"/>
  <c r="AD80" i="39"/>
  <c r="AE80" i="38"/>
  <c r="AE80" i="39"/>
  <c r="AF80" i="38"/>
  <c r="AF80" i="39"/>
  <c r="AG80" i="38"/>
  <c r="AG80" i="39"/>
  <c r="AH80" i="38"/>
  <c r="AH80" i="39"/>
  <c r="AI80" i="38"/>
  <c r="AI80" i="39"/>
  <c r="AJ80" i="38"/>
  <c r="AJ80" i="39"/>
  <c r="AK80" i="38"/>
  <c r="AK80" i="39"/>
  <c r="AL80" i="38"/>
  <c r="AL80" i="39"/>
  <c r="AM80" i="38"/>
  <c r="AM80" i="39"/>
  <c r="AN80" i="38"/>
  <c r="AN80" i="39"/>
  <c r="AO80" i="38"/>
  <c r="AO80" i="39"/>
  <c r="AP80" i="38"/>
  <c r="AP80" i="39"/>
  <c r="AQ80" i="38"/>
  <c r="AQ80" i="39"/>
  <c r="Q81" i="38"/>
  <c r="Q81" i="39"/>
  <c r="R81" i="38"/>
  <c r="R81" i="39"/>
  <c r="S81" i="38"/>
  <c r="S81" i="39"/>
  <c r="T81" i="38"/>
  <c r="T81" i="39"/>
  <c r="U81" i="38"/>
  <c r="U81" i="39"/>
  <c r="V81" i="38"/>
  <c r="V81" i="39"/>
  <c r="W81" i="38"/>
  <c r="W81" i="39"/>
  <c r="X81" i="38"/>
  <c r="X81" i="39"/>
  <c r="Y81" i="38"/>
  <c r="Y81" i="39"/>
  <c r="Z81" i="38"/>
  <c r="Z81" i="39"/>
  <c r="AA81" i="38"/>
  <c r="AA81" i="39"/>
  <c r="AB81" i="38"/>
  <c r="AB81" i="39"/>
  <c r="AC81" i="38"/>
  <c r="AC81" i="39"/>
  <c r="AD81" i="38"/>
  <c r="AD81" i="39"/>
  <c r="AE81" i="38"/>
  <c r="AE81" i="39"/>
  <c r="AF81" i="38"/>
  <c r="AF81" i="39"/>
  <c r="AG81" i="38"/>
  <c r="AG81" i="39"/>
  <c r="AH81" i="38"/>
  <c r="AH81" i="39"/>
  <c r="AI81" i="38"/>
  <c r="AI81" i="39"/>
  <c r="AJ81" i="38"/>
  <c r="AJ81" i="39"/>
  <c r="AK81" i="38"/>
  <c r="AK81" i="39"/>
  <c r="AL81" i="38"/>
  <c r="AL81" i="39"/>
  <c r="AM81" i="38"/>
  <c r="AM81" i="39"/>
  <c r="AN81" i="38"/>
  <c r="AN81" i="39"/>
  <c r="AO81" i="38"/>
  <c r="AO81" i="39"/>
  <c r="AP81" i="38"/>
  <c r="AP81" i="39"/>
  <c r="AQ81" i="38"/>
  <c r="AQ81" i="39"/>
  <c r="Q82" i="39"/>
  <c r="R82" i="39"/>
  <c r="S82" i="39"/>
  <c r="T82" i="39"/>
  <c r="U82" i="39"/>
  <c r="V82" i="39"/>
  <c r="W82" i="39"/>
  <c r="X82" i="39"/>
  <c r="Y82" i="39"/>
  <c r="Z82" i="39"/>
  <c r="AA82" i="39"/>
  <c r="AB82" i="39"/>
  <c r="AC82" i="39"/>
  <c r="AD82" i="39"/>
  <c r="AE82" i="39"/>
  <c r="AF82" i="39"/>
  <c r="AG82" i="39"/>
  <c r="AH82" i="39"/>
  <c r="AI82" i="39"/>
  <c r="AJ82" i="39"/>
  <c r="AK82" i="39"/>
  <c r="AL82" i="39"/>
  <c r="AM82" i="39"/>
  <c r="AN82" i="39"/>
  <c r="AO82" i="39"/>
  <c r="AP82" i="39"/>
  <c r="AQ82" i="39"/>
  <c r="Q83" i="39"/>
  <c r="R83" i="39"/>
  <c r="S83" i="39"/>
  <c r="T83" i="39"/>
  <c r="U83" i="39"/>
  <c r="V83" i="39"/>
  <c r="W83" i="39"/>
  <c r="X83" i="39"/>
  <c r="Y83" i="39"/>
  <c r="Z83" i="39"/>
  <c r="AA83" i="39"/>
  <c r="AB83" i="39"/>
  <c r="AC83" i="39"/>
  <c r="AD83" i="39"/>
  <c r="AE83" i="39"/>
  <c r="AF83" i="39"/>
  <c r="AG83" i="39"/>
  <c r="AH83" i="39"/>
  <c r="AI83" i="39"/>
  <c r="AJ83" i="39"/>
  <c r="AK83" i="39"/>
  <c r="AL83" i="39"/>
  <c r="AM83" i="39"/>
  <c r="AN83" i="39"/>
  <c r="AO83" i="39"/>
  <c r="AP83" i="39"/>
  <c r="AQ83" i="39"/>
  <c r="Q84" i="39"/>
  <c r="R84" i="39"/>
  <c r="S84" i="39"/>
  <c r="T84" i="39"/>
  <c r="U84" i="39"/>
  <c r="V84" i="39"/>
  <c r="W84" i="39"/>
  <c r="X84" i="39"/>
  <c r="Y84" i="39"/>
  <c r="Z84" i="39"/>
  <c r="AA84" i="39"/>
  <c r="AB84" i="39"/>
  <c r="AC84" i="39"/>
  <c r="AD84" i="39"/>
  <c r="AE84" i="39"/>
  <c r="AF84" i="39"/>
  <c r="AG84" i="39"/>
  <c r="AH84" i="39"/>
  <c r="AI84" i="39"/>
  <c r="AJ84" i="39"/>
  <c r="AK84" i="39"/>
  <c r="AL84" i="39"/>
  <c r="AM84" i="39"/>
  <c r="AN84" i="39"/>
  <c r="AO84" i="39"/>
  <c r="AP84" i="39"/>
  <c r="AQ84" i="39"/>
  <c r="Q85" i="39"/>
  <c r="R85" i="39"/>
  <c r="S85" i="39"/>
  <c r="T85" i="39"/>
  <c r="U85" i="39"/>
  <c r="V85" i="39"/>
  <c r="W85" i="39"/>
  <c r="X85" i="39"/>
  <c r="Y85" i="39"/>
  <c r="Z85" i="39"/>
  <c r="AA85" i="39"/>
  <c r="AB85" i="39"/>
  <c r="AC85" i="39"/>
  <c r="AD85" i="39"/>
  <c r="AE85" i="39"/>
  <c r="AF85" i="39"/>
  <c r="AG85" i="39"/>
  <c r="AH85" i="39"/>
  <c r="AI85" i="39"/>
  <c r="AJ85" i="39"/>
  <c r="AK85" i="39"/>
  <c r="AL85" i="39"/>
  <c r="AM85" i="39"/>
  <c r="AN85" i="39"/>
  <c r="AO85" i="39"/>
  <c r="AP85" i="39"/>
  <c r="AQ85" i="39"/>
  <c r="Q86" i="39"/>
  <c r="R86" i="39"/>
  <c r="S86" i="39"/>
  <c r="T86" i="39"/>
  <c r="U86" i="39"/>
  <c r="V86" i="39"/>
  <c r="W86" i="39"/>
  <c r="X86" i="39"/>
  <c r="Y86" i="39"/>
  <c r="Z86" i="39"/>
  <c r="AA86" i="39"/>
  <c r="AB86" i="39"/>
  <c r="AC86" i="39"/>
  <c r="AD86" i="39"/>
  <c r="AE86" i="39"/>
  <c r="AF86" i="39"/>
  <c r="AG86" i="39"/>
  <c r="AH86" i="39"/>
  <c r="AI86" i="39"/>
  <c r="AJ86" i="39"/>
  <c r="AK86" i="39"/>
  <c r="AL86" i="39"/>
  <c r="AM86" i="39"/>
  <c r="AN86" i="39"/>
  <c r="AO86" i="39"/>
  <c r="AP86" i="39"/>
  <c r="AQ86" i="39"/>
  <c r="Q87" i="39"/>
  <c r="R87" i="39"/>
  <c r="S87" i="39"/>
  <c r="T87" i="39"/>
  <c r="U87" i="39"/>
  <c r="V87" i="39"/>
  <c r="W87" i="39"/>
  <c r="X87" i="39"/>
  <c r="Y87" i="39"/>
  <c r="Z87" i="39"/>
  <c r="AA87" i="39"/>
  <c r="AB87" i="39"/>
  <c r="AC87" i="39"/>
  <c r="AD87" i="39"/>
  <c r="AE87" i="39"/>
  <c r="AF87" i="39"/>
  <c r="AG87" i="39"/>
  <c r="AH87" i="39"/>
  <c r="AI87" i="39"/>
  <c r="AJ87" i="39"/>
  <c r="AK87" i="39"/>
  <c r="AL87" i="39"/>
  <c r="AM87" i="39"/>
  <c r="AN87" i="39"/>
  <c r="AO87" i="39"/>
  <c r="AP87" i="39"/>
  <c r="AQ87" i="39"/>
  <c r="Q88" i="39"/>
  <c r="R88" i="39"/>
  <c r="S88" i="39"/>
  <c r="T88" i="39"/>
  <c r="U88" i="39"/>
  <c r="V88" i="39"/>
  <c r="W88" i="39"/>
  <c r="X88" i="39"/>
  <c r="Y88" i="39"/>
  <c r="Z88" i="39"/>
  <c r="AA88" i="39"/>
  <c r="AB88" i="39"/>
  <c r="AC88" i="39"/>
  <c r="AD88" i="39"/>
  <c r="AE88" i="39"/>
  <c r="AF88" i="39"/>
  <c r="AG88" i="39"/>
  <c r="AH88" i="39"/>
  <c r="AI88" i="39"/>
  <c r="AJ88" i="39"/>
  <c r="AK88" i="39"/>
  <c r="AL88" i="39"/>
  <c r="AM88" i="39"/>
  <c r="AN88" i="39"/>
  <c r="AO88" i="39"/>
  <c r="AP88" i="39"/>
  <c r="AQ88" i="39"/>
  <c r="Q89" i="39"/>
  <c r="R89" i="39"/>
  <c r="S89" i="39"/>
  <c r="T89" i="39"/>
  <c r="U89" i="39"/>
  <c r="V89" i="39"/>
  <c r="W89" i="39"/>
  <c r="X89" i="39"/>
  <c r="Y89" i="39"/>
  <c r="Z89" i="39"/>
  <c r="AA89" i="39"/>
  <c r="AB89" i="39"/>
  <c r="AC89" i="39"/>
  <c r="AD89" i="39"/>
  <c r="AE89" i="39"/>
  <c r="AF89" i="39"/>
  <c r="AG89" i="39"/>
  <c r="AH89" i="39"/>
  <c r="AI89" i="39"/>
  <c r="AJ89" i="39"/>
  <c r="AK89" i="39"/>
  <c r="AL89" i="39"/>
  <c r="AM89" i="39"/>
  <c r="AN89" i="39"/>
  <c r="AO89" i="39"/>
  <c r="AP89" i="39"/>
  <c r="AQ89" i="39"/>
  <c r="Q90" i="39"/>
  <c r="R90" i="39"/>
  <c r="S90" i="39"/>
  <c r="T90" i="39"/>
  <c r="U90" i="39"/>
  <c r="V90" i="39"/>
  <c r="W90" i="39"/>
  <c r="X90" i="39"/>
  <c r="Y90" i="39"/>
  <c r="Z90" i="39"/>
  <c r="AA90" i="39"/>
  <c r="AB90" i="39"/>
  <c r="AC90" i="39"/>
  <c r="AD90" i="39"/>
  <c r="AE90" i="39"/>
  <c r="AF90" i="39"/>
  <c r="AG90" i="39"/>
  <c r="AH90" i="39"/>
  <c r="AI90" i="39"/>
  <c r="AJ90" i="39"/>
  <c r="AK90" i="39"/>
  <c r="AL90" i="39"/>
  <c r="AM90" i="39"/>
  <c r="AN90" i="39"/>
  <c r="AO90" i="39"/>
  <c r="AP90" i="39"/>
  <c r="AQ90" i="39"/>
  <c r="Q91" i="39"/>
  <c r="R91" i="39"/>
  <c r="S91" i="39"/>
  <c r="T91" i="39"/>
  <c r="U91" i="39"/>
  <c r="V91" i="39"/>
  <c r="W91" i="39"/>
  <c r="X91" i="39"/>
  <c r="Y91" i="39"/>
  <c r="Z91" i="39"/>
  <c r="AA91" i="39"/>
  <c r="AB91" i="39"/>
  <c r="AC91" i="39"/>
  <c r="AD91" i="39"/>
  <c r="AE91" i="39"/>
  <c r="AF91" i="39"/>
  <c r="AG91" i="39"/>
  <c r="AH91" i="39"/>
  <c r="AI91" i="39"/>
  <c r="AJ91" i="39"/>
  <c r="AK91" i="39"/>
  <c r="AL91" i="39"/>
  <c r="AM91" i="39"/>
  <c r="AN91" i="39"/>
  <c r="AO91" i="39"/>
  <c r="AP91" i="39"/>
  <c r="AQ91" i="39"/>
  <c r="Q92" i="39"/>
  <c r="R92" i="39"/>
  <c r="S92" i="39"/>
  <c r="T92" i="39"/>
  <c r="U92" i="39"/>
  <c r="V92" i="39"/>
  <c r="W92" i="39"/>
  <c r="X92" i="39"/>
  <c r="Y92" i="39"/>
  <c r="Z92" i="39"/>
  <c r="AA92" i="39"/>
  <c r="AB92" i="39"/>
  <c r="AC92" i="39"/>
  <c r="AD92" i="39"/>
  <c r="AE92" i="39"/>
  <c r="AF92" i="39"/>
  <c r="AG92" i="39"/>
  <c r="AH92" i="39"/>
  <c r="AI92" i="39"/>
  <c r="AJ92" i="39"/>
  <c r="AK92" i="39"/>
  <c r="AL92" i="39"/>
  <c r="AM92" i="39"/>
  <c r="AN92" i="39"/>
  <c r="AO92" i="39"/>
  <c r="AP92" i="39"/>
  <c r="AQ92" i="39"/>
  <c r="Q93" i="39"/>
  <c r="R93" i="39"/>
  <c r="S93" i="39"/>
  <c r="T93" i="39"/>
  <c r="U93" i="39"/>
  <c r="V93" i="39"/>
  <c r="W93" i="39"/>
  <c r="X93" i="39"/>
  <c r="Y93" i="39"/>
  <c r="Z93" i="39"/>
  <c r="AA93" i="39"/>
  <c r="AB93" i="39"/>
  <c r="AC93" i="39"/>
  <c r="AD93" i="39"/>
  <c r="AE93" i="39"/>
  <c r="AF93" i="39"/>
  <c r="AG93" i="39"/>
  <c r="AH93" i="39"/>
  <c r="AI93" i="39"/>
  <c r="AJ93" i="39"/>
  <c r="AK93" i="39"/>
  <c r="AL93" i="39"/>
  <c r="AM93" i="39"/>
  <c r="AN93" i="39"/>
  <c r="AO93" i="39"/>
  <c r="AP93" i="39"/>
  <c r="AQ93" i="39"/>
  <c r="Q94" i="39"/>
  <c r="R94" i="39"/>
  <c r="S94" i="39"/>
  <c r="T94" i="39"/>
  <c r="U94" i="39"/>
  <c r="V94" i="39"/>
  <c r="W94" i="39"/>
  <c r="X94" i="39"/>
  <c r="Y94" i="39"/>
  <c r="Z94" i="39"/>
  <c r="AA94" i="39"/>
  <c r="AB94" i="39"/>
  <c r="AC94" i="39"/>
  <c r="AD94" i="39"/>
  <c r="AE94" i="39"/>
  <c r="AF94" i="39"/>
  <c r="AG94" i="39"/>
  <c r="AH94" i="39"/>
  <c r="AI94" i="39"/>
  <c r="AJ94" i="39"/>
  <c r="AK94" i="39"/>
  <c r="AL94" i="39"/>
  <c r="AM94" i="39"/>
  <c r="AN94" i="39"/>
  <c r="AO94" i="39"/>
  <c r="AP94" i="39"/>
  <c r="AQ94" i="39"/>
  <c r="Q95" i="39"/>
  <c r="R95" i="39"/>
  <c r="S95" i="39"/>
  <c r="T95" i="39"/>
  <c r="U95" i="39"/>
  <c r="V95" i="39"/>
  <c r="W95" i="39"/>
  <c r="X95" i="39"/>
  <c r="Y95" i="39"/>
  <c r="Z95" i="39"/>
  <c r="AA95" i="39"/>
  <c r="AB95" i="39"/>
  <c r="AC95" i="39"/>
  <c r="AD95" i="39"/>
  <c r="AE95" i="39"/>
  <c r="AF95" i="39"/>
  <c r="AG95" i="39"/>
  <c r="AH95" i="39"/>
  <c r="AI95" i="39"/>
  <c r="AJ95" i="39"/>
  <c r="AK95" i="39"/>
  <c r="AL95" i="39"/>
  <c r="AM95" i="39"/>
  <c r="AN95" i="39"/>
  <c r="AO95" i="39"/>
  <c r="AP95" i="39"/>
  <c r="AQ95" i="39"/>
  <c r="Q96" i="39"/>
  <c r="R96" i="39"/>
  <c r="S96" i="39"/>
  <c r="T96" i="39"/>
  <c r="U96" i="39"/>
  <c r="V96" i="39"/>
  <c r="W96" i="39"/>
  <c r="X96" i="39"/>
  <c r="Y96" i="39"/>
  <c r="Z96" i="39"/>
  <c r="AA96" i="39"/>
  <c r="AB96" i="39"/>
  <c r="AC96" i="39"/>
  <c r="AD96" i="39"/>
  <c r="AE96" i="39"/>
  <c r="AF96" i="39"/>
  <c r="AG96" i="39"/>
  <c r="AH96" i="39"/>
  <c r="AI96" i="39"/>
  <c r="AJ96" i="39"/>
  <c r="AK96" i="39"/>
  <c r="AL96" i="39"/>
  <c r="AM96" i="39"/>
  <c r="AN96" i="39"/>
  <c r="AO96" i="39"/>
  <c r="AP96" i="39"/>
  <c r="AQ96" i="39"/>
  <c r="Q97" i="39"/>
  <c r="R97" i="39"/>
  <c r="S97" i="39"/>
  <c r="T97" i="39"/>
  <c r="U97" i="39"/>
  <c r="V97" i="39"/>
  <c r="W97" i="39"/>
  <c r="X97" i="39"/>
  <c r="Y97" i="39"/>
  <c r="Z97" i="39"/>
  <c r="AA97" i="39"/>
  <c r="AB97" i="39"/>
  <c r="AC97" i="39"/>
  <c r="AD97" i="39"/>
  <c r="AE97" i="39"/>
  <c r="AF97" i="39"/>
  <c r="AG97" i="39"/>
  <c r="AH97" i="39"/>
  <c r="AI97" i="39"/>
  <c r="AJ97" i="39"/>
  <c r="AK97" i="39"/>
  <c r="AL97" i="39"/>
  <c r="AM97" i="39"/>
  <c r="AN97" i="39"/>
  <c r="AO97" i="39"/>
  <c r="AP97" i="39"/>
  <c r="AQ97" i="39"/>
  <c r="Q98" i="39"/>
  <c r="R98" i="39"/>
  <c r="S98" i="39"/>
  <c r="T98" i="39"/>
  <c r="U98" i="39"/>
  <c r="V98" i="39"/>
  <c r="W98" i="39"/>
  <c r="X98" i="39"/>
  <c r="Y98" i="39"/>
  <c r="Z98" i="39"/>
  <c r="AA98" i="39"/>
  <c r="AB98" i="39"/>
  <c r="AC98" i="39"/>
  <c r="AD98" i="39"/>
  <c r="AE98" i="39"/>
  <c r="AF98" i="39"/>
  <c r="AG98" i="39"/>
  <c r="AH98" i="39"/>
  <c r="AI98" i="39"/>
  <c r="AJ98" i="39"/>
  <c r="AK98" i="39"/>
  <c r="AL98" i="39"/>
  <c r="AM98" i="39"/>
  <c r="AN98" i="39"/>
  <c r="AO98" i="39"/>
  <c r="AP98" i="39"/>
  <c r="AQ98" i="39"/>
  <c r="Q99" i="39"/>
  <c r="R99" i="39"/>
  <c r="S99" i="39"/>
  <c r="T99" i="39"/>
  <c r="U99" i="39"/>
  <c r="V99" i="39"/>
  <c r="W99" i="39"/>
  <c r="X99" i="39"/>
  <c r="Y99" i="39"/>
  <c r="Z99" i="39"/>
  <c r="AA99" i="39"/>
  <c r="AB99" i="39"/>
  <c r="AC99" i="39"/>
  <c r="AD99" i="39"/>
  <c r="AE99" i="39"/>
  <c r="AF99" i="39"/>
  <c r="AG99" i="39"/>
  <c r="AH99" i="39"/>
  <c r="AI99" i="39"/>
  <c r="AJ99" i="39"/>
  <c r="AK99" i="39"/>
  <c r="AL99" i="39"/>
  <c r="AM99" i="39"/>
  <c r="AN99" i="39"/>
  <c r="AO99" i="39"/>
  <c r="AP99" i="39"/>
  <c r="AQ99" i="39"/>
  <c r="Q100" i="39"/>
  <c r="R100" i="39"/>
  <c r="S100" i="39"/>
  <c r="T100" i="39"/>
  <c r="U100" i="39"/>
  <c r="V100" i="39"/>
  <c r="W100" i="39"/>
  <c r="X100" i="39"/>
  <c r="Y100" i="39"/>
  <c r="Z100" i="39"/>
  <c r="AA100" i="39"/>
  <c r="AB100" i="39"/>
  <c r="AC100" i="39"/>
  <c r="AD100" i="39"/>
  <c r="AE100" i="39"/>
  <c r="AF100" i="39"/>
  <c r="AG100" i="39"/>
  <c r="AH100" i="39"/>
  <c r="AI100" i="39"/>
  <c r="AJ100" i="39"/>
  <c r="AK100" i="39"/>
  <c r="AL100" i="39"/>
  <c r="AM100" i="39"/>
  <c r="AN100" i="39"/>
  <c r="AO100" i="39"/>
  <c r="AP100" i="39"/>
  <c r="AQ100" i="39"/>
  <c r="Q101" i="39"/>
  <c r="R101" i="39"/>
  <c r="S101" i="39"/>
  <c r="T101" i="39"/>
  <c r="U101" i="39"/>
  <c r="V101" i="39"/>
  <c r="W101" i="39"/>
  <c r="X101" i="39"/>
  <c r="Y101" i="39"/>
  <c r="Z101" i="39"/>
  <c r="AA101" i="39"/>
  <c r="AB101" i="39"/>
  <c r="AC101" i="39"/>
  <c r="AD101" i="39"/>
  <c r="AE101" i="39"/>
  <c r="AF101" i="39"/>
  <c r="AG101" i="39"/>
  <c r="AH101" i="39"/>
  <c r="AI101" i="39"/>
  <c r="AJ101" i="39"/>
  <c r="AK101" i="39"/>
  <c r="AL101" i="39"/>
  <c r="AM101" i="39"/>
  <c r="AN101" i="39"/>
  <c r="AO101" i="39"/>
  <c r="AP101" i="39"/>
  <c r="AQ101" i="39"/>
  <c r="Q102" i="39"/>
  <c r="R102" i="39"/>
  <c r="S102" i="39"/>
  <c r="T102" i="39"/>
  <c r="U102" i="39"/>
  <c r="V102" i="39"/>
  <c r="W102" i="39"/>
  <c r="X102" i="39"/>
  <c r="Y102" i="39"/>
  <c r="Z102" i="39"/>
  <c r="AA102" i="39"/>
  <c r="AB102" i="39"/>
  <c r="AC102" i="39"/>
  <c r="AD102" i="39"/>
  <c r="AE102" i="39"/>
  <c r="AF102" i="39"/>
  <c r="AG102" i="39"/>
  <c r="AH102" i="39"/>
  <c r="AI102" i="39"/>
  <c r="AJ102" i="39"/>
  <c r="AK102" i="39"/>
  <c r="AL102" i="39"/>
  <c r="AM102" i="39"/>
  <c r="AN102" i="39"/>
  <c r="AO102" i="39"/>
  <c r="AP102" i="39"/>
  <c r="AQ102" i="39"/>
  <c r="Q103" i="39"/>
  <c r="R103" i="39"/>
  <c r="S103" i="39"/>
  <c r="T103" i="39"/>
  <c r="U103" i="39"/>
  <c r="V103" i="39"/>
  <c r="W103" i="39"/>
  <c r="X103" i="39"/>
  <c r="Y103" i="39"/>
  <c r="Z103" i="39"/>
  <c r="AA103" i="39"/>
  <c r="AB103" i="39"/>
  <c r="AC103" i="39"/>
  <c r="AD103" i="39"/>
  <c r="AE103" i="39"/>
  <c r="AF103" i="39"/>
  <c r="AG103" i="39"/>
  <c r="AH103" i="39"/>
  <c r="AI103" i="39"/>
  <c r="AJ103" i="39"/>
  <c r="AK103" i="39"/>
  <c r="AL103" i="39"/>
  <c r="AM103" i="39"/>
  <c r="AN103" i="39"/>
  <c r="AO103" i="39"/>
  <c r="AP103" i="39"/>
  <c r="AQ103" i="39"/>
  <c r="Q104" i="39"/>
  <c r="R104" i="39"/>
  <c r="S104" i="39"/>
  <c r="T104" i="39"/>
  <c r="U104" i="39"/>
  <c r="V104" i="39"/>
  <c r="W104" i="39"/>
  <c r="X104" i="39"/>
  <c r="Y104" i="39"/>
  <c r="Z104" i="39"/>
  <c r="AA104" i="39"/>
  <c r="AB104" i="39"/>
  <c r="AC104" i="39"/>
  <c r="AD104" i="39"/>
  <c r="AE104" i="39"/>
  <c r="AF104" i="39"/>
  <c r="AG104" i="39"/>
  <c r="AH104" i="39"/>
  <c r="AI104" i="39"/>
  <c r="AJ104" i="39"/>
  <c r="AK104" i="39"/>
  <c r="AL104" i="39"/>
  <c r="AM104" i="39"/>
  <c r="AN104" i="39"/>
  <c r="AO104" i="39"/>
  <c r="AP104" i="39"/>
  <c r="AQ104" i="39"/>
  <c r="Q105" i="39"/>
  <c r="R105" i="39"/>
  <c r="S105" i="39"/>
  <c r="T105" i="39"/>
  <c r="U105" i="39"/>
  <c r="V105" i="39"/>
  <c r="W105" i="39"/>
  <c r="X105" i="39"/>
  <c r="Y105" i="39"/>
  <c r="Z105" i="39"/>
  <c r="AA105" i="39"/>
  <c r="AB105" i="39"/>
  <c r="AC105" i="39"/>
  <c r="AD105" i="39"/>
  <c r="AE105" i="39"/>
  <c r="AF105" i="39"/>
  <c r="AG105" i="39"/>
  <c r="AH105" i="39"/>
  <c r="AI105" i="39"/>
  <c r="AJ105" i="39"/>
  <c r="AK105" i="39"/>
  <c r="AL105" i="39"/>
  <c r="AM105" i="39"/>
  <c r="AN105" i="39"/>
  <c r="AO105" i="39"/>
  <c r="AP105" i="39"/>
  <c r="AQ105" i="39"/>
  <c r="Q106" i="39"/>
  <c r="R106" i="39"/>
  <c r="S106" i="39"/>
  <c r="T106" i="39"/>
  <c r="U106" i="39"/>
  <c r="V106" i="39"/>
  <c r="W106" i="39"/>
  <c r="X106" i="39"/>
  <c r="Y106" i="39"/>
  <c r="Z106" i="39"/>
  <c r="AA106" i="39"/>
  <c r="AB106" i="39"/>
  <c r="AC106" i="39"/>
  <c r="AD106" i="39"/>
  <c r="AE106" i="39"/>
  <c r="AF106" i="39"/>
  <c r="AG106" i="39"/>
  <c r="AH106" i="39"/>
  <c r="AI106" i="39"/>
  <c r="AJ106" i="39"/>
  <c r="AK106" i="39"/>
  <c r="AL106" i="39"/>
  <c r="AM106" i="39"/>
  <c r="AN106" i="39"/>
  <c r="AO106" i="39"/>
  <c r="AP106" i="39"/>
  <c r="AQ106" i="39"/>
  <c r="Q107" i="39"/>
  <c r="R107" i="39"/>
  <c r="S107" i="39"/>
  <c r="T107" i="39"/>
  <c r="U107" i="39"/>
  <c r="V107" i="39"/>
  <c r="W107" i="39"/>
  <c r="X107" i="39"/>
  <c r="Y107" i="39"/>
  <c r="Z107" i="39"/>
  <c r="AA107" i="39"/>
  <c r="AB107" i="39"/>
  <c r="AC107" i="39"/>
  <c r="AD107" i="39"/>
  <c r="AE107" i="39"/>
  <c r="AF107" i="39"/>
  <c r="AG107" i="39"/>
  <c r="AH107" i="39"/>
  <c r="AI107" i="39"/>
  <c r="AJ107" i="39"/>
  <c r="AK107" i="39"/>
  <c r="AL107" i="39"/>
  <c r="AM107" i="39"/>
  <c r="AN107" i="39"/>
  <c r="AO107" i="39"/>
  <c r="AP107" i="39"/>
  <c r="AQ107" i="39"/>
  <c r="Q108" i="39"/>
  <c r="R108" i="39"/>
  <c r="S108" i="39"/>
  <c r="T108" i="39"/>
  <c r="U108" i="39"/>
  <c r="V108" i="39"/>
  <c r="W108" i="39"/>
  <c r="X108" i="39"/>
  <c r="Y108" i="39"/>
  <c r="Z108" i="39"/>
  <c r="AA108" i="39"/>
  <c r="AB108" i="39"/>
  <c r="AC108" i="39"/>
  <c r="AD108" i="39"/>
  <c r="AE108" i="39"/>
  <c r="AF108" i="39"/>
  <c r="AG108" i="39"/>
  <c r="AH108" i="39"/>
  <c r="AI108" i="39"/>
  <c r="AJ108" i="39"/>
  <c r="AK108" i="39"/>
  <c r="AL108" i="39"/>
  <c r="AM108" i="39"/>
  <c r="AN108" i="39"/>
  <c r="AO108" i="39"/>
  <c r="AP108" i="39"/>
  <c r="AQ108" i="39"/>
  <c r="Q109" i="39"/>
  <c r="R109" i="39"/>
  <c r="S109" i="39"/>
  <c r="T109" i="39"/>
  <c r="U109" i="39"/>
  <c r="V109" i="39"/>
  <c r="W109" i="39"/>
  <c r="X109" i="39"/>
  <c r="Y109" i="39"/>
  <c r="Z109" i="39"/>
  <c r="AA109" i="39"/>
  <c r="AB109" i="39"/>
  <c r="AC109" i="39"/>
  <c r="AD109" i="39"/>
  <c r="AE109" i="39"/>
  <c r="AF109" i="39"/>
  <c r="AG109" i="39"/>
  <c r="AH109" i="39"/>
  <c r="AI109" i="39"/>
  <c r="AJ109" i="39"/>
  <c r="AK109" i="39"/>
  <c r="AL109" i="39"/>
  <c r="AM109" i="39"/>
  <c r="AN109" i="39"/>
  <c r="AO109" i="39"/>
  <c r="AP109" i="39"/>
  <c r="AQ109" i="39"/>
  <c r="Q110" i="39"/>
  <c r="R110" i="39"/>
  <c r="S110" i="39"/>
  <c r="T110" i="39"/>
  <c r="U110" i="39"/>
  <c r="V110" i="39"/>
  <c r="W110" i="39"/>
  <c r="X110" i="39"/>
  <c r="Y110" i="39"/>
  <c r="Z110" i="39"/>
  <c r="AA110" i="39"/>
  <c r="AB110" i="38"/>
  <c r="AB110" i="39"/>
  <c r="AC110" i="39"/>
  <c r="AD110" i="39"/>
  <c r="AE110" i="39"/>
  <c r="AF110" i="39"/>
  <c r="AG110" i="38"/>
  <c r="AG110" i="39"/>
  <c r="AH110" i="39"/>
  <c r="AI110" i="39"/>
  <c r="AJ110" i="39"/>
  <c r="AK110" i="39"/>
  <c r="AL110" i="38"/>
  <c r="AL110" i="39"/>
  <c r="AM110" i="39"/>
  <c r="AN110" i="39"/>
  <c r="AO110" i="39"/>
  <c r="AP110" i="39"/>
  <c r="AQ110" i="38"/>
  <c r="AQ110" i="39"/>
  <c r="Q111" i="39"/>
  <c r="R111" i="39"/>
  <c r="S111" i="39"/>
  <c r="T111" i="39"/>
  <c r="U111" i="39"/>
  <c r="V111" i="39"/>
  <c r="W111" i="39"/>
  <c r="X111" i="39"/>
  <c r="Y111" i="39"/>
  <c r="Z111" i="39"/>
  <c r="AA111" i="39"/>
  <c r="AB111" i="39"/>
  <c r="AC111" i="39"/>
  <c r="AD111" i="39"/>
  <c r="AE111" i="39"/>
  <c r="AF111" i="39"/>
  <c r="AG111" i="39"/>
  <c r="AH111" i="39"/>
  <c r="AI111" i="39"/>
  <c r="AJ111" i="39"/>
  <c r="AK111" i="39"/>
  <c r="AL111" i="39"/>
  <c r="AM111" i="39"/>
  <c r="AN111" i="39"/>
  <c r="AO111" i="39"/>
  <c r="AP111" i="39"/>
  <c r="AQ111" i="39"/>
  <c r="Q112" i="39"/>
  <c r="R112" i="39"/>
  <c r="S112" i="39"/>
  <c r="T112" i="39"/>
  <c r="U112" i="39"/>
  <c r="V112" i="39"/>
  <c r="W112" i="39"/>
  <c r="X112" i="39"/>
  <c r="Y112" i="39"/>
  <c r="Z112" i="39"/>
  <c r="AA112" i="39"/>
  <c r="AB112" i="39"/>
  <c r="AC112" i="39"/>
  <c r="AD112" i="39"/>
  <c r="AE112" i="39"/>
  <c r="AF112" i="39"/>
  <c r="AG112" i="39"/>
  <c r="AH112" i="39"/>
  <c r="AI112" i="39"/>
  <c r="AJ112" i="39"/>
  <c r="AK112" i="39"/>
  <c r="AL112" i="39"/>
  <c r="AM112" i="39"/>
  <c r="AN112" i="39"/>
  <c r="AO112" i="39"/>
  <c r="AP112" i="39"/>
  <c r="AQ112" i="39"/>
  <c r="Q113" i="39"/>
  <c r="R113" i="39"/>
  <c r="S113" i="39"/>
  <c r="T113" i="39"/>
  <c r="U113" i="39"/>
  <c r="V113" i="39"/>
  <c r="W113" i="39"/>
  <c r="X113" i="39"/>
  <c r="Y113" i="39"/>
  <c r="Z113" i="39"/>
  <c r="AA113" i="39"/>
  <c r="AB113" i="39"/>
  <c r="AC113" i="39"/>
  <c r="AD113" i="39"/>
  <c r="AE113" i="39"/>
  <c r="AF113" i="39"/>
  <c r="AG113" i="39"/>
  <c r="AH113" i="39"/>
  <c r="AI113" i="39"/>
  <c r="AJ113" i="39"/>
  <c r="AK113" i="39"/>
  <c r="AL113" i="39"/>
  <c r="AM113" i="39"/>
  <c r="AN113" i="39"/>
  <c r="AO113" i="39"/>
  <c r="AP113" i="39"/>
  <c r="AQ113" i="39"/>
  <c r="Q114" i="39"/>
  <c r="R114" i="39"/>
  <c r="S114" i="39"/>
  <c r="T114" i="39"/>
  <c r="U114" i="39"/>
  <c r="V114" i="39"/>
  <c r="W114" i="39"/>
  <c r="X114" i="39"/>
  <c r="Y114" i="38"/>
  <c r="Y114" i="39"/>
  <c r="Z114" i="38"/>
  <c r="Z114" i="39"/>
  <c r="AA114" i="38"/>
  <c r="AA114" i="39"/>
  <c r="AB114" i="38"/>
  <c r="AB114" i="39"/>
  <c r="AC114" i="38"/>
  <c r="AC114" i="39"/>
  <c r="AD114" i="38"/>
  <c r="AD114" i="39"/>
  <c r="AE114" i="38"/>
  <c r="AE114" i="39"/>
  <c r="AF114" i="38"/>
  <c r="AF114" i="39"/>
  <c r="AG114" i="38"/>
  <c r="AG114" i="39"/>
  <c r="AH114" i="38"/>
  <c r="AH114" i="39"/>
  <c r="AI114" i="38"/>
  <c r="AI114" i="39"/>
  <c r="AJ114" i="38"/>
  <c r="AJ114" i="39"/>
  <c r="AK114" i="38"/>
  <c r="AK114" i="39"/>
  <c r="AL114" i="38"/>
  <c r="AL114" i="39"/>
  <c r="AM114" i="38"/>
  <c r="AM114" i="39"/>
  <c r="AN114" i="38"/>
  <c r="AN114" i="39"/>
  <c r="AO114" i="38"/>
  <c r="AO114" i="39"/>
  <c r="AP114" i="38"/>
  <c r="AP114" i="39"/>
  <c r="AQ114" i="38"/>
  <c r="AQ114" i="39"/>
  <c r="Q115" i="39"/>
  <c r="R115" i="39"/>
  <c r="S115" i="39"/>
  <c r="T115" i="39"/>
  <c r="U115" i="39"/>
  <c r="V115" i="39"/>
  <c r="W115" i="39"/>
  <c r="X115" i="39"/>
  <c r="Y115" i="39"/>
  <c r="Z115" i="39"/>
  <c r="AA115" i="39"/>
  <c r="AB115" i="39"/>
  <c r="AC115" i="39"/>
  <c r="AD115" i="39"/>
  <c r="AE115" i="39"/>
  <c r="AF115" i="39"/>
  <c r="AG115" i="39"/>
  <c r="AH115" i="39"/>
  <c r="AI115" i="39"/>
  <c r="AJ115" i="39"/>
  <c r="AK115" i="39"/>
  <c r="AL115" i="39"/>
  <c r="AM115" i="39"/>
  <c r="AN115" i="39"/>
  <c r="AO115" i="39"/>
  <c r="AP115" i="39"/>
  <c r="AQ115" i="39"/>
  <c r="Q116" i="39"/>
  <c r="R116" i="39"/>
  <c r="S116" i="39"/>
  <c r="T116" i="39"/>
  <c r="U116" i="39"/>
  <c r="V116" i="39"/>
  <c r="W116" i="39"/>
  <c r="X116" i="39"/>
  <c r="Y116" i="38"/>
  <c r="Y116" i="39"/>
  <c r="Z116" i="38"/>
  <c r="Z116" i="39"/>
  <c r="AA116" i="38"/>
  <c r="AA116" i="39"/>
  <c r="AB116" i="38"/>
  <c r="AB116" i="39"/>
  <c r="AC116" i="38"/>
  <c r="AC116" i="39"/>
  <c r="AD116" i="38"/>
  <c r="AD116" i="39"/>
  <c r="AE116" i="38"/>
  <c r="AE116" i="39"/>
  <c r="AF116" i="38"/>
  <c r="AF116" i="39"/>
  <c r="AG116" i="38"/>
  <c r="AG116" i="39"/>
  <c r="AH116" i="38"/>
  <c r="AH116" i="39"/>
  <c r="AI116" i="38"/>
  <c r="AI116" i="39"/>
  <c r="AJ116" i="38"/>
  <c r="AJ116" i="39"/>
  <c r="AK116" i="38"/>
  <c r="AK116" i="39"/>
  <c r="AL116" i="38"/>
  <c r="AL116" i="39"/>
  <c r="AM116" i="38"/>
  <c r="AM116" i="39"/>
  <c r="AN116" i="38"/>
  <c r="AN116" i="39"/>
  <c r="AO116" i="38"/>
  <c r="AO116" i="39"/>
  <c r="AP116" i="38"/>
  <c r="AP116" i="39"/>
  <c r="AQ116" i="38"/>
  <c r="AQ116" i="39"/>
  <c r="Q117" i="39"/>
  <c r="R117" i="39"/>
  <c r="S117" i="39"/>
  <c r="T117" i="39"/>
  <c r="U117" i="39"/>
  <c r="V117" i="39"/>
  <c r="W117" i="39"/>
  <c r="X117" i="39"/>
  <c r="Y117" i="38"/>
  <c r="Y117" i="39"/>
  <c r="Z117" i="38"/>
  <c r="Z117" i="39"/>
  <c r="AA117" i="38"/>
  <c r="AA117" i="39"/>
  <c r="AB117" i="38"/>
  <c r="AB117" i="39"/>
  <c r="AC117" i="38"/>
  <c r="AC117" i="39"/>
  <c r="AD117" i="38"/>
  <c r="AD117" i="39"/>
  <c r="AE117" i="38"/>
  <c r="AE117" i="39"/>
  <c r="AF117" i="38"/>
  <c r="AF117" i="39"/>
  <c r="AG117" i="38"/>
  <c r="AG117" i="39"/>
  <c r="AH117" i="38"/>
  <c r="AH117" i="39"/>
  <c r="AI117" i="38"/>
  <c r="AI117" i="39"/>
  <c r="AJ117" i="38"/>
  <c r="AJ117" i="39"/>
  <c r="AK117" i="38"/>
  <c r="AK117" i="39"/>
  <c r="AL117" i="38"/>
  <c r="AL117" i="39"/>
  <c r="AM117" i="38"/>
  <c r="AM117" i="39"/>
  <c r="AN117" i="38"/>
  <c r="AN117" i="39"/>
  <c r="AO117" i="38"/>
  <c r="AO117" i="39"/>
  <c r="AP117" i="38"/>
  <c r="AP117" i="39"/>
  <c r="AQ117" i="38"/>
  <c r="AQ117" i="39"/>
  <c r="Q118" i="39"/>
  <c r="R118" i="39"/>
  <c r="S118" i="39"/>
  <c r="T118" i="39"/>
  <c r="U118" i="39"/>
  <c r="V118" i="39"/>
  <c r="W118" i="39"/>
  <c r="X118" i="39"/>
  <c r="Y118" i="39"/>
  <c r="Z118" i="39"/>
  <c r="AA118" i="39"/>
  <c r="AB118" i="39"/>
  <c r="AC118" i="39"/>
  <c r="AD118" i="39"/>
  <c r="AE118" i="39"/>
  <c r="AF118" i="39"/>
  <c r="AG118" i="39"/>
  <c r="AH118" i="39"/>
  <c r="AI118" i="39"/>
  <c r="AJ118" i="39"/>
  <c r="AK118" i="39"/>
  <c r="AL118" i="39"/>
  <c r="AM118" i="39"/>
  <c r="AN118" i="39"/>
  <c r="AO118" i="39"/>
  <c r="AP118" i="39"/>
  <c r="AQ118" i="39"/>
  <c r="Q119" i="39"/>
  <c r="R119" i="39"/>
  <c r="S119" i="39"/>
  <c r="T119" i="39"/>
  <c r="U119" i="39"/>
  <c r="V119" i="39"/>
  <c r="W119" i="39"/>
  <c r="X119" i="39"/>
  <c r="Y119" i="39"/>
  <c r="Z119" i="39"/>
  <c r="AA119" i="39"/>
  <c r="AB119" i="39"/>
  <c r="AC119" i="39"/>
  <c r="AD119" i="39"/>
  <c r="AE119" i="39"/>
  <c r="AF119" i="39"/>
  <c r="AG119" i="39"/>
  <c r="AH119" i="39"/>
  <c r="AI119" i="39"/>
  <c r="AJ119" i="39"/>
  <c r="AK119" i="39"/>
  <c r="AL119" i="39"/>
  <c r="AM119" i="39"/>
  <c r="AN119" i="39"/>
  <c r="AO119" i="39"/>
  <c r="AP119" i="39"/>
  <c r="AQ119" i="39"/>
  <c r="Q120" i="39"/>
  <c r="R120" i="39"/>
  <c r="S120" i="39"/>
  <c r="T120" i="39"/>
  <c r="U120" i="39"/>
  <c r="V120" i="39"/>
  <c r="W120" i="39"/>
  <c r="X120" i="39"/>
  <c r="Y120" i="39"/>
  <c r="Z120" i="39"/>
  <c r="AA120" i="39"/>
  <c r="AB120" i="39"/>
  <c r="AC120" i="39"/>
  <c r="AD120" i="39"/>
  <c r="AE120" i="39"/>
  <c r="AF120" i="39"/>
  <c r="AG120" i="39"/>
  <c r="AH120" i="39"/>
  <c r="AI120" i="39"/>
  <c r="AJ120" i="39"/>
  <c r="AK120" i="39"/>
  <c r="AL120" i="39"/>
  <c r="AM120" i="39"/>
  <c r="AN120" i="39"/>
  <c r="AO120" i="39"/>
  <c r="AP120" i="39"/>
  <c r="AQ120" i="39"/>
  <c r="Q121" i="39"/>
  <c r="R121" i="39"/>
  <c r="S121" i="39"/>
  <c r="T121" i="39"/>
  <c r="U121" i="39"/>
  <c r="V121" i="39"/>
  <c r="W121" i="39"/>
  <c r="X121" i="39"/>
  <c r="Y121" i="39"/>
  <c r="Z121" i="39"/>
  <c r="AA121" i="39"/>
  <c r="AB121" i="39"/>
  <c r="AC121" i="39"/>
  <c r="AD121" i="39"/>
  <c r="AE121" i="39"/>
  <c r="AF121" i="39"/>
  <c r="AG121" i="39"/>
  <c r="AH121" i="39"/>
  <c r="AI121" i="39"/>
  <c r="AJ121" i="39"/>
  <c r="AK121" i="39"/>
  <c r="AL121" i="39"/>
  <c r="AM121" i="39"/>
  <c r="AN121" i="39"/>
  <c r="AO121" i="39"/>
  <c r="AP121" i="39"/>
  <c r="AQ121" i="39"/>
  <c r="Q122" i="39"/>
  <c r="R122" i="39"/>
  <c r="S122" i="39"/>
  <c r="T122" i="39"/>
  <c r="U122" i="39"/>
  <c r="V122" i="39"/>
  <c r="W122" i="39"/>
  <c r="X122" i="39"/>
  <c r="Y122" i="39"/>
  <c r="Z122" i="39"/>
  <c r="AA122" i="39"/>
  <c r="AB122" i="39"/>
  <c r="AC122" i="39"/>
  <c r="AD122" i="39"/>
  <c r="AE122" i="39"/>
  <c r="AF122" i="39"/>
  <c r="AG122" i="39"/>
  <c r="AH122" i="39"/>
  <c r="AI122" i="39"/>
  <c r="AJ122" i="39"/>
  <c r="AK122" i="39"/>
  <c r="AL122" i="39"/>
  <c r="AM122" i="39"/>
  <c r="AN122" i="39"/>
  <c r="AO122" i="39"/>
  <c r="AP122" i="39"/>
  <c r="AQ122" i="39"/>
  <c r="Q123" i="39"/>
  <c r="R123" i="39"/>
  <c r="S123" i="39"/>
  <c r="T123" i="39"/>
  <c r="U123" i="39"/>
  <c r="V123" i="39"/>
  <c r="W123" i="39"/>
  <c r="X123" i="39"/>
  <c r="Y123" i="39"/>
  <c r="Z123" i="39"/>
  <c r="AA123" i="39"/>
  <c r="AB123" i="39"/>
  <c r="AC123" i="39"/>
  <c r="AD123" i="39"/>
  <c r="AE123" i="39"/>
  <c r="AF123" i="39"/>
  <c r="AG123" i="39"/>
  <c r="AH123" i="39"/>
  <c r="AI123" i="39"/>
  <c r="AJ123" i="39"/>
  <c r="AK123" i="39"/>
  <c r="AL123" i="39"/>
  <c r="AM123" i="39"/>
  <c r="AN123" i="39"/>
  <c r="AO123" i="39"/>
  <c r="AP123" i="39"/>
  <c r="AQ123" i="39"/>
  <c r="Q124" i="39"/>
  <c r="R124" i="39"/>
  <c r="S124" i="39"/>
  <c r="T124" i="39"/>
  <c r="U124" i="39"/>
  <c r="V124" i="39"/>
  <c r="W124" i="39"/>
  <c r="X124" i="39"/>
  <c r="Y124" i="39"/>
  <c r="Z124" i="39"/>
  <c r="AA124" i="39"/>
  <c r="AB124" i="39"/>
  <c r="AC124" i="39"/>
  <c r="AD124" i="39"/>
  <c r="AE124" i="39"/>
  <c r="AF124" i="39"/>
  <c r="AG124" i="39"/>
  <c r="AH124" i="39"/>
  <c r="AI124" i="39"/>
  <c r="AJ124" i="39"/>
  <c r="AK124" i="39"/>
  <c r="AL124" i="39"/>
  <c r="AM124" i="39"/>
  <c r="AN124" i="39"/>
  <c r="AO124" i="39"/>
  <c r="AP124" i="39"/>
  <c r="AQ124" i="39"/>
  <c r="Q125" i="39"/>
  <c r="R125" i="39"/>
  <c r="S125" i="39"/>
  <c r="T125" i="39"/>
  <c r="U125" i="39"/>
  <c r="V125" i="39"/>
  <c r="W125" i="39"/>
  <c r="X125" i="39"/>
  <c r="Y125" i="39"/>
  <c r="Z125" i="39"/>
  <c r="AA125" i="39"/>
  <c r="AB125" i="38"/>
  <c r="AB125" i="39"/>
  <c r="AC125" i="39"/>
  <c r="AD125" i="39"/>
  <c r="AE125" i="39"/>
  <c r="AF125" i="39"/>
  <c r="AG125" i="38"/>
  <c r="AG125" i="39"/>
  <c r="AH125" i="39"/>
  <c r="AI125" i="39"/>
  <c r="AJ125" i="39"/>
  <c r="AK125" i="39"/>
  <c r="AL125" i="38"/>
  <c r="AL125" i="39"/>
  <c r="AM125" i="39"/>
  <c r="AN125" i="39"/>
  <c r="AO125" i="39"/>
  <c r="AP125" i="39"/>
  <c r="AQ125" i="38"/>
  <c r="AQ125" i="39"/>
  <c r="Q126" i="39"/>
  <c r="R126" i="39"/>
  <c r="S126" i="39"/>
  <c r="T126" i="39"/>
  <c r="U126" i="39"/>
  <c r="V126" i="39"/>
  <c r="W126" i="39"/>
  <c r="X126" i="39"/>
  <c r="Y126" i="39"/>
  <c r="Z126" i="39"/>
  <c r="AA126" i="39"/>
  <c r="AB126" i="39"/>
  <c r="AC126" i="39"/>
  <c r="AD126" i="39"/>
  <c r="AE126" i="39"/>
  <c r="AF126" i="39"/>
  <c r="AG126" i="39"/>
  <c r="AH126" i="39"/>
  <c r="AI126" i="39"/>
  <c r="AJ126" i="39"/>
  <c r="AK126" i="39"/>
  <c r="AL126" i="39"/>
  <c r="AM126" i="39"/>
  <c r="AN126" i="39"/>
  <c r="AO126" i="39"/>
  <c r="AP126" i="39"/>
  <c r="AQ126" i="39"/>
  <c r="Q127" i="39"/>
  <c r="R127" i="39"/>
  <c r="S127" i="39"/>
  <c r="T127" i="39"/>
  <c r="U127" i="39"/>
  <c r="V127" i="39"/>
  <c r="W127" i="39"/>
  <c r="X127" i="39"/>
  <c r="Y127" i="39"/>
  <c r="Z127" i="39"/>
  <c r="AA127" i="39"/>
  <c r="AB127" i="39"/>
  <c r="AC127" i="39"/>
  <c r="AD127" i="39"/>
  <c r="AE127" i="39"/>
  <c r="AF127" i="39"/>
  <c r="AG127" i="39"/>
  <c r="AH127" i="39"/>
  <c r="AI127" i="39"/>
  <c r="AJ127" i="39"/>
  <c r="AK127" i="39"/>
  <c r="AL127" i="39"/>
  <c r="AM127" i="39"/>
  <c r="AN127" i="39"/>
  <c r="AO127" i="39"/>
  <c r="AP127" i="39"/>
  <c r="AQ127" i="39"/>
  <c r="Q128" i="39"/>
  <c r="R128" i="39"/>
  <c r="S128" i="39"/>
  <c r="T128" i="39"/>
  <c r="U128" i="39"/>
  <c r="V128" i="39"/>
  <c r="W128" i="39"/>
  <c r="X128" i="39"/>
  <c r="Y128" i="39"/>
  <c r="Z128" i="39"/>
  <c r="AA128" i="39"/>
  <c r="AB128" i="39"/>
  <c r="AC128" i="39"/>
  <c r="AD128" i="39"/>
  <c r="AE128" i="39"/>
  <c r="AF128" i="39"/>
  <c r="AG128" i="39"/>
  <c r="AH128" i="39"/>
  <c r="AI128" i="39"/>
  <c r="AJ128" i="39"/>
  <c r="AK128" i="39"/>
  <c r="AL128" i="39"/>
  <c r="AM128" i="39"/>
  <c r="AN128" i="39"/>
  <c r="AO128" i="39"/>
  <c r="AP128" i="39"/>
  <c r="AQ128" i="39"/>
  <c r="Q129" i="39"/>
  <c r="R129" i="39"/>
  <c r="S129" i="39"/>
  <c r="T129" i="39"/>
  <c r="U129" i="39"/>
  <c r="V129" i="39"/>
  <c r="W129" i="39"/>
  <c r="X129" i="39"/>
  <c r="Y129" i="38"/>
  <c r="Y129" i="39"/>
  <c r="Z129" i="38"/>
  <c r="Z129" i="39"/>
  <c r="AA129" i="38"/>
  <c r="AA129" i="39"/>
  <c r="AB129" i="38"/>
  <c r="AB129" i="39"/>
  <c r="AC129" i="38"/>
  <c r="AC129" i="39"/>
  <c r="AD129" i="38"/>
  <c r="AD129" i="39"/>
  <c r="AE129" i="38"/>
  <c r="AE129" i="39"/>
  <c r="AF129" i="38"/>
  <c r="AF129" i="39"/>
  <c r="AG129" i="38"/>
  <c r="AG129" i="39"/>
  <c r="AH129" i="38"/>
  <c r="AH129" i="39"/>
  <c r="AI129" i="38"/>
  <c r="AI129" i="39"/>
  <c r="AJ129" i="38"/>
  <c r="AJ129" i="39"/>
  <c r="AK129" i="38"/>
  <c r="AK129" i="39"/>
  <c r="AL129" i="38"/>
  <c r="AL129" i="39"/>
  <c r="AM129" i="38"/>
  <c r="AM129" i="39"/>
  <c r="AN129" i="38"/>
  <c r="AN129" i="39"/>
  <c r="AO129" i="38"/>
  <c r="AO129" i="39"/>
  <c r="AP129" i="38"/>
  <c r="AP129" i="39"/>
  <c r="AQ129" i="38"/>
  <c r="AQ129" i="39"/>
  <c r="Q130" i="39"/>
  <c r="R130" i="39"/>
  <c r="S130" i="39"/>
  <c r="T130" i="39"/>
  <c r="U130" i="39"/>
  <c r="V130" i="39"/>
  <c r="W130" i="39"/>
  <c r="X130" i="39"/>
  <c r="Y130" i="39"/>
  <c r="Z130" i="39"/>
  <c r="AA130" i="39"/>
  <c r="AB130" i="39"/>
  <c r="AC130" i="39"/>
  <c r="AD130" i="39"/>
  <c r="AE130" i="39"/>
  <c r="AF130" i="39"/>
  <c r="AG130" i="39"/>
  <c r="AH130" i="39"/>
  <c r="AI130" i="39"/>
  <c r="AJ130" i="39"/>
  <c r="AK130" i="39"/>
  <c r="AL130" i="39"/>
  <c r="AM130" i="39"/>
  <c r="AN130" i="39"/>
  <c r="AO130" i="39"/>
  <c r="AP130" i="39"/>
  <c r="AQ130" i="39"/>
  <c r="Q131" i="39"/>
  <c r="R131" i="39"/>
  <c r="S131" i="39"/>
  <c r="T131" i="39"/>
  <c r="U131" i="39"/>
  <c r="V131" i="39"/>
  <c r="W131" i="39"/>
  <c r="X131" i="39"/>
  <c r="Y131" i="38"/>
  <c r="Y131" i="39"/>
  <c r="Z131" i="38"/>
  <c r="Z131" i="39"/>
  <c r="AA131" i="38"/>
  <c r="AA131" i="39"/>
  <c r="AB131" i="38"/>
  <c r="AB131" i="39"/>
  <c r="AC131" i="38"/>
  <c r="AC131" i="39"/>
  <c r="AD131" i="38"/>
  <c r="AD131" i="39"/>
  <c r="AE131" i="38"/>
  <c r="AE131" i="39"/>
  <c r="AF131" i="38"/>
  <c r="AF131" i="39"/>
  <c r="AG131" i="38"/>
  <c r="AG131" i="39"/>
  <c r="AH131" i="38"/>
  <c r="AH131" i="39"/>
  <c r="AI131" i="38"/>
  <c r="AI131" i="39"/>
  <c r="AJ131" i="38"/>
  <c r="AJ131" i="39"/>
  <c r="AK131" i="38"/>
  <c r="AK131" i="39"/>
  <c r="AL131" i="38"/>
  <c r="AL131" i="39"/>
  <c r="AM131" i="38"/>
  <c r="AM131" i="39"/>
  <c r="AN131" i="38"/>
  <c r="AN131" i="39"/>
  <c r="AO131" i="38"/>
  <c r="AO131" i="39"/>
  <c r="AP131" i="38"/>
  <c r="AP131" i="39"/>
  <c r="AQ131" i="38"/>
  <c r="AQ131" i="39"/>
  <c r="Q132" i="39"/>
  <c r="R132" i="39"/>
  <c r="S132" i="39"/>
  <c r="T132" i="39"/>
  <c r="U132" i="39"/>
  <c r="V132" i="39"/>
  <c r="W132" i="39"/>
  <c r="X132" i="39"/>
  <c r="Y132" i="38"/>
  <c r="Y132" i="39"/>
  <c r="Z132" i="38"/>
  <c r="Z132" i="39"/>
  <c r="AA132" i="38"/>
  <c r="AA132" i="39"/>
  <c r="AB132" i="38"/>
  <c r="AB132" i="39"/>
  <c r="AC132" i="38"/>
  <c r="AC132" i="39"/>
  <c r="AD132" i="38"/>
  <c r="AD132" i="39"/>
  <c r="AE132" i="38"/>
  <c r="AE132" i="39"/>
  <c r="AF132" i="38"/>
  <c r="AF132" i="39"/>
  <c r="AG132" i="38"/>
  <c r="AG132" i="39"/>
  <c r="AH132" i="38"/>
  <c r="AH132" i="39"/>
  <c r="AI132" i="38"/>
  <c r="AI132" i="39"/>
  <c r="AJ132" i="38"/>
  <c r="AJ132" i="39"/>
  <c r="AK132" i="38"/>
  <c r="AK132" i="39"/>
  <c r="AL132" i="38"/>
  <c r="AL132" i="39"/>
  <c r="AM132" i="38"/>
  <c r="AM132" i="39"/>
  <c r="AN132" i="38"/>
  <c r="AN132" i="39"/>
  <c r="AO132" i="38"/>
  <c r="AO132" i="39"/>
  <c r="AP132" i="38"/>
  <c r="AP132" i="39"/>
  <c r="AQ132" i="38"/>
  <c r="AQ132" i="39"/>
  <c r="Q133" i="39"/>
  <c r="R133" i="39"/>
  <c r="S133" i="39"/>
  <c r="T133" i="39"/>
  <c r="U133" i="39"/>
  <c r="V133" i="39"/>
  <c r="W133" i="39"/>
  <c r="X133" i="39"/>
  <c r="Y133" i="39"/>
  <c r="Z133" i="39"/>
  <c r="AA133" i="39"/>
  <c r="AB133" i="39"/>
  <c r="AC133" i="39"/>
  <c r="AD133" i="39"/>
  <c r="AE133" i="39"/>
  <c r="AF133" i="39"/>
  <c r="AG133" i="39"/>
  <c r="AH133" i="39"/>
  <c r="AI133" i="39"/>
  <c r="AJ133" i="39"/>
  <c r="AK133" i="39"/>
  <c r="AL133" i="39"/>
  <c r="AM133" i="39"/>
  <c r="AN133" i="39"/>
  <c r="AO133" i="39"/>
  <c r="AP133" i="39"/>
  <c r="AQ133" i="39"/>
  <c r="Q134" i="39"/>
  <c r="R134" i="39"/>
  <c r="S134" i="39"/>
  <c r="T134" i="39"/>
  <c r="U134" i="39"/>
  <c r="V134" i="39"/>
  <c r="W134" i="39"/>
  <c r="X134" i="39"/>
  <c r="Y134" i="39"/>
  <c r="Z134" i="39"/>
  <c r="AA134" i="39"/>
  <c r="AB134" i="39"/>
  <c r="AC134" i="39"/>
  <c r="AD134" i="39"/>
  <c r="AE134" i="39"/>
  <c r="AF134" i="39"/>
  <c r="AG134" i="39"/>
  <c r="AH134" i="39"/>
  <c r="AI134" i="39"/>
  <c r="AJ134" i="39"/>
  <c r="AK134" i="39"/>
  <c r="AL134" i="39"/>
  <c r="AM134" i="39"/>
  <c r="AN134" i="39"/>
  <c r="AO134" i="39"/>
  <c r="AP134" i="39"/>
  <c r="AQ134" i="39"/>
  <c r="Q135" i="39"/>
  <c r="R135" i="39"/>
  <c r="S135" i="39"/>
  <c r="T135" i="39"/>
  <c r="U135" i="39"/>
  <c r="V135" i="39"/>
  <c r="W135" i="39"/>
  <c r="X135" i="39"/>
  <c r="Y135" i="39"/>
  <c r="Z135" i="39"/>
  <c r="AA135" i="39"/>
  <c r="AB135" i="39"/>
  <c r="AC135" i="39"/>
  <c r="AD135" i="39"/>
  <c r="AE135" i="39"/>
  <c r="AF135" i="39"/>
  <c r="AG135" i="39"/>
  <c r="AH135" i="39"/>
  <c r="AI135" i="39"/>
  <c r="AJ135" i="39"/>
  <c r="AK135" i="39"/>
  <c r="AL135" i="39"/>
  <c r="AM135" i="39"/>
  <c r="AN135" i="39"/>
  <c r="AO135" i="39"/>
  <c r="AP135" i="39"/>
  <c r="AQ135" i="39"/>
  <c r="Q136" i="39"/>
  <c r="R136" i="39"/>
  <c r="S136" i="39"/>
  <c r="T136" i="39"/>
  <c r="U136" i="39"/>
  <c r="V136" i="39"/>
  <c r="W136" i="39"/>
  <c r="X136" i="39"/>
  <c r="Y136" i="39"/>
  <c r="Z136" i="39"/>
  <c r="AA136" i="39"/>
  <c r="AB136" i="39"/>
  <c r="AC136" i="39"/>
  <c r="AD136" i="39"/>
  <c r="AE136" i="39"/>
  <c r="AF136" i="39"/>
  <c r="AG136" i="39"/>
  <c r="AH136" i="39"/>
  <c r="AI136" i="39"/>
  <c r="AJ136" i="39"/>
  <c r="AK136" i="39"/>
  <c r="AL136" i="39"/>
  <c r="AM136" i="39"/>
  <c r="AN136" i="39"/>
  <c r="AO136" i="39"/>
  <c r="AP136" i="39"/>
  <c r="AQ136" i="39"/>
  <c r="Q137" i="39"/>
  <c r="R137" i="39"/>
  <c r="S137" i="39"/>
  <c r="T137" i="39"/>
  <c r="U137" i="39"/>
  <c r="V137" i="39"/>
  <c r="W137" i="39"/>
  <c r="X137" i="39"/>
  <c r="Y137" i="39"/>
  <c r="Z137" i="39"/>
  <c r="AA137" i="39"/>
  <c r="AB137" i="39"/>
  <c r="AC137" i="39"/>
  <c r="AD137" i="39"/>
  <c r="AE137" i="39"/>
  <c r="AF137" i="39"/>
  <c r="AG137" i="39"/>
  <c r="AH137" i="39"/>
  <c r="AI137" i="39"/>
  <c r="AJ137" i="39"/>
  <c r="AK137" i="39"/>
  <c r="AL137" i="39"/>
  <c r="AM137" i="39"/>
  <c r="AN137" i="39"/>
  <c r="AO137" i="39"/>
  <c r="AP137" i="39"/>
  <c r="AQ137" i="39"/>
  <c r="Q138" i="39"/>
  <c r="R138" i="39"/>
  <c r="S138" i="39"/>
  <c r="T138" i="39"/>
  <c r="U138" i="39"/>
  <c r="V138" i="39"/>
  <c r="W138" i="39"/>
  <c r="X138" i="39"/>
  <c r="Y138" i="39"/>
  <c r="Z138" i="39"/>
  <c r="AA138" i="39"/>
  <c r="AB138" i="38"/>
  <c r="AB138" i="39"/>
  <c r="AC138" i="39"/>
  <c r="AD138" i="39"/>
  <c r="AE138" i="39"/>
  <c r="AF138" i="39"/>
  <c r="AG138" i="38"/>
  <c r="AG138" i="39"/>
  <c r="AH138" i="39"/>
  <c r="AI138" i="39"/>
  <c r="AJ138" i="39"/>
  <c r="AK138" i="39"/>
  <c r="AL138" i="38"/>
  <c r="AL138" i="39"/>
  <c r="AM138" i="39"/>
  <c r="AN138" i="39"/>
  <c r="AO138" i="39"/>
  <c r="AP138" i="39"/>
  <c r="AQ138" i="38"/>
  <c r="AQ138" i="39"/>
  <c r="Q139" i="39"/>
  <c r="R139" i="39"/>
  <c r="S139" i="39"/>
  <c r="T139" i="39"/>
  <c r="U139" i="39"/>
  <c r="V139" i="39"/>
  <c r="W139" i="39"/>
  <c r="X139" i="39"/>
  <c r="Y139" i="39"/>
  <c r="Z139" i="39"/>
  <c r="AA139" i="39"/>
  <c r="AB139" i="39"/>
  <c r="AC139" i="39"/>
  <c r="AD139" i="39"/>
  <c r="AE139" i="39"/>
  <c r="AF139" i="39"/>
  <c r="AG139" i="39"/>
  <c r="AH139" i="39"/>
  <c r="AI139" i="39"/>
  <c r="AJ139" i="39"/>
  <c r="AK139" i="39"/>
  <c r="AL139" i="39"/>
  <c r="AM139" i="39"/>
  <c r="AN139" i="39"/>
  <c r="AO139" i="39"/>
  <c r="AP139" i="39"/>
  <c r="AQ139" i="39"/>
  <c r="Q140" i="39"/>
  <c r="R140" i="39"/>
  <c r="S140" i="39"/>
  <c r="T140" i="39"/>
  <c r="U140" i="39"/>
  <c r="V140" i="39"/>
  <c r="W140" i="39"/>
  <c r="X140" i="39"/>
  <c r="Y140" i="39"/>
  <c r="Z140" i="39"/>
  <c r="AA140" i="39"/>
  <c r="AB140" i="39"/>
  <c r="AC140" i="39"/>
  <c r="AD140" i="39"/>
  <c r="AE140" i="39"/>
  <c r="AF140" i="39"/>
  <c r="AG140" i="39"/>
  <c r="AH140" i="39"/>
  <c r="AI140" i="39"/>
  <c r="AJ140" i="39"/>
  <c r="AK140" i="39"/>
  <c r="AL140" i="39"/>
  <c r="AM140" i="39"/>
  <c r="AN140" i="39"/>
  <c r="AO140" i="39"/>
  <c r="AP140" i="39"/>
  <c r="AQ140" i="39"/>
  <c r="Q141" i="39"/>
  <c r="R141" i="39"/>
  <c r="S141" i="39"/>
  <c r="T141" i="39"/>
  <c r="U141" i="39"/>
  <c r="V141" i="39"/>
  <c r="W141" i="39"/>
  <c r="X141" i="39"/>
  <c r="Y141" i="38"/>
  <c r="Y141" i="39"/>
  <c r="Z141" i="38"/>
  <c r="Z141" i="39"/>
  <c r="AA141" i="38"/>
  <c r="AA141" i="39"/>
  <c r="AB141" i="38"/>
  <c r="AB141" i="39"/>
  <c r="AC141" i="38"/>
  <c r="AC141" i="39"/>
  <c r="AD141" i="38"/>
  <c r="AD141" i="39"/>
  <c r="AE141" i="38"/>
  <c r="AE141" i="39"/>
  <c r="AF141" i="38"/>
  <c r="AF141" i="39"/>
  <c r="AG141" i="38"/>
  <c r="AG141" i="39"/>
  <c r="AH141" i="38"/>
  <c r="AH141" i="39"/>
  <c r="AI141" i="38"/>
  <c r="AI141" i="39"/>
  <c r="AJ141" i="38"/>
  <c r="AJ141" i="39"/>
  <c r="AK141" i="38"/>
  <c r="AK141" i="39"/>
  <c r="AL141" i="38"/>
  <c r="AL141" i="39"/>
  <c r="AM141" i="38"/>
  <c r="AM141" i="39"/>
  <c r="AN141" i="38"/>
  <c r="AN141" i="39"/>
  <c r="AO141" i="38"/>
  <c r="AO141" i="39"/>
  <c r="AP141" i="38"/>
  <c r="AP141" i="39"/>
  <c r="AQ141" i="38"/>
  <c r="AQ141" i="39"/>
  <c r="Q142" i="39"/>
  <c r="R142" i="39"/>
  <c r="S142" i="39"/>
  <c r="T142" i="39"/>
  <c r="U142" i="39"/>
  <c r="V142" i="39"/>
  <c r="W142" i="39"/>
  <c r="X142" i="39"/>
  <c r="Y142" i="38"/>
  <c r="Y142" i="39"/>
  <c r="Z142" i="38"/>
  <c r="Z142" i="39"/>
  <c r="AA142" i="38"/>
  <c r="AA142" i="39"/>
  <c r="AB142" i="38"/>
  <c r="AB142" i="39"/>
  <c r="AC142" i="38"/>
  <c r="AC142" i="39"/>
  <c r="AD142" i="38"/>
  <c r="AD142" i="39"/>
  <c r="AE142" i="38"/>
  <c r="AE142" i="39"/>
  <c r="AF142" i="38"/>
  <c r="AF142" i="39"/>
  <c r="AG142" i="38"/>
  <c r="AG142" i="39"/>
  <c r="AH142" i="38"/>
  <c r="AH142" i="39"/>
  <c r="AI142" i="38"/>
  <c r="AI142" i="39"/>
  <c r="AJ142" i="38"/>
  <c r="AJ142" i="39"/>
  <c r="AK142" i="38"/>
  <c r="AK142" i="39"/>
  <c r="AL142" i="38"/>
  <c r="AL142" i="39"/>
  <c r="AM142" i="38"/>
  <c r="AM142" i="39"/>
  <c r="AN142" i="38"/>
  <c r="AN142" i="39"/>
  <c r="AO142" i="38"/>
  <c r="AO142" i="39"/>
  <c r="AP142" i="38"/>
  <c r="AP142" i="39"/>
  <c r="AQ142" i="38"/>
  <c r="AQ142" i="39"/>
  <c r="Q143" i="39"/>
  <c r="R143" i="39"/>
  <c r="S143" i="39"/>
  <c r="T143" i="39"/>
  <c r="U143" i="39"/>
  <c r="V143" i="39"/>
  <c r="W143" i="39"/>
  <c r="X143" i="39"/>
  <c r="Y143" i="39"/>
  <c r="Z143" i="39"/>
  <c r="AA143" i="39"/>
  <c r="AB143" i="39"/>
  <c r="AC143" i="39"/>
  <c r="AD143" i="39"/>
  <c r="AE143" i="39"/>
  <c r="AF143" i="39"/>
  <c r="AG143" i="39"/>
  <c r="AH143" i="39"/>
  <c r="AI143" i="39"/>
  <c r="AJ143" i="39"/>
  <c r="AK143" i="39"/>
  <c r="AL143" i="39"/>
  <c r="AM143" i="39"/>
  <c r="AN143" i="39"/>
  <c r="AO143" i="39"/>
  <c r="AP143" i="39"/>
  <c r="AQ143" i="39"/>
  <c r="Q144" i="39"/>
  <c r="R144" i="39"/>
  <c r="S144" i="39"/>
  <c r="T144" i="39"/>
  <c r="U144" i="39"/>
  <c r="V144" i="39"/>
  <c r="W144" i="39"/>
  <c r="X144" i="38"/>
  <c r="X144" i="39"/>
  <c r="Y144" i="38"/>
  <c r="Y144" i="39"/>
  <c r="Z144" i="39"/>
  <c r="AA144" i="39"/>
  <c r="AB144" i="39"/>
  <c r="AC144" i="38"/>
  <c r="AC144" i="39"/>
  <c r="AD144" i="38"/>
  <c r="AD144" i="39"/>
  <c r="AE144" i="39"/>
  <c r="AF144" i="38"/>
  <c r="AF144" i="39"/>
  <c r="AG144" i="39"/>
  <c r="AH144" i="38"/>
  <c r="AH144" i="39"/>
  <c r="AI144" i="38"/>
  <c r="AI144" i="39"/>
  <c r="AJ144" i="39"/>
  <c r="AK144" i="38"/>
  <c r="AK144" i="39"/>
  <c r="AL144" i="39"/>
  <c r="AM144" i="38"/>
  <c r="AM144" i="39"/>
  <c r="AN144" i="38"/>
  <c r="AN144" i="39"/>
  <c r="AO144" i="39"/>
  <c r="AP144" i="38"/>
  <c r="AP144" i="39"/>
  <c r="AQ144" i="39"/>
  <c r="Q145" i="39"/>
  <c r="R145" i="39"/>
  <c r="S145" i="39"/>
  <c r="T145" i="39"/>
  <c r="U145" i="39"/>
  <c r="V145" i="39"/>
  <c r="W145" i="39"/>
  <c r="X145" i="39"/>
  <c r="Y145" i="39"/>
  <c r="Z145" i="39"/>
  <c r="AA145" i="39"/>
  <c r="AB145" i="39"/>
  <c r="AC145" i="39"/>
  <c r="AD145" i="39"/>
  <c r="AE145" i="39"/>
  <c r="AF145" i="39"/>
  <c r="AG145" i="39"/>
  <c r="AH145" i="39"/>
  <c r="AI145" i="39"/>
  <c r="AJ145" i="39"/>
  <c r="AK145" i="39"/>
  <c r="AL145" i="39"/>
  <c r="AM145" i="39"/>
  <c r="AN145" i="39"/>
  <c r="AO145" i="39"/>
  <c r="AP145" i="39"/>
  <c r="AQ145" i="39"/>
  <c r="Q146" i="39"/>
  <c r="R146" i="39"/>
  <c r="S146" i="39"/>
  <c r="T146" i="39"/>
  <c r="U146" i="39"/>
  <c r="V146" i="39"/>
  <c r="W146" i="39"/>
  <c r="X146" i="39"/>
  <c r="Y146" i="39"/>
  <c r="Z146" i="39"/>
  <c r="AA146" i="39"/>
  <c r="AB146" i="39"/>
  <c r="AC146" i="39"/>
  <c r="AD146" i="39"/>
  <c r="AE146" i="39"/>
  <c r="AF146" i="39"/>
  <c r="AG146" i="39"/>
  <c r="AH146" i="39"/>
  <c r="AI146" i="39"/>
  <c r="AJ146" i="39"/>
  <c r="AK146" i="39"/>
  <c r="AL146" i="39"/>
  <c r="AM146" i="39"/>
  <c r="AN146" i="39"/>
  <c r="AO146" i="39"/>
  <c r="AP146" i="39"/>
  <c r="AQ146" i="39"/>
  <c r="Q147" i="39"/>
  <c r="R147" i="39"/>
  <c r="S147" i="39"/>
  <c r="T147" i="39"/>
  <c r="U147" i="39"/>
  <c r="V147" i="39"/>
  <c r="W147" i="39"/>
  <c r="X147" i="39"/>
  <c r="Y147" i="39"/>
  <c r="Z147" i="39"/>
  <c r="AA147" i="39"/>
  <c r="AB147" i="39"/>
  <c r="AC147" i="39"/>
  <c r="AD147" i="39"/>
  <c r="AE147" i="39"/>
  <c r="AF147" i="39"/>
  <c r="AG147" i="39"/>
  <c r="AH147" i="39"/>
  <c r="AI147" i="39"/>
  <c r="AJ147" i="39"/>
  <c r="AK147" i="39"/>
  <c r="AL147" i="39"/>
  <c r="AM147" i="39"/>
  <c r="AN147" i="39"/>
  <c r="AO147" i="39"/>
  <c r="AP147" i="39"/>
  <c r="AQ147" i="39"/>
  <c r="Q148" i="38"/>
  <c r="Q148" i="39"/>
  <c r="R148" i="39"/>
  <c r="S148" i="38"/>
  <c r="S148" i="39"/>
  <c r="T148" i="38"/>
  <c r="T148" i="39"/>
  <c r="U148" i="38"/>
  <c r="U148" i="39"/>
  <c r="V148" i="38"/>
  <c r="V148" i="39"/>
  <c r="W148" i="39"/>
  <c r="X148" i="38"/>
  <c r="X148" i="39"/>
  <c r="Y148" i="38"/>
  <c r="Y148" i="39"/>
  <c r="Z148" i="38"/>
  <c r="Z148" i="39"/>
  <c r="AA148" i="38"/>
  <c r="AA148" i="39"/>
  <c r="AB148" i="39"/>
  <c r="AC148" i="38"/>
  <c r="AC148" i="39"/>
  <c r="AD148" i="38"/>
  <c r="AD148" i="39"/>
  <c r="AE148" i="38"/>
  <c r="AE148" i="39"/>
  <c r="AF148" i="38"/>
  <c r="AF148" i="39"/>
  <c r="AG148" i="39"/>
  <c r="AH148" i="38"/>
  <c r="AH148" i="39"/>
  <c r="AI148" i="38"/>
  <c r="AI148" i="39"/>
  <c r="AJ148" i="38"/>
  <c r="AJ148" i="39"/>
  <c r="AK148" i="38"/>
  <c r="AK148" i="39"/>
  <c r="AL148" i="39"/>
  <c r="AM148" i="38"/>
  <c r="AM148" i="39"/>
  <c r="AN148" i="38"/>
  <c r="AN148" i="39"/>
  <c r="AO148" i="38"/>
  <c r="AO148" i="39"/>
  <c r="AP148" i="38"/>
  <c r="AP148" i="39"/>
  <c r="AQ148" i="39"/>
  <c r="Q149" i="39"/>
  <c r="R149" i="39"/>
  <c r="S149" i="39"/>
  <c r="T149" i="39"/>
  <c r="U149" i="39"/>
  <c r="V149" i="39"/>
  <c r="W149" i="39"/>
  <c r="X149" i="39"/>
  <c r="Y149" i="39"/>
  <c r="Z149" i="39"/>
  <c r="AA149" i="39"/>
  <c r="AB149" i="39"/>
  <c r="AC149" i="39"/>
  <c r="AD149" i="39"/>
  <c r="AE149" i="39"/>
  <c r="AF149" i="39"/>
  <c r="AG149" i="39"/>
  <c r="AH149" i="39"/>
  <c r="AI149" i="39"/>
  <c r="AJ149" i="39"/>
  <c r="AK149" i="39"/>
  <c r="AL149" i="39"/>
  <c r="AM149" i="39"/>
  <c r="AN149" i="39"/>
  <c r="AO149" i="39"/>
  <c r="AP149" i="39"/>
  <c r="AQ149" i="39"/>
  <c r="Q150" i="39"/>
  <c r="R150" i="39"/>
  <c r="S150" i="39"/>
  <c r="T150" i="39"/>
  <c r="U150" i="39"/>
  <c r="V150" i="39"/>
  <c r="W150" i="39"/>
  <c r="X150" i="38"/>
  <c r="X150" i="39"/>
  <c r="Y150" i="38"/>
  <c r="Y150" i="39"/>
  <c r="Z150" i="39"/>
  <c r="AA150" i="39"/>
  <c r="AB150" i="38"/>
  <c r="AB150" i="39"/>
  <c r="AC150" i="38"/>
  <c r="AC150" i="39"/>
  <c r="AD150" i="38"/>
  <c r="AD150" i="39"/>
  <c r="AE150" i="39"/>
  <c r="AF150" i="38"/>
  <c r="AF150" i="39"/>
  <c r="AG150" i="38"/>
  <c r="AG150" i="39"/>
  <c r="AH150" i="38"/>
  <c r="AH150" i="39"/>
  <c r="AI150" i="38"/>
  <c r="AI150" i="39"/>
  <c r="AJ150" i="39"/>
  <c r="AK150" i="38"/>
  <c r="AK150" i="39"/>
  <c r="AL150" i="38"/>
  <c r="AL150" i="39"/>
  <c r="AM150" i="38"/>
  <c r="AM150" i="39"/>
  <c r="AN150" i="38"/>
  <c r="AN150" i="39"/>
  <c r="AO150" i="39"/>
  <c r="AP150" i="38"/>
  <c r="AP150" i="39"/>
  <c r="AQ150" i="38"/>
  <c r="AQ150" i="39"/>
  <c r="Q151" i="38"/>
  <c r="Q151" i="39"/>
  <c r="R151" i="38"/>
  <c r="R151" i="39"/>
  <c r="S151" i="38"/>
  <c r="S151" i="39"/>
  <c r="T151" i="38"/>
  <c r="T151" i="39"/>
  <c r="U151" i="38"/>
  <c r="U151" i="39"/>
  <c r="V151" i="38"/>
  <c r="V151" i="39"/>
  <c r="W151" i="38"/>
  <c r="W151" i="39"/>
  <c r="X151" i="38"/>
  <c r="X151" i="39"/>
  <c r="Y151" i="38"/>
  <c r="Y151" i="39"/>
  <c r="Z151" i="38"/>
  <c r="Z151" i="39"/>
  <c r="AA151" i="38"/>
  <c r="AA151" i="39"/>
  <c r="AB151" i="38"/>
  <c r="AB151" i="39"/>
  <c r="AC151" i="38"/>
  <c r="AC151" i="39"/>
  <c r="AD151" i="38"/>
  <c r="AD151" i="39"/>
  <c r="AE151" i="38"/>
  <c r="AE151" i="39"/>
  <c r="AF151" i="38"/>
  <c r="AF151" i="39"/>
  <c r="AG151" i="38"/>
  <c r="AG151" i="39"/>
  <c r="AH151" i="38"/>
  <c r="AH151" i="39"/>
  <c r="AI151" i="38"/>
  <c r="AI151" i="39"/>
  <c r="AJ151" i="38"/>
  <c r="AJ151" i="39"/>
  <c r="AK151" i="38"/>
  <c r="AK151" i="39"/>
  <c r="AL151" i="38"/>
  <c r="AL151" i="39"/>
  <c r="AM151" i="38"/>
  <c r="AM151" i="39"/>
  <c r="AN151" i="38"/>
  <c r="AN151" i="39"/>
  <c r="AO151" i="38"/>
  <c r="AO151" i="39"/>
  <c r="AP151" i="38"/>
  <c r="AP151" i="39"/>
  <c r="AQ151" i="38"/>
  <c r="AQ151" i="39"/>
  <c r="Q152" i="38"/>
  <c r="Q152" i="39"/>
  <c r="R152" i="38"/>
  <c r="R152" i="39"/>
  <c r="S152" i="38"/>
  <c r="S152" i="39"/>
  <c r="T152" i="38"/>
  <c r="T152" i="39"/>
  <c r="U152" i="38"/>
  <c r="U152" i="39"/>
  <c r="V152" i="38"/>
  <c r="V152" i="39"/>
  <c r="W152" i="38"/>
  <c r="W152" i="39"/>
  <c r="X152" i="38"/>
  <c r="X152" i="39"/>
  <c r="Y152" i="38"/>
  <c r="Y152" i="39"/>
  <c r="Z152" i="38"/>
  <c r="Z152" i="39"/>
  <c r="AA152" i="38"/>
  <c r="AA152" i="39"/>
  <c r="AB152" i="38"/>
  <c r="AB152" i="39"/>
  <c r="AC152" i="38"/>
  <c r="AC152" i="39"/>
  <c r="AD152" i="38"/>
  <c r="AD152" i="39"/>
  <c r="AE152" i="38"/>
  <c r="AE152" i="39"/>
  <c r="AF152" i="38"/>
  <c r="AF152" i="39"/>
  <c r="AG152" i="38"/>
  <c r="AG152" i="39"/>
  <c r="AH152" i="38"/>
  <c r="AH152" i="39"/>
  <c r="AI152" i="38"/>
  <c r="AI152" i="39"/>
  <c r="AJ152" i="38"/>
  <c r="AJ152" i="39"/>
  <c r="AK152" i="38"/>
  <c r="AK152" i="39"/>
  <c r="AL152" i="38"/>
  <c r="AL152" i="39"/>
  <c r="AM152" i="38"/>
  <c r="AM152" i="39"/>
  <c r="AN152" i="38"/>
  <c r="AN152" i="39"/>
  <c r="AO152" i="38"/>
  <c r="AO152" i="39"/>
  <c r="AP152" i="38"/>
  <c r="AP152" i="39"/>
  <c r="AQ152" i="38"/>
  <c r="AQ152" i="39"/>
  <c r="Q153" i="39"/>
  <c r="R153" i="39"/>
  <c r="S153" i="39"/>
  <c r="T153" i="39"/>
  <c r="U153" i="39"/>
  <c r="V153" i="39"/>
  <c r="W153" i="38"/>
  <c r="W153" i="39"/>
  <c r="X153" i="39"/>
  <c r="Y153" i="39"/>
  <c r="Z153" i="39"/>
  <c r="AA153" i="39"/>
  <c r="AB153" i="38"/>
  <c r="AB153" i="39"/>
  <c r="AC153" i="39"/>
  <c r="AD153" i="39"/>
  <c r="AE153" i="39"/>
  <c r="AF153" i="39"/>
  <c r="AG153" i="38"/>
  <c r="AG153" i="39"/>
  <c r="AH153" i="39"/>
  <c r="AI153" i="39"/>
  <c r="AJ153" i="39"/>
  <c r="AK153" i="39"/>
  <c r="AL153" i="38"/>
  <c r="AL153" i="39"/>
  <c r="AM153" i="39"/>
  <c r="AN153" i="39"/>
  <c r="AO153" i="39"/>
  <c r="AP153" i="39"/>
  <c r="AQ153" i="38"/>
  <c r="AQ153" i="39"/>
  <c r="Q154" i="39"/>
  <c r="R187" i="38"/>
  <c r="R188" i="38"/>
  <c r="R193" i="38"/>
  <c r="R154" i="38"/>
  <c r="R154" i="39"/>
  <c r="S154" i="39"/>
  <c r="T154" i="39"/>
  <c r="U154" i="39"/>
  <c r="V154" i="39"/>
  <c r="W187" i="38"/>
  <c r="W188" i="38"/>
  <c r="W193" i="38"/>
  <c r="W154" i="38"/>
  <c r="W154" i="39"/>
  <c r="X154" i="39"/>
  <c r="Y154" i="39"/>
  <c r="Z154" i="39"/>
  <c r="AA154" i="39"/>
  <c r="AB187" i="38"/>
  <c r="AB188" i="38"/>
  <c r="AB193" i="38"/>
  <c r="AB154" i="38"/>
  <c r="AB154" i="39"/>
  <c r="AC154" i="39"/>
  <c r="AD154" i="39"/>
  <c r="AE154" i="39"/>
  <c r="AF154" i="39"/>
  <c r="AG187" i="38"/>
  <c r="AG188" i="38"/>
  <c r="AG193" i="38"/>
  <c r="AG154" i="38"/>
  <c r="AG154" i="39"/>
  <c r="AH154" i="39"/>
  <c r="AI154" i="39"/>
  <c r="AJ154" i="39"/>
  <c r="AK154" i="39"/>
  <c r="AL187" i="38"/>
  <c r="AL188" i="38"/>
  <c r="AL193" i="38"/>
  <c r="AL154" i="38"/>
  <c r="AL154" i="39"/>
  <c r="AM154" i="39"/>
  <c r="AN154" i="39"/>
  <c r="AO154" i="39"/>
  <c r="AP154" i="39"/>
  <c r="AP278" i="38"/>
  <c r="AP244" i="38"/>
  <c r="AP219" i="38"/>
  <c r="AP250" i="38"/>
  <c r="AP273" i="38"/>
  <c r="AP218" i="38"/>
  <c r="AP222" i="38"/>
  <c r="AP203" i="38"/>
  <c r="AP204" i="38"/>
  <c r="AP211" i="38"/>
  <c r="AP216" i="38"/>
  <c r="AP223" i="38"/>
  <c r="AP188" i="38"/>
  <c r="AP193" i="38"/>
  <c r="AP262" i="38"/>
  <c r="AP198" i="38"/>
  <c r="AP264" i="38"/>
  <c r="AP263" i="38"/>
  <c r="AP265" i="38"/>
  <c r="AP190" i="38"/>
  <c r="AP254" i="38"/>
  <c r="AP256" i="38"/>
  <c r="AP259" i="38"/>
  <c r="AP189" i="38"/>
  <c r="AP253" i="38"/>
  <c r="AP260" i="38"/>
  <c r="AP275" i="38"/>
  <c r="AP277" i="38"/>
  <c r="AP279" i="38"/>
  <c r="AP187" i="38"/>
  <c r="AQ187" i="38"/>
  <c r="AQ188" i="38"/>
  <c r="AQ193" i="38"/>
  <c r="AQ154" i="38"/>
  <c r="AQ154" i="39"/>
  <c r="Q155" i="39"/>
  <c r="R155" i="39"/>
  <c r="S155" i="39"/>
  <c r="T155" i="39"/>
  <c r="U155" i="39"/>
  <c r="V155" i="39"/>
  <c r="W155" i="39"/>
  <c r="X155" i="39"/>
  <c r="Y155" i="39"/>
  <c r="Z155" i="39"/>
  <c r="AA155" i="39"/>
  <c r="AB155" i="39"/>
  <c r="AC155" i="39"/>
  <c r="AD155" i="39"/>
  <c r="AE155" i="39"/>
  <c r="AF155" i="39"/>
  <c r="AG155" i="39"/>
  <c r="AH155" i="39"/>
  <c r="AI155" i="39"/>
  <c r="AJ155" i="39"/>
  <c r="AK155" i="39"/>
  <c r="AL155" i="39"/>
  <c r="AM155" i="39"/>
  <c r="AN155" i="39"/>
  <c r="AO155" i="39"/>
  <c r="AP155" i="39"/>
  <c r="AQ155" i="39"/>
  <c r="Q156" i="38"/>
  <c r="Q156" i="39"/>
  <c r="R156" i="38"/>
  <c r="R156" i="39"/>
  <c r="S156" i="38"/>
  <c r="S156" i="39"/>
  <c r="T156" i="38"/>
  <c r="T156" i="39"/>
  <c r="U156" i="38"/>
  <c r="U156" i="39"/>
  <c r="V156" i="38"/>
  <c r="V156" i="39"/>
  <c r="W156" i="38"/>
  <c r="W156" i="39"/>
  <c r="X156" i="38"/>
  <c r="X156" i="39"/>
  <c r="Y156" i="38"/>
  <c r="Y156" i="39"/>
  <c r="Z156" i="38"/>
  <c r="Z156" i="39"/>
  <c r="AA156" i="38"/>
  <c r="AA156" i="39"/>
  <c r="AB156" i="38"/>
  <c r="AB156" i="39"/>
  <c r="AC156" i="38"/>
  <c r="AC156" i="39"/>
  <c r="AD156" i="38"/>
  <c r="AD156" i="39"/>
  <c r="AE156" i="38"/>
  <c r="AE156" i="39"/>
  <c r="AF156" i="38"/>
  <c r="AF156" i="39"/>
  <c r="AG156" i="38"/>
  <c r="AG156" i="39"/>
  <c r="AH156" i="38"/>
  <c r="AH156" i="39"/>
  <c r="AI156" i="38"/>
  <c r="AI156" i="39"/>
  <c r="AJ156" i="38"/>
  <c r="AJ156" i="39"/>
  <c r="AK156" i="38"/>
  <c r="AK156" i="39"/>
  <c r="AL156" i="38"/>
  <c r="AL156" i="39"/>
  <c r="AM156" i="38"/>
  <c r="AM156" i="39"/>
  <c r="AN156" i="38"/>
  <c r="AN156" i="39"/>
  <c r="AO156" i="38"/>
  <c r="AO156" i="39"/>
  <c r="AP156" i="38"/>
  <c r="AP156" i="39"/>
  <c r="AQ156" i="38"/>
  <c r="AQ156" i="39"/>
  <c r="Q157" i="38"/>
  <c r="Q157" i="39"/>
  <c r="R157" i="38"/>
  <c r="R157" i="39"/>
  <c r="S157" i="38"/>
  <c r="S157" i="39"/>
  <c r="T157" i="38"/>
  <c r="T157" i="39"/>
  <c r="U157" i="38"/>
  <c r="U157" i="39"/>
  <c r="V157" i="38"/>
  <c r="V157" i="39"/>
  <c r="W157" i="38"/>
  <c r="W157" i="39"/>
  <c r="X157" i="38"/>
  <c r="X157" i="39"/>
  <c r="Y157" i="38"/>
  <c r="Y157" i="39"/>
  <c r="Z157" i="38"/>
  <c r="Z157" i="39"/>
  <c r="AA157" i="38"/>
  <c r="AA157" i="39"/>
  <c r="AB157" i="38"/>
  <c r="AB157" i="39"/>
  <c r="AC157" i="38"/>
  <c r="AC157" i="39"/>
  <c r="AD157" i="38"/>
  <c r="AD157" i="39"/>
  <c r="AE157" i="38"/>
  <c r="AE157" i="39"/>
  <c r="AF157" i="38"/>
  <c r="AF157" i="39"/>
  <c r="AG157" i="38"/>
  <c r="AG157" i="39"/>
  <c r="AH157" i="38"/>
  <c r="AH157" i="39"/>
  <c r="AI157" i="38"/>
  <c r="AI157" i="39"/>
  <c r="AJ157" i="38"/>
  <c r="AJ157" i="39"/>
  <c r="AK157" i="38"/>
  <c r="AK157" i="39"/>
  <c r="AL157" i="38"/>
  <c r="AL157" i="39"/>
  <c r="AM157" i="38"/>
  <c r="AM157" i="39"/>
  <c r="AN157" i="38"/>
  <c r="AN157" i="39"/>
  <c r="AO157" i="38"/>
  <c r="AO157" i="39"/>
  <c r="AP157" i="38"/>
  <c r="AP157" i="39"/>
  <c r="AQ244" i="38"/>
  <c r="AQ254" i="38"/>
  <c r="AQ256" i="38"/>
  <c r="AQ259" i="38"/>
  <c r="AQ245" i="38"/>
  <c r="AQ250" i="38"/>
  <c r="AQ253" i="38"/>
  <c r="AQ260" i="38"/>
  <c r="AQ157" i="38"/>
  <c r="AQ157" i="39"/>
  <c r="C317" i="38"/>
  <c r="Q280" i="38"/>
  <c r="L280" i="38"/>
  <c r="Q158" i="38"/>
  <c r="Q158" i="39"/>
  <c r="N280" i="38"/>
  <c r="O280" i="38"/>
  <c r="P280" i="38"/>
  <c r="R280" i="38"/>
  <c r="I280" i="38"/>
  <c r="J280" i="38"/>
  <c r="K280" i="38"/>
  <c r="M280" i="38"/>
  <c r="R158" i="38"/>
  <c r="R158" i="39"/>
  <c r="S280" i="38"/>
  <c r="S158" i="38"/>
  <c r="S158" i="39"/>
  <c r="T280" i="38"/>
  <c r="T158" i="38"/>
  <c r="T158" i="39"/>
  <c r="U280" i="38"/>
  <c r="U158" i="38"/>
  <c r="U158" i="39"/>
  <c r="V280" i="38"/>
  <c r="V158" i="38"/>
  <c r="V158" i="39"/>
  <c r="W280" i="38"/>
  <c r="W158" i="38"/>
  <c r="W158" i="39"/>
  <c r="X280" i="38"/>
  <c r="X158" i="38"/>
  <c r="X158" i="39"/>
  <c r="Y280" i="38"/>
  <c r="Y158" i="38"/>
  <c r="Y158" i="39"/>
  <c r="Z280" i="38"/>
  <c r="Z158" i="38"/>
  <c r="Z158" i="39"/>
  <c r="AA280" i="38"/>
  <c r="AA158" i="38"/>
  <c r="AA158" i="39"/>
  <c r="AB280" i="38"/>
  <c r="AB158" i="38"/>
  <c r="AB158" i="39"/>
  <c r="AC280" i="38"/>
  <c r="AC158" i="38"/>
  <c r="AC158" i="39"/>
  <c r="AD280" i="38"/>
  <c r="AD158" i="38"/>
  <c r="AD158" i="39"/>
  <c r="AE280" i="38"/>
  <c r="AE158" i="38"/>
  <c r="AE158" i="39"/>
  <c r="AF280" i="38"/>
  <c r="AF158" i="38"/>
  <c r="AF158" i="39"/>
  <c r="AG280" i="38"/>
  <c r="AG158" i="38"/>
  <c r="AG158" i="39"/>
  <c r="AH280" i="38"/>
  <c r="AH158" i="38"/>
  <c r="AH158" i="39"/>
  <c r="AI280" i="38"/>
  <c r="AI158" i="38"/>
  <c r="AI158" i="39"/>
  <c r="AJ280" i="38"/>
  <c r="AJ158" i="38"/>
  <c r="AJ158" i="39"/>
  <c r="AK280" i="38"/>
  <c r="AK158" i="38"/>
  <c r="AK158" i="39"/>
  <c r="AL280" i="38"/>
  <c r="AL158" i="38"/>
  <c r="AL158" i="39"/>
  <c r="AM280" i="38"/>
  <c r="AM158" i="38"/>
  <c r="AM158" i="39"/>
  <c r="AN280" i="38"/>
  <c r="AN158" i="38"/>
  <c r="AN158" i="39"/>
  <c r="AO280" i="38"/>
  <c r="AO158" i="38"/>
  <c r="AO158" i="39"/>
  <c r="AP280" i="38"/>
  <c r="AP158" i="38"/>
  <c r="AP158" i="39"/>
  <c r="AQ280" i="38"/>
  <c r="AQ158" i="38"/>
  <c r="AQ158" i="39"/>
  <c r="Q159" i="39"/>
  <c r="R159" i="39"/>
  <c r="S159" i="39"/>
  <c r="T159" i="39"/>
  <c r="U159" i="39"/>
  <c r="V159" i="39"/>
  <c r="W159" i="39"/>
  <c r="X159" i="39"/>
  <c r="Y159" i="39"/>
  <c r="Z159" i="39"/>
  <c r="AA159" i="39"/>
  <c r="AB159" i="39"/>
  <c r="AC159" i="39"/>
  <c r="AD159" i="39"/>
  <c r="AE159" i="39"/>
  <c r="AF159" i="39"/>
  <c r="AG159" i="39"/>
  <c r="AH159" i="39"/>
  <c r="AI159" i="39"/>
  <c r="AJ159" i="39"/>
  <c r="AK159" i="39"/>
  <c r="AL159" i="39"/>
  <c r="AM159" i="39"/>
  <c r="AN159" i="39"/>
  <c r="AO159" i="39"/>
  <c r="AP159" i="39"/>
  <c r="AQ159" i="39"/>
  <c r="Q160" i="39"/>
  <c r="R160" i="39"/>
  <c r="S160" i="39"/>
  <c r="T160" i="39"/>
  <c r="U160" i="39"/>
  <c r="V160" i="39"/>
  <c r="W160" i="39"/>
  <c r="X160" i="39"/>
  <c r="Y160" i="39"/>
  <c r="Z160" i="39"/>
  <c r="AA160" i="39"/>
  <c r="AB160" i="39"/>
  <c r="AC160" i="39"/>
  <c r="AD160" i="39"/>
  <c r="AE160" i="39"/>
  <c r="AF160" i="39"/>
  <c r="AG160" i="39"/>
  <c r="AH160" i="39"/>
  <c r="AI160" i="39"/>
  <c r="AJ160" i="39"/>
  <c r="AK160" i="39"/>
  <c r="AL160" i="39"/>
  <c r="AM160" i="39"/>
  <c r="AN160" i="39"/>
  <c r="AO160" i="39"/>
  <c r="AP160" i="39"/>
  <c r="AQ160" i="39"/>
  <c r="Q161" i="39"/>
  <c r="R161" i="39"/>
  <c r="S161" i="39"/>
  <c r="T161" i="39"/>
  <c r="U161" i="39"/>
  <c r="V161" i="39"/>
  <c r="W161" i="39"/>
  <c r="X161" i="39"/>
  <c r="Y161" i="39"/>
  <c r="Z161" i="39"/>
  <c r="AA161" i="39"/>
  <c r="AB161" i="39"/>
  <c r="AC161" i="39"/>
  <c r="AD161" i="39"/>
  <c r="AE161" i="39"/>
  <c r="AF161" i="39"/>
  <c r="AG161" i="39"/>
  <c r="AH161" i="39"/>
  <c r="AI161" i="39"/>
  <c r="AJ161" i="39"/>
  <c r="AK161" i="39"/>
  <c r="AL161" i="39"/>
  <c r="AM161" i="39"/>
  <c r="AN161" i="39"/>
  <c r="AO161" i="39"/>
  <c r="AP161" i="39"/>
  <c r="AQ161" i="39"/>
  <c r="Q162" i="39"/>
  <c r="R162" i="39"/>
  <c r="S162" i="39"/>
  <c r="T162" i="39"/>
  <c r="U162" i="39"/>
  <c r="V162" i="39"/>
  <c r="W162" i="39"/>
  <c r="X162" i="39"/>
  <c r="Y162" i="39"/>
  <c r="Z162" i="39"/>
  <c r="AA162" i="39"/>
  <c r="AB162" i="39"/>
  <c r="AC162" i="39"/>
  <c r="AD162" i="39"/>
  <c r="AE162" i="39"/>
  <c r="AF162" i="39"/>
  <c r="AG162" i="39"/>
  <c r="AH162" i="39"/>
  <c r="AI162" i="39"/>
  <c r="AJ162" i="39"/>
  <c r="AK162" i="39"/>
  <c r="AL162" i="39"/>
  <c r="AM162" i="39"/>
  <c r="AN162" i="39"/>
  <c r="AO162" i="39"/>
  <c r="AP162" i="39"/>
  <c r="AQ162" i="39"/>
  <c r="Q163" i="39"/>
  <c r="R163" i="39"/>
  <c r="S163" i="39"/>
  <c r="T163" i="39"/>
  <c r="U163" i="39"/>
  <c r="V163" i="39"/>
  <c r="W163" i="39"/>
  <c r="X163" i="39"/>
  <c r="Y163" i="39"/>
  <c r="Z163" i="39"/>
  <c r="AA163" i="39"/>
  <c r="AB163" i="39"/>
  <c r="AC163" i="39"/>
  <c r="AD163" i="39"/>
  <c r="AE163" i="39"/>
  <c r="AF163" i="39"/>
  <c r="AG163" i="39"/>
  <c r="AH163" i="39"/>
  <c r="AI163" i="39"/>
  <c r="AJ163" i="39"/>
  <c r="AK163" i="39"/>
  <c r="AL163" i="39"/>
  <c r="AM163" i="39"/>
  <c r="AN163" i="39"/>
  <c r="AO163" i="39"/>
  <c r="AP163" i="39"/>
  <c r="AQ163" i="39"/>
  <c r="Q164" i="39"/>
  <c r="R164" i="39"/>
  <c r="S164" i="39"/>
  <c r="T164" i="39"/>
  <c r="U164" i="39"/>
  <c r="V164" i="39"/>
  <c r="W164" i="39"/>
  <c r="X164" i="39"/>
  <c r="Y164" i="39"/>
  <c r="Z164" i="39"/>
  <c r="AA164" i="39"/>
  <c r="AB164" i="39"/>
  <c r="AC164" i="39"/>
  <c r="AD164" i="39"/>
  <c r="AE164" i="39"/>
  <c r="AF164" i="39"/>
  <c r="AG164" i="39"/>
  <c r="AH164" i="39"/>
  <c r="AI164" i="39"/>
  <c r="AJ164" i="39"/>
  <c r="AK164" i="39"/>
  <c r="AL164" i="39"/>
  <c r="AM164" i="39"/>
  <c r="AN164" i="39"/>
  <c r="AO164" i="39"/>
  <c r="AP164" i="39"/>
  <c r="AQ164" i="39"/>
  <c r="Q165" i="39"/>
  <c r="R165" i="39"/>
  <c r="S165" i="39"/>
  <c r="T165" i="39"/>
  <c r="U165" i="39"/>
  <c r="V165" i="39"/>
  <c r="W165" i="39"/>
  <c r="X165" i="39"/>
  <c r="Y165" i="39"/>
  <c r="Z165" i="39"/>
  <c r="AA165" i="39"/>
  <c r="AB165" i="39"/>
  <c r="AC165" i="39"/>
  <c r="AD165" i="39"/>
  <c r="AE165" i="39"/>
  <c r="AF165" i="39"/>
  <c r="AG165" i="39"/>
  <c r="AH165" i="39"/>
  <c r="AI165" i="39"/>
  <c r="AJ165" i="39"/>
  <c r="AK165" i="39"/>
  <c r="AL165" i="39"/>
  <c r="AM165" i="39"/>
  <c r="AN165" i="39"/>
  <c r="AO165" i="39"/>
  <c r="AP165" i="39"/>
  <c r="AQ165" i="39"/>
  <c r="Q166" i="39"/>
  <c r="R166" i="39"/>
  <c r="S166" i="39"/>
  <c r="T166" i="39"/>
  <c r="U166" i="39"/>
  <c r="V166" i="39"/>
  <c r="W166" i="39"/>
  <c r="X166" i="39"/>
  <c r="Y166" i="39"/>
  <c r="Z166" i="39"/>
  <c r="AA166" i="39"/>
  <c r="AB166" i="39"/>
  <c r="AC166" i="39"/>
  <c r="AD166" i="39"/>
  <c r="AE166" i="39"/>
  <c r="AF166" i="39"/>
  <c r="AG166" i="39"/>
  <c r="AH166" i="39"/>
  <c r="AI166" i="39"/>
  <c r="AJ166" i="39"/>
  <c r="AK166" i="39"/>
  <c r="AL166" i="39"/>
  <c r="AM166" i="39"/>
  <c r="AN166" i="39"/>
  <c r="AO166" i="39"/>
  <c r="AP166" i="39"/>
  <c r="AQ166" i="39"/>
  <c r="Q167" i="39"/>
  <c r="R167" i="39"/>
  <c r="S167" i="39"/>
  <c r="T167" i="39"/>
  <c r="U167" i="39"/>
  <c r="V167" i="39"/>
  <c r="W167" i="39"/>
  <c r="X167" i="39"/>
  <c r="Y167" i="39"/>
  <c r="Z167" i="39"/>
  <c r="AA167" i="39"/>
  <c r="AB167" i="39"/>
  <c r="AC167" i="39"/>
  <c r="AD167" i="39"/>
  <c r="AE167" i="39"/>
  <c r="AF167" i="39"/>
  <c r="AG167" i="39"/>
  <c r="AH167" i="39"/>
  <c r="AI167" i="39"/>
  <c r="AJ167" i="39"/>
  <c r="AK167" i="39"/>
  <c r="AL167" i="39"/>
  <c r="AM167" i="39"/>
  <c r="AN167" i="39"/>
  <c r="AO167" i="39"/>
  <c r="AP167" i="39"/>
  <c r="AQ167" i="39"/>
  <c r="Q168" i="39"/>
  <c r="R168" i="39"/>
  <c r="S168" i="39"/>
  <c r="T168" i="39"/>
  <c r="U168" i="39"/>
  <c r="V168" i="39"/>
  <c r="W168" i="39"/>
  <c r="X168" i="39"/>
  <c r="Y168" i="39"/>
  <c r="Z168" i="39"/>
  <c r="AA168" i="39"/>
  <c r="AB168" i="39"/>
  <c r="AC168" i="39"/>
  <c r="AD168" i="39"/>
  <c r="AE168" i="39"/>
  <c r="AF168" i="39"/>
  <c r="AG168" i="39"/>
  <c r="AH168" i="39"/>
  <c r="AI168" i="39"/>
  <c r="AJ168" i="39"/>
  <c r="AK168" i="39"/>
  <c r="AL168" i="39"/>
  <c r="AM168" i="39"/>
  <c r="AN168" i="39"/>
  <c r="AO168" i="39"/>
  <c r="AP168" i="39"/>
  <c r="AQ168" i="39"/>
  <c r="Q169" i="39"/>
  <c r="R169" i="39"/>
  <c r="S169" i="39"/>
  <c r="T169" i="39"/>
  <c r="U169" i="39"/>
  <c r="V169" i="39"/>
  <c r="W169" i="39"/>
  <c r="X169" i="39"/>
  <c r="Y169" i="39"/>
  <c r="Z169" i="39"/>
  <c r="AA169" i="39"/>
  <c r="AB169" i="39"/>
  <c r="AC169" i="39"/>
  <c r="AD169" i="39"/>
  <c r="AE169" i="39"/>
  <c r="AF169" i="39"/>
  <c r="AG169" i="39"/>
  <c r="AH169" i="39"/>
  <c r="AI169" i="39"/>
  <c r="AJ169" i="39"/>
  <c r="AK169" i="39"/>
  <c r="AL169" i="39"/>
  <c r="AM169" i="39"/>
  <c r="AN169" i="39"/>
  <c r="AO169" i="39"/>
  <c r="AP169" i="39"/>
  <c r="AQ169" i="39"/>
  <c r="Q170" i="39"/>
  <c r="R170" i="39"/>
  <c r="S170" i="39"/>
  <c r="T170" i="39"/>
  <c r="U170" i="39"/>
  <c r="V170" i="39"/>
  <c r="W170" i="39"/>
  <c r="X170" i="39"/>
  <c r="Y170" i="39"/>
  <c r="Z170" i="39"/>
  <c r="AA170" i="39"/>
  <c r="AB170" i="39"/>
  <c r="AC170" i="39"/>
  <c r="AD170" i="39"/>
  <c r="AE170" i="39"/>
  <c r="AF170" i="39"/>
  <c r="AG170" i="39"/>
  <c r="AH170" i="39"/>
  <c r="AI170" i="39"/>
  <c r="AJ170" i="39"/>
  <c r="AK170" i="39"/>
  <c r="AL170" i="39"/>
  <c r="AM170" i="39"/>
  <c r="AN170" i="39"/>
  <c r="AO170" i="39"/>
  <c r="AP170" i="39"/>
  <c r="AQ170" i="39"/>
  <c r="Q171" i="39"/>
  <c r="R171" i="39"/>
  <c r="S171" i="39"/>
  <c r="T171" i="39"/>
  <c r="U171" i="39"/>
  <c r="V171" i="39"/>
  <c r="W171" i="39"/>
  <c r="X171" i="39"/>
  <c r="Y171" i="39"/>
  <c r="Z171" i="39"/>
  <c r="AA171" i="39"/>
  <c r="AB171" i="39"/>
  <c r="AC171" i="39"/>
  <c r="AD171" i="39"/>
  <c r="AE171" i="39"/>
  <c r="AF171" i="39"/>
  <c r="AG171" i="39"/>
  <c r="AH171" i="39"/>
  <c r="AI171" i="39"/>
  <c r="AJ171" i="39"/>
  <c r="AK171" i="39"/>
  <c r="AL171" i="39"/>
  <c r="AM171" i="39"/>
  <c r="AN171" i="39"/>
  <c r="AO171" i="39"/>
  <c r="AP171" i="39"/>
  <c r="AQ171" i="39"/>
  <c r="Q172" i="39"/>
  <c r="R172" i="39"/>
  <c r="S172" i="39"/>
  <c r="T172" i="39"/>
  <c r="U172" i="39"/>
  <c r="V172" i="39"/>
  <c r="W172" i="39"/>
  <c r="X172" i="39"/>
  <c r="Y172" i="39"/>
  <c r="Z172" i="39"/>
  <c r="AA172" i="39"/>
  <c r="AB172" i="39"/>
  <c r="AC172" i="39"/>
  <c r="AD172" i="39"/>
  <c r="AE172" i="39"/>
  <c r="AF172" i="39"/>
  <c r="AG172" i="39"/>
  <c r="AH172" i="39"/>
  <c r="AI172" i="39"/>
  <c r="AJ172" i="39"/>
  <c r="AK172" i="39"/>
  <c r="AL172" i="39"/>
  <c r="AM172" i="39"/>
  <c r="AN172" i="39"/>
  <c r="AO172" i="39"/>
  <c r="AP172" i="39"/>
  <c r="AQ172" i="39"/>
  <c r="Q173" i="39"/>
  <c r="R173" i="39"/>
  <c r="S173" i="39"/>
  <c r="T173" i="39"/>
  <c r="U173" i="39"/>
  <c r="V173" i="39"/>
  <c r="W173" i="39"/>
  <c r="X173" i="39"/>
  <c r="Y173" i="39"/>
  <c r="Z173" i="39"/>
  <c r="AA173" i="39"/>
  <c r="AB173" i="39"/>
  <c r="AC173" i="39"/>
  <c r="AD173" i="39"/>
  <c r="AE173" i="39"/>
  <c r="AF173" i="39"/>
  <c r="AG173" i="39"/>
  <c r="AH173" i="39"/>
  <c r="AI173" i="39"/>
  <c r="AJ173" i="39"/>
  <c r="AK173" i="39"/>
  <c r="AL173" i="39"/>
  <c r="AM173" i="39"/>
  <c r="AN173" i="39"/>
  <c r="AO173" i="39"/>
  <c r="AP173" i="39"/>
  <c r="AQ173" i="39"/>
  <c r="Q174" i="39"/>
  <c r="R174" i="39"/>
  <c r="S174" i="39"/>
  <c r="T174" i="39"/>
  <c r="U174" i="39"/>
  <c r="V174" i="39"/>
  <c r="W174" i="39"/>
  <c r="X174" i="39"/>
  <c r="Y174" i="39"/>
  <c r="Z174" i="39"/>
  <c r="AA174" i="39"/>
  <c r="AB174" i="39"/>
  <c r="AC174" i="39"/>
  <c r="AD174" i="39"/>
  <c r="AE174" i="39"/>
  <c r="AF174" i="39"/>
  <c r="AG174" i="39"/>
  <c r="AH174" i="39"/>
  <c r="AI174" i="39"/>
  <c r="AJ174" i="39"/>
  <c r="AK174" i="39"/>
  <c r="AL174" i="39"/>
  <c r="AM174" i="39"/>
  <c r="AN174" i="39"/>
  <c r="AO174" i="39"/>
  <c r="AP174" i="39"/>
  <c r="AQ174" i="39"/>
  <c r="Q175" i="39"/>
  <c r="R175" i="39"/>
  <c r="S175" i="39"/>
  <c r="T175" i="39"/>
  <c r="U175" i="39"/>
  <c r="V175" i="39"/>
  <c r="W175" i="39"/>
  <c r="X175" i="39"/>
  <c r="Y175" i="39"/>
  <c r="Z175" i="39"/>
  <c r="AA175" i="39"/>
  <c r="AB175" i="39"/>
  <c r="AC175" i="39"/>
  <c r="AD175" i="39"/>
  <c r="AE175" i="39"/>
  <c r="AF175" i="39"/>
  <c r="AG175" i="39"/>
  <c r="AH175" i="39"/>
  <c r="AI175" i="39"/>
  <c r="AJ175" i="39"/>
  <c r="AK175" i="39"/>
  <c r="AL175" i="39"/>
  <c r="AM175" i="39"/>
  <c r="AN175" i="39"/>
  <c r="AO175" i="39"/>
  <c r="AP175" i="39"/>
  <c r="AQ175" i="39"/>
  <c r="Q176" i="39"/>
  <c r="R176" i="39"/>
  <c r="S176" i="39"/>
  <c r="T176" i="39"/>
  <c r="U176" i="39"/>
  <c r="V176" i="39"/>
  <c r="W176" i="39"/>
  <c r="X176" i="39"/>
  <c r="Y176" i="39"/>
  <c r="Z176" i="39"/>
  <c r="AA176" i="39"/>
  <c r="AB176" i="39"/>
  <c r="AC176" i="39"/>
  <c r="AD176" i="39"/>
  <c r="AE176" i="39"/>
  <c r="AF176" i="39"/>
  <c r="AG176" i="39"/>
  <c r="AH176" i="39"/>
  <c r="AI176" i="39"/>
  <c r="AJ176" i="39"/>
  <c r="AK176" i="39"/>
  <c r="AL176" i="39"/>
  <c r="AM176" i="39"/>
  <c r="AN176" i="39"/>
  <c r="AO176" i="39"/>
  <c r="AP176" i="39"/>
  <c r="AQ176" i="39"/>
  <c r="Q177" i="39"/>
  <c r="R177" i="39"/>
  <c r="S177" i="39"/>
  <c r="T177" i="39"/>
  <c r="U177" i="39"/>
  <c r="V177" i="39"/>
  <c r="W177" i="39"/>
  <c r="X177" i="39"/>
  <c r="Y177" i="39"/>
  <c r="Z177" i="39"/>
  <c r="AA177" i="39"/>
  <c r="AB177" i="39"/>
  <c r="AC177" i="39"/>
  <c r="AD177" i="39"/>
  <c r="AE177" i="39"/>
  <c r="AF177" i="39"/>
  <c r="AG177" i="39"/>
  <c r="AH177" i="39"/>
  <c r="AI177" i="39"/>
  <c r="AJ177" i="39"/>
  <c r="AK177" i="39"/>
  <c r="AL177" i="39"/>
  <c r="AM177" i="39"/>
  <c r="AN177" i="39"/>
  <c r="AO177" i="39"/>
  <c r="AP177" i="39"/>
  <c r="AQ177" i="39"/>
  <c r="Q178" i="39"/>
  <c r="R178" i="39"/>
  <c r="S178" i="39"/>
  <c r="T178" i="39"/>
  <c r="U178" i="39"/>
  <c r="V178" i="39"/>
  <c r="W178" i="39"/>
  <c r="X178" i="39"/>
  <c r="Y178" i="39"/>
  <c r="Z178" i="39"/>
  <c r="AA178" i="39"/>
  <c r="AB178" i="39"/>
  <c r="AC178" i="39"/>
  <c r="AD178" i="39"/>
  <c r="AE178" i="39"/>
  <c r="AF178" i="39"/>
  <c r="AG178" i="39"/>
  <c r="AH178" i="39"/>
  <c r="AI178" i="39"/>
  <c r="AJ178" i="39"/>
  <c r="AK178" i="39"/>
  <c r="AL178" i="39"/>
  <c r="AM178" i="39"/>
  <c r="AN178" i="39"/>
  <c r="AO178" i="39"/>
  <c r="AP178" i="39"/>
  <c r="AQ178" i="39"/>
  <c r="Q179" i="39"/>
  <c r="R179" i="39"/>
  <c r="S179" i="39"/>
  <c r="T179" i="39"/>
  <c r="U179" i="39"/>
  <c r="V179" i="39"/>
  <c r="W179" i="39"/>
  <c r="X179" i="39"/>
  <c r="Y179" i="39"/>
  <c r="Z179" i="39"/>
  <c r="AA179" i="39"/>
  <c r="AB179" i="39"/>
  <c r="AC179" i="39"/>
  <c r="AD179" i="39"/>
  <c r="AE179" i="39"/>
  <c r="AF179" i="39"/>
  <c r="AG179" i="39"/>
  <c r="AH179" i="39"/>
  <c r="AI179" i="39"/>
  <c r="AJ179" i="39"/>
  <c r="AK179" i="39"/>
  <c r="AL179" i="39"/>
  <c r="AM179" i="39"/>
  <c r="AN179" i="39"/>
  <c r="AO179" i="39"/>
  <c r="AP179" i="39"/>
  <c r="AQ179" i="39"/>
  <c r="Q180" i="39"/>
  <c r="R180" i="39"/>
  <c r="S180" i="39"/>
  <c r="T180" i="39"/>
  <c r="U180" i="39"/>
  <c r="V180" i="39"/>
  <c r="W180" i="39"/>
  <c r="X180" i="39"/>
  <c r="Y180" i="39"/>
  <c r="Z180" i="39"/>
  <c r="AA180" i="39"/>
  <c r="AB180" i="39"/>
  <c r="AC180" i="39"/>
  <c r="AD180" i="39"/>
  <c r="AE180" i="39"/>
  <c r="AF180" i="39"/>
  <c r="AG180" i="39"/>
  <c r="AH180" i="39"/>
  <c r="AI180" i="39"/>
  <c r="AJ180" i="39"/>
  <c r="AK180" i="39"/>
  <c r="AL180" i="39"/>
  <c r="AM180" i="39"/>
  <c r="AN180" i="39"/>
  <c r="AO180" i="39"/>
  <c r="AP180" i="39"/>
  <c r="AQ180" i="39"/>
  <c r="Q181" i="39"/>
  <c r="R181" i="39"/>
  <c r="S181" i="39"/>
  <c r="T181" i="39"/>
  <c r="U181" i="39"/>
  <c r="V181" i="39"/>
  <c r="W181" i="39"/>
  <c r="X181" i="39"/>
  <c r="Y181" i="39"/>
  <c r="Z181" i="39"/>
  <c r="AA181" i="39"/>
  <c r="AB181" i="39"/>
  <c r="AC181" i="39"/>
  <c r="AD181" i="39"/>
  <c r="AE181" i="39"/>
  <c r="AF181" i="39"/>
  <c r="AG181" i="39"/>
  <c r="AH181" i="39"/>
  <c r="AI181" i="39"/>
  <c r="AJ181" i="39"/>
  <c r="AK181" i="39"/>
  <c r="AL181" i="39"/>
  <c r="AM181" i="39"/>
  <c r="AN181" i="39"/>
  <c r="AO181" i="39"/>
  <c r="AP181" i="39"/>
  <c r="AQ181" i="39"/>
  <c r="Q182" i="39"/>
  <c r="R182" i="39"/>
  <c r="S182" i="39"/>
  <c r="T182" i="39"/>
  <c r="U182" i="39"/>
  <c r="V182" i="39"/>
  <c r="W182" i="39"/>
  <c r="X182" i="39"/>
  <c r="Y182" i="39"/>
  <c r="Z182" i="39"/>
  <c r="AA182" i="39"/>
  <c r="AB182" i="39"/>
  <c r="AC182" i="39"/>
  <c r="AD182" i="39"/>
  <c r="AE182" i="39"/>
  <c r="AF182" i="39"/>
  <c r="AG182" i="39"/>
  <c r="AH182" i="39"/>
  <c r="AI182" i="39"/>
  <c r="AJ182" i="39"/>
  <c r="AK182" i="39"/>
  <c r="AL182" i="39"/>
  <c r="AM182" i="39"/>
  <c r="AN182" i="39"/>
  <c r="AO182" i="39"/>
  <c r="AP182" i="39"/>
  <c r="AQ182" i="39"/>
  <c r="Q183" i="39"/>
  <c r="R183" i="39"/>
  <c r="S183" i="39"/>
  <c r="T183" i="39"/>
  <c r="U183" i="39"/>
  <c r="V183" i="39"/>
  <c r="W183" i="39"/>
  <c r="X183" i="39"/>
  <c r="Y183" i="39"/>
  <c r="Z183" i="39"/>
  <c r="AA183" i="39"/>
  <c r="AB183" i="39"/>
  <c r="AC183" i="39"/>
  <c r="AD183" i="39"/>
  <c r="AE183" i="39"/>
  <c r="AF183" i="39"/>
  <c r="AG183" i="39"/>
  <c r="AH183" i="39"/>
  <c r="AI183" i="39"/>
  <c r="AJ183" i="39"/>
  <c r="AK183" i="39"/>
  <c r="AL183" i="39"/>
  <c r="AM183" i="39"/>
  <c r="AN183" i="39"/>
  <c r="AO183" i="39"/>
  <c r="AP183" i="39"/>
  <c r="AQ183" i="39"/>
  <c r="Q184" i="39"/>
  <c r="R184" i="39"/>
  <c r="S184" i="39"/>
  <c r="T184" i="39"/>
  <c r="U184" i="39"/>
  <c r="V184" i="39"/>
  <c r="W184" i="39"/>
  <c r="X184" i="39"/>
  <c r="Y184" i="39"/>
  <c r="Z184" i="39"/>
  <c r="AA184" i="39"/>
  <c r="AB184" i="39"/>
  <c r="AC184" i="39"/>
  <c r="AD184" i="39"/>
  <c r="AE184" i="39"/>
  <c r="AF184" i="39"/>
  <c r="AG184" i="39"/>
  <c r="AH184" i="39"/>
  <c r="AI184" i="39"/>
  <c r="AJ184" i="39"/>
  <c r="AK184" i="39"/>
  <c r="AL184" i="39"/>
  <c r="AM184" i="39"/>
  <c r="AN184" i="39"/>
  <c r="AO184" i="39"/>
  <c r="AP184" i="39"/>
  <c r="AQ184" i="39"/>
  <c r="Q185" i="39"/>
  <c r="R185" i="39"/>
  <c r="S185" i="39"/>
  <c r="T185" i="39"/>
  <c r="U185" i="39"/>
  <c r="V185" i="39"/>
  <c r="W185" i="39"/>
  <c r="X185" i="39"/>
  <c r="Y185" i="39"/>
  <c r="Z185" i="39"/>
  <c r="AA185" i="39"/>
  <c r="AB185" i="39"/>
  <c r="AC185" i="39"/>
  <c r="AD185" i="39"/>
  <c r="AE185" i="39"/>
  <c r="AF185" i="39"/>
  <c r="AG185" i="39"/>
  <c r="AH185" i="39"/>
  <c r="AI185" i="39"/>
  <c r="AJ185" i="39"/>
  <c r="AK185" i="39"/>
  <c r="AL185" i="39"/>
  <c r="AM185" i="39"/>
  <c r="AN185" i="39"/>
  <c r="AO185" i="39"/>
  <c r="AP185" i="39"/>
  <c r="AQ185" i="39"/>
  <c r="Q186" i="39"/>
  <c r="R186" i="39"/>
  <c r="S186" i="39"/>
  <c r="T186" i="39"/>
  <c r="U186" i="39"/>
  <c r="V186" i="39"/>
  <c r="W186" i="39"/>
  <c r="X186" i="39"/>
  <c r="Y186" i="39"/>
  <c r="Z186" i="39"/>
  <c r="AA186" i="39"/>
  <c r="AB186" i="39"/>
  <c r="AC186" i="39"/>
  <c r="AD186" i="39"/>
  <c r="AE186" i="39"/>
  <c r="AF186" i="39"/>
  <c r="AG186" i="39"/>
  <c r="AH186" i="39"/>
  <c r="AI186" i="39"/>
  <c r="AJ186" i="39"/>
  <c r="AK186" i="39"/>
  <c r="AL186" i="39"/>
  <c r="AM186" i="39"/>
  <c r="AN186" i="39"/>
  <c r="AO186" i="39"/>
  <c r="AP186" i="39"/>
  <c r="AQ186" i="39"/>
  <c r="Q187" i="39"/>
  <c r="R187" i="39"/>
  <c r="S187" i="39"/>
  <c r="T187" i="39"/>
  <c r="U187" i="39"/>
  <c r="V187" i="39"/>
  <c r="W187" i="39"/>
  <c r="X187" i="39"/>
  <c r="Y187" i="39"/>
  <c r="Z187" i="39"/>
  <c r="AA187" i="39"/>
  <c r="AB187" i="39"/>
  <c r="AC187" i="39"/>
  <c r="AD187" i="39"/>
  <c r="AE187" i="39"/>
  <c r="AF187" i="39"/>
  <c r="AG187" i="39"/>
  <c r="AH187" i="39"/>
  <c r="AI187" i="39"/>
  <c r="AJ187" i="39"/>
  <c r="AK187" i="39"/>
  <c r="AL187" i="39"/>
  <c r="AM187" i="39"/>
  <c r="AN187" i="39"/>
  <c r="AO187" i="39"/>
  <c r="AP187" i="39"/>
  <c r="AQ187" i="39"/>
  <c r="Q188" i="39"/>
  <c r="R188" i="39"/>
  <c r="S188" i="39"/>
  <c r="T188" i="39"/>
  <c r="U188" i="39"/>
  <c r="V188" i="39"/>
  <c r="W188" i="39"/>
  <c r="X188" i="39"/>
  <c r="Y188" i="39"/>
  <c r="Z188" i="39"/>
  <c r="AA188" i="39"/>
  <c r="AB188" i="39"/>
  <c r="AC188" i="39"/>
  <c r="AD188" i="39"/>
  <c r="AE188" i="39"/>
  <c r="AF188" i="39"/>
  <c r="AG188" i="39"/>
  <c r="AH188" i="39"/>
  <c r="AI188" i="39"/>
  <c r="AJ188" i="39"/>
  <c r="AK188" i="39"/>
  <c r="AL188" i="39"/>
  <c r="AM188" i="39"/>
  <c r="AN188" i="39"/>
  <c r="AO188" i="39"/>
  <c r="AP188" i="39"/>
  <c r="AQ188" i="39"/>
  <c r="Q189" i="39"/>
  <c r="R189" i="39"/>
  <c r="S189" i="39"/>
  <c r="T189" i="39"/>
  <c r="U189" i="39"/>
  <c r="V189" i="39"/>
  <c r="W189" i="39"/>
  <c r="X189" i="39"/>
  <c r="Y189" i="39"/>
  <c r="Z189" i="39"/>
  <c r="AA189" i="39"/>
  <c r="AB189" i="39"/>
  <c r="AC189" i="39"/>
  <c r="AD189" i="39"/>
  <c r="AE189" i="39"/>
  <c r="AF189" i="39"/>
  <c r="AG189" i="38"/>
  <c r="AG189" i="39"/>
  <c r="AH189" i="39"/>
  <c r="AI189" i="39"/>
  <c r="AJ189" i="39"/>
  <c r="AK189" i="39"/>
  <c r="AL189" i="38"/>
  <c r="AL189" i="39"/>
  <c r="AM189" i="39"/>
  <c r="AN189" i="39"/>
  <c r="AO189" i="39"/>
  <c r="AP189" i="39"/>
  <c r="AQ189" i="38"/>
  <c r="AQ189" i="39"/>
  <c r="Q190" i="39"/>
  <c r="R190" i="38"/>
  <c r="R190" i="39"/>
  <c r="S190" i="39"/>
  <c r="T190" i="39"/>
  <c r="U190" i="39"/>
  <c r="V190" i="39"/>
  <c r="W190" i="38"/>
  <c r="W190" i="39"/>
  <c r="X190" i="39"/>
  <c r="Y190" i="39"/>
  <c r="Z190" i="39"/>
  <c r="AA190" i="39"/>
  <c r="AB190" i="38"/>
  <c r="AB190" i="39"/>
  <c r="AC190" i="39"/>
  <c r="AD190" i="39"/>
  <c r="AE190" i="39"/>
  <c r="AF190" i="39"/>
  <c r="AG190" i="38"/>
  <c r="AG190" i="39"/>
  <c r="AH190" i="39"/>
  <c r="AI190" i="39"/>
  <c r="AJ190" i="39"/>
  <c r="AK190" i="39"/>
  <c r="AL190" i="38"/>
  <c r="AL190" i="39"/>
  <c r="AM190" i="39"/>
  <c r="AN190" i="39"/>
  <c r="AO190" i="39"/>
  <c r="AP190" i="39"/>
  <c r="AQ190" i="38"/>
  <c r="AQ190" i="39"/>
  <c r="Q191" i="39"/>
  <c r="R191" i="39"/>
  <c r="S191" i="39"/>
  <c r="T191" i="39"/>
  <c r="U191" i="39"/>
  <c r="V191" i="39"/>
  <c r="W191" i="39"/>
  <c r="X191" i="39"/>
  <c r="Y191" i="39"/>
  <c r="Z191" i="39"/>
  <c r="AA191" i="39"/>
  <c r="AB191" i="39"/>
  <c r="AC191" i="39"/>
  <c r="AD191" i="39"/>
  <c r="AE191" i="39"/>
  <c r="AF191" i="39"/>
  <c r="AG191" i="39"/>
  <c r="AH191" i="39"/>
  <c r="AI191" i="39"/>
  <c r="AJ191" i="39"/>
  <c r="AK191" i="39"/>
  <c r="AL191" i="39"/>
  <c r="AM191" i="39"/>
  <c r="AN191" i="39"/>
  <c r="AO191" i="39"/>
  <c r="AP191" i="39"/>
  <c r="AQ191" i="39"/>
  <c r="Q192" i="38"/>
  <c r="Q192" i="39"/>
  <c r="R192" i="38"/>
  <c r="R192" i="39"/>
  <c r="S192" i="38"/>
  <c r="S192" i="39"/>
  <c r="T192" i="38"/>
  <c r="T192" i="39"/>
  <c r="U192" i="38"/>
  <c r="U192" i="39"/>
  <c r="V192" i="38"/>
  <c r="V192" i="39"/>
  <c r="W192" i="38"/>
  <c r="W192" i="39"/>
  <c r="X192" i="38"/>
  <c r="X192" i="39"/>
  <c r="Y192" i="38"/>
  <c r="Y192" i="39"/>
  <c r="Z192" i="38"/>
  <c r="Z192" i="39"/>
  <c r="AA192" i="38"/>
  <c r="AA192" i="39"/>
  <c r="AB192" i="38"/>
  <c r="AB192" i="39"/>
  <c r="AC192" i="38"/>
  <c r="AC192" i="39"/>
  <c r="AD192" i="38"/>
  <c r="AD192" i="39"/>
  <c r="AE192" i="38"/>
  <c r="AE192" i="39"/>
  <c r="AF192" i="38"/>
  <c r="AF192" i="39"/>
  <c r="AG192" i="38"/>
  <c r="AG192" i="39"/>
  <c r="AH192" i="38"/>
  <c r="AH192" i="39"/>
  <c r="AI192" i="38"/>
  <c r="AI192" i="39"/>
  <c r="AJ192" i="38"/>
  <c r="AJ192" i="39"/>
  <c r="AK192" i="38"/>
  <c r="AK192" i="39"/>
  <c r="AL192" i="38"/>
  <c r="AL192" i="39"/>
  <c r="AM192" i="38"/>
  <c r="AM192" i="39"/>
  <c r="AN192" i="38"/>
  <c r="AN192" i="39"/>
  <c r="AO192" i="38"/>
  <c r="AO192" i="39"/>
  <c r="AP192" i="38"/>
  <c r="AP192" i="39"/>
  <c r="AQ192" i="38"/>
  <c r="AQ192" i="39"/>
  <c r="Q193" i="39"/>
  <c r="R193" i="39"/>
  <c r="S193" i="39"/>
  <c r="T193" i="39"/>
  <c r="U193" i="39"/>
  <c r="V193" i="39"/>
  <c r="W193" i="39"/>
  <c r="X193" i="39"/>
  <c r="Y193" i="39"/>
  <c r="Z193" i="39"/>
  <c r="AA193" i="39"/>
  <c r="AB193" i="39"/>
  <c r="AC193" i="39"/>
  <c r="AD193" i="39"/>
  <c r="AE193" i="39"/>
  <c r="AF193" i="39"/>
  <c r="AG193" i="39"/>
  <c r="AH193" i="39"/>
  <c r="AI193" i="39"/>
  <c r="AJ193" i="39"/>
  <c r="AK193" i="39"/>
  <c r="AL193" i="39"/>
  <c r="AM193" i="39"/>
  <c r="AN193" i="39"/>
  <c r="AO193" i="39"/>
  <c r="AP193" i="39"/>
  <c r="AQ193" i="39"/>
  <c r="Q194" i="39"/>
  <c r="R194" i="39"/>
  <c r="S194" i="39"/>
  <c r="T194" i="39"/>
  <c r="U194" i="39"/>
  <c r="V194" i="39"/>
  <c r="W194" i="39"/>
  <c r="X194" i="39"/>
  <c r="Y194" i="39"/>
  <c r="Z194" i="39"/>
  <c r="AA194" i="39"/>
  <c r="AB194" i="39"/>
  <c r="AC194" i="39"/>
  <c r="AD194" i="39"/>
  <c r="AE194" i="39"/>
  <c r="AF194" i="39"/>
  <c r="AG194" i="39"/>
  <c r="AH194" i="39"/>
  <c r="AI194" i="39"/>
  <c r="AJ194" i="39"/>
  <c r="AK194" i="39"/>
  <c r="AL194" i="39"/>
  <c r="AM194" i="39"/>
  <c r="AN194" i="39"/>
  <c r="AO194" i="39"/>
  <c r="AP194" i="39"/>
  <c r="AQ194" i="39"/>
  <c r="Q195" i="39"/>
  <c r="R195" i="39"/>
  <c r="S195" i="39"/>
  <c r="T195" i="39"/>
  <c r="U195" i="39"/>
  <c r="V195" i="39"/>
  <c r="W195" i="39"/>
  <c r="X195" i="39"/>
  <c r="Y195" i="39"/>
  <c r="Z195" i="39"/>
  <c r="AA195" i="39"/>
  <c r="AB195" i="39"/>
  <c r="AC195" i="39"/>
  <c r="AD195" i="39"/>
  <c r="AE195" i="39"/>
  <c r="AF195" i="39"/>
  <c r="AG195" i="39"/>
  <c r="AH195" i="39"/>
  <c r="AI195" i="39"/>
  <c r="AJ195" i="39"/>
  <c r="AK195" i="39"/>
  <c r="AL195" i="39"/>
  <c r="AM195" i="39"/>
  <c r="AN195" i="39"/>
  <c r="AO195" i="39"/>
  <c r="AP195" i="38"/>
  <c r="AP195" i="39"/>
  <c r="AQ195" i="38"/>
  <c r="AQ195" i="39"/>
  <c r="Q196" i="39"/>
  <c r="R196" i="39"/>
  <c r="S196" i="39"/>
  <c r="T196" i="39"/>
  <c r="U196" i="39"/>
  <c r="V196" i="39"/>
  <c r="W196" i="39"/>
  <c r="X196" i="39"/>
  <c r="Y196" i="39"/>
  <c r="Z196" i="39"/>
  <c r="AA196" i="39"/>
  <c r="AB196" i="39"/>
  <c r="AC196" i="39"/>
  <c r="AD196" i="39"/>
  <c r="AE196" i="39"/>
  <c r="AF196" i="39"/>
  <c r="AG196" i="39"/>
  <c r="AH196" i="39"/>
  <c r="AI196" i="39"/>
  <c r="AJ196" i="39"/>
  <c r="AK196" i="39"/>
  <c r="AL196" i="39"/>
  <c r="AM196" i="39"/>
  <c r="AN196" i="39"/>
  <c r="AO196" i="39"/>
  <c r="AP196" i="39"/>
  <c r="AQ196" i="39"/>
  <c r="Q197" i="39"/>
  <c r="R197" i="39"/>
  <c r="S197" i="39"/>
  <c r="T197" i="39"/>
  <c r="U197" i="39"/>
  <c r="V197" i="39"/>
  <c r="W197" i="39"/>
  <c r="X197" i="39"/>
  <c r="Y197" i="39"/>
  <c r="Z197" i="39"/>
  <c r="AA197" i="39"/>
  <c r="AB197" i="39"/>
  <c r="AC197" i="39"/>
  <c r="AD197" i="39"/>
  <c r="AE197" i="39"/>
  <c r="AF197" i="39"/>
  <c r="AG197" i="39"/>
  <c r="AH197" i="39"/>
  <c r="AI197" i="39"/>
  <c r="AJ197" i="39"/>
  <c r="AK197" i="39"/>
  <c r="AL197" i="39"/>
  <c r="AM197" i="39"/>
  <c r="AN197" i="39"/>
  <c r="AO197" i="39"/>
  <c r="AP197" i="39"/>
  <c r="AQ197" i="39"/>
  <c r="Q198" i="39"/>
  <c r="R198" i="38"/>
  <c r="R198" i="39"/>
  <c r="S198" i="39"/>
  <c r="T198" i="39"/>
  <c r="U198" i="39"/>
  <c r="V198" i="39"/>
  <c r="W198" i="38"/>
  <c r="W198" i="39"/>
  <c r="X198" i="39"/>
  <c r="Y198" i="39"/>
  <c r="Z198" i="39"/>
  <c r="AA198" i="39"/>
  <c r="AB198" i="38"/>
  <c r="AB198" i="39"/>
  <c r="AC198" i="39"/>
  <c r="AD198" i="39"/>
  <c r="AE198" i="39"/>
  <c r="AF198" i="39"/>
  <c r="AG198" i="38"/>
  <c r="AG198" i="39"/>
  <c r="AH198" i="39"/>
  <c r="AI198" i="39"/>
  <c r="AJ198" i="39"/>
  <c r="AK198" i="39"/>
  <c r="AL198" i="38"/>
  <c r="AL198" i="39"/>
  <c r="AM198" i="39"/>
  <c r="AN198" i="39"/>
  <c r="AO198" i="39"/>
  <c r="AP198" i="39"/>
  <c r="AQ198" i="38"/>
  <c r="AQ198" i="39"/>
  <c r="Q199" i="39"/>
  <c r="R199" i="39"/>
  <c r="S199" i="39"/>
  <c r="T199" i="39"/>
  <c r="U199" i="39"/>
  <c r="V199" i="39"/>
  <c r="W199" i="39"/>
  <c r="X199" i="39"/>
  <c r="Y199" i="39"/>
  <c r="Z199" i="39"/>
  <c r="AA199" i="39"/>
  <c r="AB199" i="39"/>
  <c r="AC199" i="39"/>
  <c r="AD199" i="39"/>
  <c r="AE199" i="39"/>
  <c r="AF199" i="39"/>
  <c r="AG199" i="39"/>
  <c r="AH199" i="39"/>
  <c r="AI199" i="39"/>
  <c r="AJ199" i="39"/>
  <c r="AK199" i="39"/>
  <c r="AL199" i="39"/>
  <c r="AM199" i="39"/>
  <c r="AN199" i="39"/>
  <c r="AO199" i="39"/>
  <c r="AP199" i="39"/>
  <c r="AQ199" i="39"/>
  <c r="Q200" i="39"/>
  <c r="R200" i="39"/>
  <c r="S200" i="39"/>
  <c r="T200" i="39"/>
  <c r="U200" i="39"/>
  <c r="V200" i="39"/>
  <c r="W200" i="39"/>
  <c r="X200" i="39"/>
  <c r="Y200" i="39"/>
  <c r="Z200" i="39"/>
  <c r="AA200" i="39"/>
  <c r="AB200" i="39"/>
  <c r="AC200" i="39"/>
  <c r="AD200" i="39"/>
  <c r="AE200" i="39"/>
  <c r="AF200" i="39"/>
  <c r="AG200" i="39"/>
  <c r="AH200" i="39"/>
  <c r="AI200" i="39"/>
  <c r="AJ200" i="39"/>
  <c r="AK200" i="39"/>
  <c r="AL200" i="39"/>
  <c r="AM200" i="39"/>
  <c r="AN200" i="39"/>
  <c r="AO200" i="39"/>
  <c r="AP200" i="39"/>
  <c r="AQ200" i="39"/>
  <c r="Q201" i="38"/>
  <c r="Q201" i="39"/>
  <c r="R201" i="38"/>
  <c r="R201" i="39"/>
  <c r="S201" i="38"/>
  <c r="S201" i="39"/>
  <c r="T201" i="38"/>
  <c r="T201" i="39"/>
  <c r="U201" i="38"/>
  <c r="U201" i="39"/>
  <c r="V201" i="38"/>
  <c r="V201" i="39"/>
  <c r="W201" i="38"/>
  <c r="W201" i="39"/>
  <c r="X201" i="38"/>
  <c r="X201" i="39"/>
  <c r="Y201" i="38"/>
  <c r="Y201" i="39"/>
  <c r="Z201" i="38"/>
  <c r="Z201" i="39"/>
  <c r="AA201" i="38"/>
  <c r="AA201" i="39"/>
  <c r="AB201" i="38"/>
  <c r="AB201" i="39"/>
  <c r="AC201" i="38"/>
  <c r="AC201" i="39"/>
  <c r="AD201" i="38"/>
  <c r="AD201" i="39"/>
  <c r="AE201" i="38"/>
  <c r="AE201" i="39"/>
  <c r="AF201" i="38"/>
  <c r="AF201" i="39"/>
  <c r="AG201" i="38"/>
  <c r="AG201" i="39"/>
  <c r="AH201" i="38"/>
  <c r="AH201" i="39"/>
  <c r="AI201" i="38"/>
  <c r="AI201" i="39"/>
  <c r="AJ201" i="38"/>
  <c r="AJ201" i="39"/>
  <c r="AK201" i="38"/>
  <c r="AK201" i="39"/>
  <c r="AL201" i="38"/>
  <c r="AL201" i="39"/>
  <c r="AM201" i="38"/>
  <c r="AM201" i="39"/>
  <c r="AN201" i="38"/>
  <c r="AN201" i="39"/>
  <c r="AO201" i="38"/>
  <c r="AO201" i="39"/>
  <c r="AP201" i="38"/>
  <c r="AP201" i="39"/>
  <c r="AQ201" i="38"/>
  <c r="AQ201" i="39"/>
  <c r="Q202" i="39"/>
  <c r="R202" i="39"/>
  <c r="S202" i="39"/>
  <c r="T202" i="39"/>
  <c r="U202" i="39"/>
  <c r="V202" i="39"/>
  <c r="W202" i="39"/>
  <c r="X202" i="39"/>
  <c r="Y202" i="39"/>
  <c r="Z202" i="39"/>
  <c r="AA202" i="39"/>
  <c r="AB202" i="39"/>
  <c r="AC202" i="39"/>
  <c r="AD202" i="39"/>
  <c r="AE202" i="39"/>
  <c r="AF202" i="39"/>
  <c r="AG202" i="39"/>
  <c r="AH202" i="39"/>
  <c r="AI202" i="39"/>
  <c r="AJ202" i="39"/>
  <c r="AK202" i="39"/>
  <c r="AL202" i="39"/>
  <c r="AM202" i="39"/>
  <c r="AN202" i="39"/>
  <c r="AO202" i="39"/>
  <c r="AP202" i="39"/>
  <c r="AQ202" i="39"/>
  <c r="Q203" i="39"/>
  <c r="R203" i="38"/>
  <c r="R203" i="39"/>
  <c r="S203" i="39"/>
  <c r="T203" i="39"/>
  <c r="U203" i="39"/>
  <c r="V203" i="39"/>
  <c r="W203" i="38"/>
  <c r="W203" i="39"/>
  <c r="X203" i="39"/>
  <c r="Y203" i="39"/>
  <c r="Z203" i="39"/>
  <c r="AA203" i="39"/>
  <c r="AB203" i="38"/>
  <c r="AB203" i="39"/>
  <c r="AC203" i="39"/>
  <c r="AD203" i="39"/>
  <c r="AE203" i="39"/>
  <c r="AF203" i="39"/>
  <c r="AG203" i="38"/>
  <c r="AG203" i="39"/>
  <c r="AH203" i="39"/>
  <c r="AI203" i="39"/>
  <c r="AJ203" i="39"/>
  <c r="AK203" i="39"/>
  <c r="AL203" i="38"/>
  <c r="AL203" i="39"/>
  <c r="AM203" i="39"/>
  <c r="AN203" i="39"/>
  <c r="AO203" i="39"/>
  <c r="AP203" i="39"/>
  <c r="AQ203" i="38"/>
  <c r="AQ203" i="39"/>
  <c r="Q204" i="39"/>
  <c r="R204" i="39"/>
  <c r="S204" i="39"/>
  <c r="T204" i="39"/>
  <c r="U204" i="39"/>
  <c r="V204" i="39"/>
  <c r="W204" i="39"/>
  <c r="X204" i="39"/>
  <c r="Y204" i="39"/>
  <c r="Z204" i="39"/>
  <c r="AA204" i="39"/>
  <c r="AB204" i="39"/>
  <c r="AC204" i="39"/>
  <c r="AD204" i="39"/>
  <c r="AE204" i="39"/>
  <c r="AF204" i="39"/>
  <c r="AG204" i="39"/>
  <c r="AH204" i="39"/>
  <c r="AI204" i="39"/>
  <c r="AJ204" i="39"/>
  <c r="AK204" i="39"/>
  <c r="AL204" i="39"/>
  <c r="AM204" i="39"/>
  <c r="AN204" i="39"/>
  <c r="AO204" i="39"/>
  <c r="AP204" i="39"/>
  <c r="AQ204" i="38"/>
  <c r="AQ204" i="39"/>
  <c r="Q205" i="39"/>
  <c r="R205" i="39"/>
  <c r="S205" i="39"/>
  <c r="T205" i="39"/>
  <c r="U205" i="39"/>
  <c r="V205" i="39"/>
  <c r="W205" i="39"/>
  <c r="X205" i="39"/>
  <c r="Y205" i="39"/>
  <c r="Z205" i="39"/>
  <c r="AA205" i="39"/>
  <c r="AB205" i="39"/>
  <c r="AC205" i="39"/>
  <c r="AD205" i="39"/>
  <c r="AE205" i="39"/>
  <c r="AF205" i="39"/>
  <c r="AG205" i="39"/>
  <c r="AH205" i="39"/>
  <c r="AI205" i="39"/>
  <c r="AJ205" i="39"/>
  <c r="AK205" i="39"/>
  <c r="AL205" i="39"/>
  <c r="AM205" i="39"/>
  <c r="AN205" i="39"/>
  <c r="AO205" i="39"/>
  <c r="AP205" i="39"/>
  <c r="AQ205" i="39"/>
  <c r="Q206" i="39"/>
  <c r="R206" i="39"/>
  <c r="S206" i="39"/>
  <c r="T206" i="39"/>
  <c r="U206" i="39"/>
  <c r="V206" i="39"/>
  <c r="W206" i="39"/>
  <c r="X206" i="39"/>
  <c r="Y206" i="39"/>
  <c r="Z206" i="39"/>
  <c r="AA206" i="39"/>
  <c r="AB206" i="39"/>
  <c r="AC206" i="39"/>
  <c r="AD206" i="39"/>
  <c r="AE206" i="39"/>
  <c r="AF206" i="39"/>
  <c r="AG206" i="39"/>
  <c r="AH206" i="39"/>
  <c r="AI206" i="39"/>
  <c r="AJ206" i="39"/>
  <c r="AK206" i="39"/>
  <c r="AL206" i="39"/>
  <c r="AM206" i="39"/>
  <c r="AN206" i="39"/>
  <c r="AO206" i="39"/>
  <c r="AP206" i="39"/>
  <c r="AQ206" i="39"/>
  <c r="Q207" i="39"/>
  <c r="R207" i="39"/>
  <c r="S207" i="39"/>
  <c r="T207" i="39"/>
  <c r="U207" i="39"/>
  <c r="V207" i="39"/>
  <c r="W207" i="39"/>
  <c r="X207" i="39"/>
  <c r="Y207" i="39"/>
  <c r="Z207" i="39"/>
  <c r="AA207" i="39"/>
  <c r="AB207" i="39"/>
  <c r="AC207" i="39"/>
  <c r="AD207" i="39"/>
  <c r="AE207" i="39"/>
  <c r="AF207" i="39"/>
  <c r="AG207" i="39"/>
  <c r="AH207" i="39"/>
  <c r="AI207" i="39"/>
  <c r="AJ207" i="39"/>
  <c r="AK207" i="39"/>
  <c r="AL207" i="39"/>
  <c r="AM207" i="39"/>
  <c r="AN207" i="39"/>
  <c r="AO207" i="39"/>
  <c r="AP207" i="39"/>
  <c r="AQ207" i="39"/>
  <c r="Q208" i="39"/>
  <c r="R208" i="39"/>
  <c r="S208" i="39"/>
  <c r="T208" i="39"/>
  <c r="U208" i="39"/>
  <c r="V208" i="39"/>
  <c r="W208" i="39"/>
  <c r="X208" i="39"/>
  <c r="Y208" i="39"/>
  <c r="Z208" i="39"/>
  <c r="AA208" i="39"/>
  <c r="AB208" i="39"/>
  <c r="AC208" i="39"/>
  <c r="AD208" i="39"/>
  <c r="AE208" i="39"/>
  <c r="AF208" i="39"/>
  <c r="AG208" i="39"/>
  <c r="AH208" i="39"/>
  <c r="AI208" i="39"/>
  <c r="AJ208" i="39"/>
  <c r="AK208" i="39"/>
  <c r="AL208" i="39"/>
  <c r="AM208" i="39"/>
  <c r="AN208" i="39"/>
  <c r="AO208" i="39"/>
  <c r="AP208" i="39"/>
  <c r="AQ208" i="39"/>
  <c r="Q209" i="39"/>
  <c r="R209" i="39"/>
  <c r="S209" i="39"/>
  <c r="T209" i="39"/>
  <c r="U209" i="39"/>
  <c r="V209" i="39"/>
  <c r="W209" i="39"/>
  <c r="X209" i="39"/>
  <c r="Y209" i="39"/>
  <c r="Z209" i="39"/>
  <c r="AA209" i="39"/>
  <c r="AB209" i="39"/>
  <c r="AC209" i="39"/>
  <c r="AD209" i="39"/>
  <c r="AE209" i="39"/>
  <c r="AF209" i="39"/>
  <c r="AG209" i="39"/>
  <c r="AH209" i="39"/>
  <c r="AI209" i="39"/>
  <c r="AJ209" i="39"/>
  <c r="AK209" i="39"/>
  <c r="AL209" i="39"/>
  <c r="AM209" i="39"/>
  <c r="AN209" i="39"/>
  <c r="AO209" i="39"/>
  <c r="AP209" i="39"/>
  <c r="AQ209" i="39"/>
  <c r="Q210" i="39"/>
  <c r="R210" i="39"/>
  <c r="S210" i="39"/>
  <c r="T210" i="39"/>
  <c r="U210" i="39"/>
  <c r="V210" i="39"/>
  <c r="W210" i="39"/>
  <c r="X210" i="39"/>
  <c r="Y210" i="39"/>
  <c r="Z210" i="39"/>
  <c r="AA210" i="39"/>
  <c r="AB210" i="39"/>
  <c r="AC210" i="39"/>
  <c r="AD210" i="39"/>
  <c r="AE210" i="39"/>
  <c r="AF210" i="39"/>
  <c r="AG210" i="39"/>
  <c r="AH210" i="39"/>
  <c r="AI210" i="39"/>
  <c r="AJ210" i="39"/>
  <c r="AK210" i="39"/>
  <c r="AL210" i="39"/>
  <c r="AM210" i="39"/>
  <c r="AN210" i="39"/>
  <c r="AO210" i="39"/>
  <c r="AP210" i="39"/>
  <c r="AQ210" i="39"/>
  <c r="Q211" i="39"/>
  <c r="R211" i="38"/>
  <c r="R211" i="39"/>
  <c r="S211" i="39"/>
  <c r="T211" i="39"/>
  <c r="U211" i="39"/>
  <c r="V211" i="39"/>
  <c r="W211" i="38"/>
  <c r="W211" i="39"/>
  <c r="X211" i="39"/>
  <c r="Y211" i="39"/>
  <c r="Z211" i="39"/>
  <c r="AA211" i="39"/>
  <c r="AB211" i="38"/>
  <c r="AB211" i="39"/>
  <c r="AC211" i="39"/>
  <c r="AD211" i="39"/>
  <c r="AE211" i="39"/>
  <c r="AF211" i="39"/>
  <c r="AG211" i="38"/>
  <c r="AG211" i="39"/>
  <c r="AH211" i="39"/>
  <c r="AI211" i="39"/>
  <c r="AJ211" i="39"/>
  <c r="AK211" i="39"/>
  <c r="AL211" i="38"/>
  <c r="AL211" i="39"/>
  <c r="AM211" i="39"/>
  <c r="AN211" i="39"/>
  <c r="AO211" i="39"/>
  <c r="AP211" i="39"/>
  <c r="AQ211" i="38"/>
  <c r="AQ211" i="39"/>
  <c r="Q212" i="39"/>
  <c r="R212" i="39"/>
  <c r="S212" i="39"/>
  <c r="T212" i="39"/>
  <c r="U212" i="39"/>
  <c r="V212" i="39"/>
  <c r="W212" i="39"/>
  <c r="X212" i="39"/>
  <c r="Y212" i="39"/>
  <c r="Z212" i="39"/>
  <c r="AA212" i="39"/>
  <c r="AB212" i="39"/>
  <c r="AC212" i="39"/>
  <c r="AD212" i="39"/>
  <c r="AE212" i="39"/>
  <c r="AF212" i="39"/>
  <c r="AG212" i="39"/>
  <c r="AH212" i="39"/>
  <c r="AI212" i="39"/>
  <c r="AJ212" i="39"/>
  <c r="AK212" i="39"/>
  <c r="AL212" i="39"/>
  <c r="AM212" i="39"/>
  <c r="AN212" i="39"/>
  <c r="AO212" i="39"/>
  <c r="AP212" i="39"/>
  <c r="AQ212" i="39"/>
  <c r="Q213" i="39"/>
  <c r="R213" i="39"/>
  <c r="S213" i="39"/>
  <c r="T213" i="39"/>
  <c r="U213" i="39"/>
  <c r="V213" i="39"/>
  <c r="W213" i="39"/>
  <c r="X213" i="39"/>
  <c r="Y213" i="39"/>
  <c r="Z213" i="39"/>
  <c r="AA213" i="39"/>
  <c r="AB213" i="39"/>
  <c r="AC213" i="39"/>
  <c r="AD213" i="39"/>
  <c r="AE213" i="39"/>
  <c r="AF213" i="39"/>
  <c r="AG213" i="39"/>
  <c r="AH213" i="39"/>
  <c r="AI213" i="39"/>
  <c r="AJ213" i="39"/>
  <c r="AK213" i="39"/>
  <c r="AL213" i="39"/>
  <c r="AM213" i="39"/>
  <c r="AN213" i="39"/>
  <c r="AO213" i="39"/>
  <c r="AP213" i="39"/>
  <c r="AQ213" i="39"/>
  <c r="Q214" i="39"/>
  <c r="R214" i="39"/>
  <c r="S214" i="39"/>
  <c r="T214" i="39"/>
  <c r="U214" i="39"/>
  <c r="V214" i="39"/>
  <c r="W214" i="39"/>
  <c r="X214" i="39"/>
  <c r="Y214" i="39"/>
  <c r="Z214" i="39"/>
  <c r="AA214" i="39"/>
  <c r="AB214" i="39"/>
  <c r="AC214" i="39"/>
  <c r="AD214" i="39"/>
  <c r="AE214" i="39"/>
  <c r="AF214" i="39"/>
  <c r="AG214" i="39"/>
  <c r="AH214" i="39"/>
  <c r="AI214" i="39"/>
  <c r="AJ214" i="39"/>
  <c r="AK214" i="39"/>
  <c r="AL214" i="39"/>
  <c r="AM214" i="39"/>
  <c r="AN214" i="39"/>
  <c r="AO214" i="39"/>
  <c r="AP214" i="39"/>
  <c r="AQ214" i="39"/>
  <c r="Q215" i="39"/>
  <c r="R215" i="39"/>
  <c r="S215" i="39"/>
  <c r="T215" i="39"/>
  <c r="U215" i="39"/>
  <c r="V215" i="39"/>
  <c r="W215" i="39"/>
  <c r="X215" i="39"/>
  <c r="Y215" i="39"/>
  <c r="Z215" i="39"/>
  <c r="AA215" i="39"/>
  <c r="AB215" i="39"/>
  <c r="AC215" i="39"/>
  <c r="AD215" i="39"/>
  <c r="AE215" i="39"/>
  <c r="AF215" i="39"/>
  <c r="AG215" i="39"/>
  <c r="AH215" i="39"/>
  <c r="AI215" i="39"/>
  <c r="AJ215" i="39"/>
  <c r="AK215" i="39"/>
  <c r="AL215" i="39"/>
  <c r="AM215" i="39"/>
  <c r="AN215" i="39"/>
  <c r="AO215" i="39"/>
  <c r="AP215" i="39"/>
  <c r="AQ215" i="39"/>
  <c r="Q216" i="39"/>
  <c r="R216" i="38"/>
  <c r="R216" i="39"/>
  <c r="S216" i="39"/>
  <c r="T216" i="39"/>
  <c r="U216" i="39"/>
  <c r="V216" i="39"/>
  <c r="W216" i="38"/>
  <c r="W216" i="39"/>
  <c r="X216" i="39"/>
  <c r="Y216" i="39"/>
  <c r="Z216" i="39"/>
  <c r="AA216" i="39"/>
  <c r="AB216" i="38"/>
  <c r="AB216" i="39"/>
  <c r="AC216" i="39"/>
  <c r="AD216" i="39"/>
  <c r="AE216" i="39"/>
  <c r="AF216" i="39"/>
  <c r="AG216" i="38"/>
  <c r="AG216" i="39"/>
  <c r="AH216" i="39"/>
  <c r="AI216" i="39"/>
  <c r="AJ216" i="39"/>
  <c r="AK216" i="39"/>
  <c r="AL216" i="38"/>
  <c r="AL216" i="39"/>
  <c r="AM216" i="39"/>
  <c r="AN216" i="39"/>
  <c r="AO216" i="39"/>
  <c r="AP216" i="39"/>
  <c r="AQ216" i="38"/>
  <c r="AQ216" i="39"/>
  <c r="Q217" i="39"/>
  <c r="R217" i="39"/>
  <c r="S217" i="39"/>
  <c r="T217" i="39"/>
  <c r="U217" i="39"/>
  <c r="V217" i="39"/>
  <c r="W217" i="39"/>
  <c r="X217" i="39"/>
  <c r="Y217" i="39"/>
  <c r="Z217" i="39"/>
  <c r="AA217" i="39"/>
  <c r="AB217" i="39"/>
  <c r="AC217" i="39"/>
  <c r="AD217" i="39"/>
  <c r="AE217" i="39"/>
  <c r="AF217" i="39"/>
  <c r="AG217" i="39"/>
  <c r="AH217" i="39"/>
  <c r="AI217" i="39"/>
  <c r="AJ217" i="39"/>
  <c r="AK217" i="39"/>
  <c r="AL217" i="39"/>
  <c r="AM217" i="39"/>
  <c r="AN217" i="39"/>
  <c r="AO217" i="39"/>
  <c r="AP217" i="39"/>
  <c r="AQ217" i="39"/>
  <c r="Q218" i="39"/>
  <c r="R218" i="39"/>
  <c r="S218" i="39"/>
  <c r="T218" i="39"/>
  <c r="U218" i="39"/>
  <c r="V218" i="39"/>
  <c r="W218" i="39"/>
  <c r="X218" i="39"/>
  <c r="Y218" i="39"/>
  <c r="Z218" i="39"/>
  <c r="AA218" i="39"/>
  <c r="AB218" i="38"/>
  <c r="AB218" i="39"/>
  <c r="AC218" i="39"/>
  <c r="AD218" i="39"/>
  <c r="AE218" i="39"/>
  <c r="AF218" i="39"/>
  <c r="AG218" i="38"/>
  <c r="AG218" i="39"/>
  <c r="AH218" i="39"/>
  <c r="AI218" i="39"/>
  <c r="AJ218" i="39"/>
  <c r="AK218" i="39"/>
  <c r="AL218" i="38"/>
  <c r="AL218" i="39"/>
  <c r="AM218" i="39"/>
  <c r="AN218" i="39"/>
  <c r="AO218" i="39"/>
  <c r="AP218" i="39"/>
  <c r="AQ218" i="38"/>
  <c r="AQ218" i="39"/>
  <c r="Q219" i="39"/>
  <c r="R219" i="38"/>
  <c r="R219" i="39"/>
  <c r="S219" i="39"/>
  <c r="T219" i="39"/>
  <c r="U219" i="39"/>
  <c r="V219" i="39"/>
  <c r="W219" i="38"/>
  <c r="W219" i="39"/>
  <c r="X219" i="39"/>
  <c r="Y219" i="39"/>
  <c r="Z219" i="39"/>
  <c r="AA219" i="39"/>
  <c r="AB219" i="38"/>
  <c r="AB219" i="39"/>
  <c r="AC219" i="39"/>
  <c r="AD219" i="39"/>
  <c r="AE219" i="39"/>
  <c r="AF219" i="39"/>
  <c r="AG219" i="38"/>
  <c r="AG219" i="39"/>
  <c r="AH219" i="39"/>
  <c r="AI219" i="39"/>
  <c r="AJ219" i="39"/>
  <c r="AK219" i="39"/>
  <c r="AL219" i="38"/>
  <c r="AL219" i="39"/>
  <c r="AM219" i="39"/>
  <c r="AN219" i="39"/>
  <c r="AO219" i="39"/>
  <c r="AP219" i="39"/>
  <c r="AQ219" i="38"/>
  <c r="AQ219" i="39"/>
  <c r="Q220" i="39"/>
  <c r="R220" i="39"/>
  <c r="S220" i="39"/>
  <c r="T220" i="39"/>
  <c r="U220" i="39"/>
  <c r="V220" i="39"/>
  <c r="W220" i="39"/>
  <c r="X220" i="39"/>
  <c r="Y220" i="39"/>
  <c r="Z220" i="39"/>
  <c r="AA220" i="39"/>
  <c r="AB220" i="39"/>
  <c r="AC220" i="39"/>
  <c r="AD220" i="39"/>
  <c r="AE220" i="39"/>
  <c r="AF220" i="39"/>
  <c r="AG220" i="39"/>
  <c r="AH220" i="39"/>
  <c r="AI220" i="39"/>
  <c r="AJ220" i="39"/>
  <c r="AK220" i="39"/>
  <c r="AL220" i="39"/>
  <c r="AM220" i="39"/>
  <c r="AN220" i="39"/>
  <c r="AO220" i="39"/>
  <c r="AP220" i="39"/>
  <c r="AQ220" i="39"/>
  <c r="Q221" i="39"/>
  <c r="R221" i="39"/>
  <c r="S221" i="39"/>
  <c r="T221" i="39"/>
  <c r="U221" i="39"/>
  <c r="V221" i="39"/>
  <c r="W221" i="39"/>
  <c r="X221" i="39"/>
  <c r="Y221" i="39"/>
  <c r="Z221" i="39"/>
  <c r="AA221" i="39"/>
  <c r="AB221" i="39"/>
  <c r="AC221" i="39"/>
  <c r="AD221" i="39"/>
  <c r="AE221" i="39"/>
  <c r="AF221" i="39"/>
  <c r="AG221" i="39"/>
  <c r="AH221" i="39"/>
  <c r="AI221" i="39"/>
  <c r="AJ221" i="39"/>
  <c r="AK221" i="39"/>
  <c r="AL221" i="39"/>
  <c r="AM221" i="39"/>
  <c r="AN221" i="39"/>
  <c r="AO221" i="39"/>
  <c r="AP221" i="39"/>
  <c r="AQ221" i="39"/>
  <c r="Q222" i="39"/>
  <c r="R222" i="38"/>
  <c r="R222" i="39"/>
  <c r="S222" i="39"/>
  <c r="T222" i="39"/>
  <c r="U222" i="39"/>
  <c r="V222" i="39"/>
  <c r="W222" i="38"/>
  <c r="W222" i="39"/>
  <c r="X222" i="39"/>
  <c r="Y222" i="39"/>
  <c r="Z222" i="39"/>
  <c r="AA222" i="39"/>
  <c r="AB222" i="38"/>
  <c r="AB222" i="39"/>
  <c r="AC222" i="39"/>
  <c r="AD222" i="39"/>
  <c r="AE222" i="39"/>
  <c r="AF222" i="39"/>
  <c r="AG222" i="38"/>
  <c r="AG222" i="39"/>
  <c r="AH222" i="39"/>
  <c r="AI222" i="39"/>
  <c r="AJ222" i="39"/>
  <c r="AK222" i="39"/>
  <c r="AL222" i="38"/>
  <c r="AL222" i="39"/>
  <c r="AM222" i="39"/>
  <c r="AN222" i="39"/>
  <c r="AO222" i="39"/>
  <c r="AP222" i="39"/>
  <c r="AQ222" i="38"/>
  <c r="AQ222" i="39"/>
  <c r="Q223" i="39"/>
  <c r="R223" i="38"/>
  <c r="R223" i="39"/>
  <c r="S223" i="39"/>
  <c r="T223" i="39"/>
  <c r="U223" i="39"/>
  <c r="V223" i="39"/>
  <c r="W223" i="38"/>
  <c r="W223" i="39"/>
  <c r="X223" i="39"/>
  <c r="Y223" i="39"/>
  <c r="Z223" i="39"/>
  <c r="AA223" i="39"/>
  <c r="AB223" i="38"/>
  <c r="AB223" i="39"/>
  <c r="AC223" i="39"/>
  <c r="AD223" i="39"/>
  <c r="AE223" i="39"/>
  <c r="AF223" i="39"/>
  <c r="AG223" i="38"/>
  <c r="AG223" i="39"/>
  <c r="AH223" i="39"/>
  <c r="AI223" i="39"/>
  <c r="AJ223" i="39"/>
  <c r="AK223" i="39"/>
  <c r="AL223" i="38"/>
  <c r="AL223" i="39"/>
  <c r="AM223" i="39"/>
  <c r="AN223" i="39"/>
  <c r="AO223" i="39"/>
  <c r="AP223" i="39"/>
  <c r="AQ223" i="38"/>
  <c r="AQ223" i="39"/>
  <c r="Q224" i="38"/>
  <c r="Q224" i="39"/>
  <c r="R224" i="38"/>
  <c r="R224" i="39"/>
  <c r="S224" i="38"/>
  <c r="S224" i="39"/>
  <c r="T224" i="38"/>
  <c r="T224" i="39"/>
  <c r="U224" i="38"/>
  <c r="U224" i="39"/>
  <c r="V224" i="38"/>
  <c r="V224" i="39"/>
  <c r="W224" i="38"/>
  <c r="W224" i="39"/>
  <c r="X224" i="38"/>
  <c r="X224" i="39"/>
  <c r="Y224" i="38"/>
  <c r="Y224" i="39"/>
  <c r="Z224" i="38"/>
  <c r="Z224" i="39"/>
  <c r="AA224" i="38"/>
  <c r="AA224" i="39"/>
  <c r="AB224" i="38"/>
  <c r="AB224" i="39"/>
  <c r="AC224" i="38"/>
  <c r="AC224" i="39"/>
  <c r="AD224" i="38"/>
  <c r="AD224" i="39"/>
  <c r="AE224" i="38"/>
  <c r="AE224" i="39"/>
  <c r="AF224" i="38"/>
  <c r="AF224" i="39"/>
  <c r="AG224" i="38"/>
  <c r="AG224" i="39"/>
  <c r="AH224" i="38"/>
  <c r="AH224" i="39"/>
  <c r="AI224" i="38"/>
  <c r="AI224" i="39"/>
  <c r="AJ224" i="38"/>
  <c r="AJ224" i="39"/>
  <c r="AK224" i="38"/>
  <c r="AK224" i="39"/>
  <c r="AL224" i="38"/>
  <c r="AL224" i="39"/>
  <c r="AM224" i="38"/>
  <c r="AM224" i="39"/>
  <c r="AN224" i="38"/>
  <c r="AN224" i="39"/>
  <c r="AO224" i="38"/>
  <c r="AO224" i="39"/>
  <c r="AP224" i="38"/>
  <c r="AP224" i="39"/>
  <c r="AQ224" i="38"/>
  <c r="AQ224" i="39"/>
  <c r="Q225" i="39"/>
  <c r="R225" i="39"/>
  <c r="S225" i="39"/>
  <c r="T225" i="39"/>
  <c r="U225" i="39"/>
  <c r="V225" i="39"/>
  <c r="W225" i="39"/>
  <c r="X225" i="39"/>
  <c r="Y225" i="39"/>
  <c r="Z225" i="39"/>
  <c r="AA225" i="39"/>
  <c r="AB225" i="39"/>
  <c r="AC225" i="39"/>
  <c r="AD225" i="39"/>
  <c r="AE225" i="39"/>
  <c r="AF225" i="39"/>
  <c r="AG225" i="39"/>
  <c r="AH225" i="39"/>
  <c r="AI225" i="39"/>
  <c r="AJ225" i="39"/>
  <c r="AK225" i="39"/>
  <c r="AL225" i="39"/>
  <c r="AM225" i="39"/>
  <c r="AN225" i="39"/>
  <c r="AO225" i="39"/>
  <c r="AP225" i="39"/>
  <c r="AQ225" i="39"/>
  <c r="Q226" i="39"/>
  <c r="R226" i="39"/>
  <c r="S226" i="39"/>
  <c r="T226" i="39"/>
  <c r="U226" i="39"/>
  <c r="V226" i="39"/>
  <c r="W226" i="39"/>
  <c r="X226" i="39"/>
  <c r="Y226" i="39"/>
  <c r="Z226" i="39"/>
  <c r="AA226" i="39"/>
  <c r="AB226" i="39"/>
  <c r="AC226" i="39"/>
  <c r="AD226" i="39"/>
  <c r="AE226" i="39"/>
  <c r="AF226" i="39"/>
  <c r="AG226" i="39"/>
  <c r="AH226" i="39"/>
  <c r="AI226" i="39"/>
  <c r="AJ226" i="39"/>
  <c r="AK226" i="39"/>
  <c r="AL226" i="39"/>
  <c r="AM226" i="39"/>
  <c r="AN226" i="39"/>
  <c r="AO226" i="39"/>
  <c r="AP226" i="39"/>
  <c r="AQ226" i="39"/>
  <c r="Q227" i="39"/>
  <c r="R227" i="39"/>
  <c r="S227" i="39"/>
  <c r="T227" i="39"/>
  <c r="U227" i="39"/>
  <c r="V227" i="39"/>
  <c r="W227" i="39"/>
  <c r="X227" i="39"/>
  <c r="Y227" i="39"/>
  <c r="Z227" i="39"/>
  <c r="AA227" i="39"/>
  <c r="AB227" i="39"/>
  <c r="AC227" i="39"/>
  <c r="AD227" i="39"/>
  <c r="AE227" i="39"/>
  <c r="AF227" i="39"/>
  <c r="AG227" i="39"/>
  <c r="AH227" i="39"/>
  <c r="AI227" i="39"/>
  <c r="AJ227" i="39"/>
  <c r="AK227" i="39"/>
  <c r="AL227" i="39"/>
  <c r="AM227" i="39"/>
  <c r="AN227" i="39"/>
  <c r="AO227" i="39"/>
  <c r="AP227" i="39"/>
  <c r="AQ227" i="39"/>
  <c r="Q228" i="39"/>
  <c r="R228" i="39"/>
  <c r="S228" i="39"/>
  <c r="T228" i="39"/>
  <c r="U228" i="39"/>
  <c r="V228" i="39"/>
  <c r="W228" i="39"/>
  <c r="X228" i="39"/>
  <c r="Y228" i="39"/>
  <c r="Z228" i="39"/>
  <c r="AA228" i="39"/>
  <c r="AB228" i="39"/>
  <c r="AC228" i="39"/>
  <c r="AD228" i="39"/>
  <c r="AE228" i="39"/>
  <c r="AF228" i="39"/>
  <c r="AG228" i="39"/>
  <c r="AH228" i="39"/>
  <c r="AI228" i="39"/>
  <c r="AJ228" i="39"/>
  <c r="AK228" i="39"/>
  <c r="AL228" i="39"/>
  <c r="AM228" i="39"/>
  <c r="AN228" i="39"/>
  <c r="AO228" i="39"/>
  <c r="AP228" i="39"/>
  <c r="AQ228" i="39"/>
  <c r="Q229" i="39"/>
  <c r="R229" i="39"/>
  <c r="S229" i="39"/>
  <c r="T229" i="39"/>
  <c r="U229" i="39"/>
  <c r="V229" i="39"/>
  <c r="W229" i="39"/>
  <c r="X229" i="39"/>
  <c r="Y229" i="39"/>
  <c r="Z229" i="39"/>
  <c r="AA229" i="39"/>
  <c r="AB229" i="39"/>
  <c r="AC229" i="39"/>
  <c r="AD229" i="39"/>
  <c r="AE229" i="39"/>
  <c r="AF229" i="39"/>
  <c r="AG229" i="39"/>
  <c r="AH229" i="39"/>
  <c r="AI229" i="39"/>
  <c r="AJ229" i="39"/>
  <c r="AK229" i="39"/>
  <c r="AL229" i="39"/>
  <c r="AM229" i="39"/>
  <c r="AN229" i="39"/>
  <c r="AO229" i="39"/>
  <c r="AP229" i="39"/>
  <c r="AQ229" i="39"/>
  <c r="Q230" i="39"/>
  <c r="R230" i="39"/>
  <c r="S230" i="39"/>
  <c r="T230" i="39"/>
  <c r="U230" i="39"/>
  <c r="V230" i="39"/>
  <c r="W230" i="39"/>
  <c r="X230" i="39"/>
  <c r="Y230" i="39"/>
  <c r="Z230" i="39"/>
  <c r="AA230" i="39"/>
  <c r="AB230" i="39"/>
  <c r="AC230" i="39"/>
  <c r="AD230" i="39"/>
  <c r="AE230" i="39"/>
  <c r="AF230" i="39"/>
  <c r="AG230" i="39"/>
  <c r="AH230" i="39"/>
  <c r="AI230" i="39"/>
  <c r="AJ230" i="39"/>
  <c r="AK230" i="39"/>
  <c r="AL230" i="39"/>
  <c r="AM230" i="39"/>
  <c r="AN230" i="39"/>
  <c r="AO230" i="39"/>
  <c r="AP230" i="39"/>
  <c r="AQ230" i="39"/>
  <c r="Q231" i="39"/>
  <c r="R231" i="39"/>
  <c r="S231" i="39"/>
  <c r="T231" i="39"/>
  <c r="U231" i="39"/>
  <c r="V231" i="39"/>
  <c r="W231" i="39"/>
  <c r="X231" i="39"/>
  <c r="Y231" i="39"/>
  <c r="Z231" i="39"/>
  <c r="AA231" i="39"/>
  <c r="AB231" i="39"/>
  <c r="AC231" i="39"/>
  <c r="AD231" i="39"/>
  <c r="AE231" i="39"/>
  <c r="AF231" i="39"/>
  <c r="AG231" i="39"/>
  <c r="AH231" i="39"/>
  <c r="AI231" i="39"/>
  <c r="AJ231" i="39"/>
  <c r="AK231" i="39"/>
  <c r="AL231" i="39"/>
  <c r="AM231" i="39"/>
  <c r="AN231" i="39"/>
  <c r="AO231" i="39"/>
  <c r="AP231" i="39"/>
  <c r="AQ231" i="39"/>
  <c r="Q232" i="39"/>
  <c r="R232" i="39"/>
  <c r="S232" i="39"/>
  <c r="T232" i="39"/>
  <c r="U232" i="39"/>
  <c r="V232" i="39"/>
  <c r="W232" i="39"/>
  <c r="X232" i="39"/>
  <c r="Y232" i="39"/>
  <c r="Z232" i="39"/>
  <c r="AA232" i="39"/>
  <c r="AB232" i="39"/>
  <c r="AC232" i="39"/>
  <c r="AD232" i="39"/>
  <c r="AE232" i="39"/>
  <c r="AF232" i="39"/>
  <c r="AG232" i="39"/>
  <c r="AH232" i="39"/>
  <c r="AI232" i="39"/>
  <c r="AJ232" i="39"/>
  <c r="AK232" i="39"/>
  <c r="AL232" i="39"/>
  <c r="AM232" i="39"/>
  <c r="AN232" i="39"/>
  <c r="AO232" i="39"/>
  <c r="AP232" i="39"/>
  <c r="AQ232" i="39"/>
  <c r="Q233" i="39"/>
  <c r="R233" i="39"/>
  <c r="S233" i="39"/>
  <c r="T233" i="39"/>
  <c r="U233" i="39"/>
  <c r="V233" i="39"/>
  <c r="W233" i="39"/>
  <c r="X233" i="39"/>
  <c r="Y233" i="39"/>
  <c r="Z233" i="39"/>
  <c r="AA233" i="39"/>
  <c r="AB233" i="39"/>
  <c r="AC233" i="39"/>
  <c r="AD233" i="39"/>
  <c r="AE233" i="39"/>
  <c r="AF233" i="39"/>
  <c r="AG233" i="39"/>
  <c r="AH233" i="39"/>
  <c r="AI233" i="39"/>
  <c r="AJ233" i="39"/>
  <c r="AK233" i="39"/>
  <c r="AL233" i="39"/>
  <c r="AM233" i="39"/>
  <c r="AN233" i="39"/>
  <c r="AO233" i="39"/>
  <c r="AP233" i="39"/>
  <c r="AQ233" i="39"/>
  <c r="Q234" i="39"/>
  <c r="R234" i="39"/>
  <c r="S234" i="39"/>
  <c r="T234" i="39"/>
  <c r="U234" i="39"/>
  <c r="V234" i="39"/>
  <c r="W234" i="39"/>
  <c r="X234" i="39"/>
  <c r="Y234" i="39"/>
  <c r="Z234" i="39"/>
  <c r="AA234" i="39"/>
  <c r="AB234" i="39"/>
  <c r="AC234" i="39"/>
  <c r="AD234" i="39"/>
  <c r="AE234" i="39"/>
  <c r="AF234" i="39"/>
  <c r="AG234" i="39"/>
  <c r="AH234" i="39"/>
  <c r="AI234" i="39"/>
  <c r="AJ234" i="39"/>
  <c r="AK234" i="39"/>
  <c r="AL234" i="39"/>
  <c r="AM234" i="39"/>
  <c r="AN234" i="39"/>
  <c r="AO234" i="39"/>
  <c r="AP234" i="39"/>
  <c r="AQ234" i="39"/>
  <c r="Q235" i="39"/>
  <c r="R235" i="39"/>
  <c r="S235" i="39"/>
  <c r="T235" i="39"/>
  <c r="U235" i="39"/>
  <c r="V235" i="39"/>
  <c r="W235" i="39"/>
  <c r="X235" i="39"/>
  <c r="Y235" i="39"/>
  <c r="Z235" i="39"/>
  <c r="AA235" i="39"/>
  <c r="AB235" i="39"/>
  <c r="AC235" i="39"/>
  <c r="AD235" i="39"/>
  <c r="AE235" i="39"/>
  <c r="AF235" i="39"/>
  <c r="AG235" i="39"/>
  <c r="AH235" i="39"/>
  <c r="AI235" i="39"/>
  <c r="AJ235" i="39"/>
  <c r="AK235" i="39"/>
  <c r="AL235" i="39"/>
  <c r="AM235" i="39"/>
  <c r="AN235" i="39"/>
  <c r="AO235" i="39"/>
  <c r="AP235" i="39"/>
  <c r="AQ235" i="39"/>
  <c r="Q236" i="38"/>
  <c r="Q236" i="39"/>
  <c r="R236" i="39"/>
  <c r="S236" i="38"/>
  <c r="S236" i="39"/>
  <c r="T236" i="38"/>
  <c r="T236" i="39"/>
  <c r="U236" i="38"/>
  <c r="U236" i="39"/>
  <c r="V236" i="38"/>
  <c r="V236" i="39"/>
  <c r="W236" i="38"/>
  <c r="W236" i="39"/>
  <c r="X236" i="38"/>
  <c r="X236" i="39"/>
  <c r="Y236" i="38"/>
  <c r="Y236" i="39"/>
  <c r="Z236" i="38"/>
  <c r="Z236" i="39"/>
  <c r="AA236" i="38"/>
  <c r="AA236" i="39"/>
  <c r="AB236" i="39"/>
  <c r="AC236" i="38"/>
  <c r="AC236" i="39"/>
  <c r="AD236" i="38"/>
  <c r="AD236" i="39"/>
  <c r="AE236" i="38"/>
  <c r="AE236" i="39"/>
  <c r="AF236" i="38"/>
  <c r="AF236" i="39"/>
  <c r="AG236" i="39"/>
  <c r="AH236" i="38"/>
  <c r="AH236" i="39"/>
  <c r="AI236" i="38"/>
  <c r="AI236" i="39"/>
  <c r="AJ236" i="38"/>
  <c r="AJ236" i="39"/>
  <c r="AK236" i="38"/>
  <c r="AK236" i="39"/>
  <c r="AL236" i="39"/>
  <c r="AM236" i="38"/>
  <c r="AM236" i="39"/>
  <c r="AN236" i="38"/>
  <c r="AN236" i="39"/>
  <c r="AO236" i="38"/>
  <c r="AO236" i="39"/>
  <c r="AP236" i="38"/>
  <c r="AP236" i="39"/>
  <c r="AQ236" i="39"/>
  <c r="Q237" i="39"/>
  <c r="R237" i="39"/>
  <c r="S237" i="39"/>
  <c r="T237" i="39"/>
  <c r="U237" i="39"/>
  <c r="V237" i="39"/>
  <c r="W237" i="39"/>
  <c r="X237" i="39"/>
  <c r="Y237" i="39"/>
  <c r="Z237" i="39"/>
  <c r="AA237" i="39"/>
  <c r="AB237" i="39"/>
  <c r="AC237" i="39"/>
  <c r="AD237" i="39"/>
  <c r="AE237" i="39"/>
  <c r="AF237" i="39"/>
  <c r="AG237" i="39"/>
  <c r="AH237" i="39"/>
  <c r="AI237" i="39"/>
  <c r="AJ237" i="39"/>
  <c r="AK237" i="39"/>
  <c r="AL237" i="39"/>
  <c r="AM237" i="39"/>
  <c r="AN237" i="39"/>
  <c r="AO237" i="39"/>
  <c r="AP237" i="39"/>
  <c r="AQ237" i="39"/>
  <c r="Q238" i="39"/>
  <c r="R238" i="39"/>
  <c r="S238" i="39"/>
  <c r="T238" i="39"/>
  <c r="U238" i="39"/>
  <c r="V238" i="39"/>
  <c r="W238" i="39"/>
  <c r="X238" i="39"/>
  <c r="Y238" i="39"/>
  <c r="Z238" i="39"/>
  <c r="AA238" i="39"/>
  <c r="AB238" i="39"/>
  <c r="AC238" i="39"/>
  <c r="AD238" i="39"/>
  <c r="AE238" i="39"/>
  <c r="AF238" i="39"/>
  <c r="AG238" i="39"/>
  <c r="AH238" i="39"/>
  <c r="AI238" i="39"/>
  <c r="AJ238" i="39"/>
  <c r="AK238" i="39"/>
  <c r="AL238" i="39"/>
  <c r="AM238" i="39"/>
  <c r="AN238" i="39"/>
  <c r="AO238" i="39"/>
  <c r="AP238" i="39"/>
  <c r="AQ238" i="39"/>
  <c r="Q239" i="39"/>
  <c r="R239" i="39"/>
  <c r="S239" i="39"/>
  <c r="T239" i="39"/>
  <c r="U239" i="39"/>
  <c r="V239" i="39"/>
  <c r="W239" i="39"/>
  <c r="X239" i="39"/>
  <c r="Y239" i="39"/>
  <c r="Z239" i="39"/>
  <c r="AA239" i="39"/>
  <c r="AB239" i="39"/>
  <c r="AC239" i="39"/>
  <c r="AD239" i="39"/>
  <c r="AE239" i="39"/>
  <c r="AF239" i="39"/>
  <c r="AG239" i="39"/>
  <c r="AH239" i="39"/>
  <c r="AI239" i="39"/>
  <c r="AJ239" i="39"/>
  <c r="AK239" i="39"/>
  <c r="AL239" i="39"/>
  <c r="AM239" i="39"/>
  <c r="AN239" i="39"/>
  <c r="AO239" i="39"/>
  <c r="AP239" i="39"/>
  <c r="AQ239" i="39"/>
  <c r="Q240" i="39"/>
  <c r="R240" i="39"/>
  <c r="S240" i="39"/>
  <c r="T240" i="39"/>
  <c r="U240" i="39"/>
  <c r="V240" i="39"/>
  <c r="W240" i="39"/>
  <c r="X240" i="39"/>
  <c r="Y240" i="39"/>
  <c r="Z240" i="39"/>
  <c r="AA240" i="39"/>
  <c r="AB240" i="39"/>
  <c r="AC240" i="39"/>
  <c r="AD240" i="39"/>
  <c r="AE240" i="39"/>
  <c r="AF240" i="39"/>
  <c r="AG240" i="39"/>
  <c r="AH240" i="39"/>
  <c r="AI240" i="39"/>
  <c r="AJ240" i="39"/>
  <c r="AK240" i="39"/>
  <c r="AL240" i="39"/>
  <c r="AM240" i="39"/>
  <c r="AN240" i="39"/>
  <c r="AO240" i="39"/>
  <c r="AP240" i="39"/>
  <c r="AQ240" i="39"/>
  <c r="Q241" i="39"/>
  <c r="R241" i="39"/>
  <c r="S241" i="39"/>
  <c r="T241" i="39"/>
  <c r="U241" i="39"/>
  <c r="V241" i="39"/>
  <c r="W241" i="39"/>
  <c r="X241" i="39"/>
  <c r="Y241" i="39"/>
  <c r="Z241" i="39"/>
  <c r="AA241" i="39"/>
  <c r="AB241" i="39"/>
  <c r="AC241" i="39"/>
  <c r="AD241" i="39"/>
  <c r="AE241" i="39"/>
  <c r="AF241" i="39"/>
  <c r="AG241" i="39"/>
  <c r="AH241" i="39"/>
  <c r="AI241" i="39"/>
  <c r="AJ241" i="39"/>
  <c r="AK241" i="39"/>
  <c r="AL241" i="39"/>
  <c r="AM241" i="39"/>
  <c r="AN241" i="39"/>
  <c r="AO241" i="39"/>
  <c r="AP241" i="39"/>
  <c r="AQ241" i="39"/>
  <c r="Q242" i="39"/>
  <c r="R242" i="39"/>
  <c r="S242" i="39"/>
  <c r="T242" i="39"/>
  <c r="U242" i="39"/>
  <c r="V242" i="39"/>
  <c r="W242" i="39"/>
  <c r="X242" i="39"/>
  <c r="Y242" i="39"/>
  <c r="Z242" i="39"/>
  <c r="AA242" i="39"/>
  <c r="AB242" i="39"/>
  <c r="AC242" i="39"/>
  <c r="AD242" i="39"/>
  <c r="AE242" i="39"/>
  <c r="AF242" i="39"/>
  <c r="AG242" i="39"/>
  <c r="AH242" i="39"/>
  <c r="AI242" i="39"/>
  <c r="AJ242" i="39"/>
  <c r="AK242" i="39"/>
  <c r="AL242" i="39"/>
  <c r="AM242" i="39"/>
  <c r="AN242" i="39"/>
  <c r="AO242" i="39"/>
  <c r="AP242" i="39"/>
  <c r="AQ242" i="39"/>
  <c r="Q243" i="39"/>
  <c r="R243" i="39"/>
  <c r="S243" i="39"/>
  <c r="T243" i="39"/>
  <c r="U243" i="39"/>
  <c r="V243" i="39"/>
  <c r="W243" i="39"/>
  <c r="X243" i="39"/>
  <c r="Y243" i="39"/>
  <c r="Z243" i="39"/>
  <c r="AA243" i="39"/>
  <c r="AB243" i="39"/>
  <c r="AC243" i="39"/>
  <c r="AD243" i="39"/>
  <c r="AE243" i="39"/>
  <c r="AF243" i="39"/>
  <c r="AG243" i="39"/>
  <c r="AH243" i="39"/>
  <c r="AI243" i="39"/>
  <c r="AJ243" i="39"/>
  <c r="AK243" i="39"/>
  <c r="AL243" i="39"/>
  <c r="AM243" i="39"/>
  <c r="AN243" i="39"/>
  <c r="AO243" i="39"/>
  <c r="AP243" i="39"/>
  <c r="AQ243" i="39"/>
  <c r="Q244" i="39"/>
  <c r="R244" i="39"/>
  <c r="S244" i="39"/>
  <c r="T244" i="39"/>
  <c r="U244" i="39"/>
  <c r="V244" i="39"/>
  <c r="W244" i="39"/>
  <c r="X244" i="39"/>
  <c r="Y244" i="39"/>
  <c r="Z244" i="39"/>
  <c r="AA244" i="39"/>
  <c r="AB244" i="39"/>
  <c r="AC244" i="39"/>
  <c r="AD244" i="39"/>
  <c r="AE244" i="39"/>
  <c r="AF244" i="39"/>
  <c r="AG244" i="39"/>
  <c r="AH244" i="39"/>
  <c r="AI244" i="39"/>
  <c r="AJ244" i="39"/>
  <c r="AK244" i="39"/>
  <c r="AL244" i="39"/>
  <c r="AM244" i="39"/>
  <c r="AN244" i="39"/>
  <c r="AO244" i="39"/>
  <c r="AP244" i="39"/>
  <c r="AQ244" i="39"/>
  <c r="Q245" i="39"/>
  <c r="R245" i="39"/>
  <c r="S245" i="39"/>
  <c r="T245" i="39"/>
  <c r="U245" i="39"/>
  <c r="V245" i="39"/>
  <c r="W245" i="39"/>
  <c r="X245" i="39"/>
  <c r="Y245" i="39"/>
  <c r="Z245" i="39"/>
  <c r="AA245" i="39"/>
  <c r="AB245" i="39"/>
  <c r="AC245" i="39"/>
  <c r="AD245" i="39"/>
  <c r="AE245" i="39"/>
  <c r="AF245" i="39"/>
  <c r="AG245" i="39"/>
  <c r="AH245" i="39"/>
  <c r="AI245" i="39"/>
  <c r="AJ245" i="39"/>
  <c r="AK245" i="39"/>
  <c r="AL245" i="39"/>
  <c r="AM245" i="39"/>
  <c r="AN245" i="39"/>
  <c r="AO245" i="39"/>
  <c r="AP245" i="39"/>
  <c r="AQ245" i="39"/>
  <c r="Q246" i="39"/>
  <c r="R246" i="39"/>
  <c r="S246" i="39"/>
  <c r="T246" i="39"/>
  <c r="U246" i="39"/>
  <c r="V246" i="39"/>
  <c r="W246" i="39"/>
  <c r="X246" i="39"/>
  <c r="Y246" i="39"/>
  <c r="Z246" i="39"/>
  <c r="AA246" i="39"/>
  <c r="AB246" i="39"/>
  <c r="AC246" i="39"/>
  <c r="AD246" i="39"/>
  <c r="AE246" i="39"/>
  <c r="AF246" i="39"/>
  <c r="AG246" i="39"/>
  <c r="AH246" i="39"/>
  <c r="AI246" i="39"/>
  <c r="AJ246" i="39"/>
  <c r="AK246" i="39"/>
  <c r="AL246" i="39"/>
  <c r="AM246" i="39"/>
  <c r="AN246" i="39"/>
  <c r="AO246" i="39"/>
  <c r="AP246" i="39"/>
  <c r="AQ246" i="39"/>
  <c r="Q247" i="39"/>
  <c r="R247" i="39"/>
  <c r="S247" i="39"/>
  <c r="T247" i="39"/>
  <c r="U247" i="39"/>
  <c r="V247" i="39"/>
  <c r="W247" i="39"/>
  <c r="X247" i="39"/>
  <c r="Y247" i="39"/>
  <c r="Z247" i="39"/>
  <c r="AA247" i="39"/>
  <c r="AB247" i="39"/>
  <c r="AC247" i="39"/>
  <c r="AD247" i="39"/>
  <c r="AE247" i="39"/>
  <c r="AF247" i="39"/>
  <c r="AG247" i="39"/>
  <c r="AH247" i="39"/>
  <c r="AI247" i="39"/>
  <c r="AJ247" i="39"/>
  <c r="AK247" i="39"/>
  <c r="AL247" i="39"/>
  <c r="AM247" i="39"/>
  <c r="AN247" i="39"/>
  <c r="AO247" i="39"/>
  <c r="AP247" i="39"/>
  <c r="AQ247" i="39"/>
  <c r="Q248" i="39"/>
  <c r="R248" i="39"/>
  <c r="S248" i="39"/>
  <c r="T248" i="39"/>
  <c r="U248" i="39"/>
  <c r="V248" i="39"/>
  <c r="W248" i="39"/>
  <c r="X248" i="39"/>
  <c r="Y248" i="39"/>
  <c r="Z248" i="39"/>
  <c r="AA248" i="39"/>
  <c r="AB248" i="39"/>
  <c r="AC248" i="39"/>
  <c r="AD248" i="39"/>
  <c r="AE248" i="39"/>
  <c r="AF248" i="39"/>
  <c r="AG248" i="39"/>
  <c r="AH248" i="39"/>
  <c r="AI248" i="39"/>
  <c r="AJ248" i="39"/>
  <c r="AK248" i="39"/>
  <c r="AL248" i="39"/>
  <c r="AM248" i="39"/>
  <c r="AN248" i="39"/>
  <c r="AO248" i="39"/>
  <c r="AP248" i="39"/>
  <c r="AQ248" i="39"/>
  <c r="Q249" i="39"/>
  <c r="R249" i="39"/>
  <c r="S249" i="39"/>
  <c r="T249" i="39"/>
  <c r="U249" i="39"/>
  <c r="V249" i="39"/>
  <c r="W249" i="39"/>
  <c r="X249" i="39"/>
  <c r="Y249" i="39"/>
  <c r="Z249" i="39"/>
  <c r="AA249" i="39"/>
  <c r="AB249" i="39"/>
  <c r="AC249" i="39"/>
  <c r="AD249" i="39"/>
  <c r="AE249" i="39"/>
  <c r="AF249" i="39"/>
  <c r="AG249" i="39"/>
  <c r="AH249" i="39"/>
  <c r="AI249" i="39"/>
  <c r="AJ249" i="39"/>
  <c r="AK249" i="39"/>
  <c r="AL249" i="39"/>
  <c r="AM249" i="39"/>
  <c r="AN249" i="39"/>
  <c r="AO249" i="39"/>
  <c r="AP249" i="39"/>
  <c r="AQ249" i="39"/>
  <c r="Q250" i="39"/>
  <c r="R250" i="39"/>
  <c r="S250" i="39"/>
  <c r="T250" i="39"/>
  <c r="U250" i="39"/>
  <c r="V250" i="39"/>
  <c r="W250" i="39"/>
  <c r="X250" i="39"/>
  <c r="Y250" i="39"/>
  <c r="Z250" i="39"/>
  <c r="AA250" i="39"/>
  <c r="AB250" i="39"/>
  <c r="AC250" i="39"/>
  <c r="AD250" i="39"/>
  <c r="AE250" i="39"/>
  <c r="AF250" i="39"/>
  <c r="AG250" i="39"/>
  <c r="AH250" i="39"/>
  <c r="AI250" i="39"/>
  <c r="AJ250" i="39"/>
  <c r="AK250" i="39"/>
  <c r="AL250" i="39"/>
  <c r="AM250" i="39"/>
  <c r="AN250" i="39"/>
  <c r="AO250" i="39"/>
  <c r="AP250" i="39"/>
  <c r="AQ250" i="39"/>
  <c r="Q251" i="39"/>
  <c r="R251" i="39"/>
  <c r="S251" i="39"/>
  <c r="T251" i="39"/>
  <c r="U251" i="39"/>
  <c r="V251" i="39"/>
  <c r="W251" i="39"/>
  <c r="X251" i="39"/>
  <c r="Y251" i="39"/>
  <c r="Z251" i="39"/>
  <c r="AA251" i="39"/>
  <c r="AB251" i="39"/>
  <c r="AC251" i="39"/>
  <c r="AD251" i="39"/>
  <c r="AE251" i="39"/>
  <c r="AF251" i="39"/>
  <c r="AG251" i="39"/>
  <c r="AH251" i="39"/>
  <c r="AI251" i="39"/>
  <c r="AJ251" i="39"/>
  <c r="AK251" i="39"/>
  <c r="AL251" i="39"/>
  <c r="AM251" i="39"/>
  <c r="AN251" i="39"/>
  <c r="AO251" i="39"/>
  <c r="AP251" i="39"/>
  <c r="AQ251" i="39"/>
  <c r="Q252" i="39"/>
  <c r="R252" i="39"/>
  <c r="S252" i="39"/>
  <c r="T252" i="39"/>
  <c r="U252" i="39"/>
  <c r="V252" i="39"/>
  <c r="W252" i="39"/>
  <c r="X252" i="39"/>
  <c r="Y252" i="39"/>
  <c r="Z252" i="39"/>
  <c r="AA252" i="39"/>
  <c r="AB252" i="39"/>
  <c r="AC252" i="39"/>
  <c r="AD252" i="39"/>
  <c r="AE252" i="39"/>
  <c r="AF252" i="39"/>
  <c r="AG252" i="39"/>
  <c r="AH252" i="39"/>
  <c r="AI252" i="39"/>
  <c r="AJ252" i="39"/>
  <c r="AK252" i="39"/>
  <c r="AL252" i="39"/>
  <c r="AM252" i="39"/>
  <c r="AN252" i="39"/>
  <c r="AO252" i="39"/>
  <c r="AP252" i="39"/>
  <c r="AQ252" i="39"/>
  <c r="Q253" i="39"/>
  <c r="R253" i="39"/>
  <c r="S253" i="39"/>
  <c r="T253" i="39"/>
  <c r="U253" i="39"/>
  <c r="V253" i="39"/>
  <c r="W253" i="39"/>
  <c r="X253" i="39"/>
  <c r="Y253" i="39"/>
  <c r="Z253" i="39"/>
  <c r="AA253" i="39"/>
  <c r="AB253" i="39"/>
  <c r="AC253" i="39"/>
  <c r="AD253" i="39"/>
  <c r="AE253" i="39"/>
  <c r="AF253" i="39"/>
  <c r="AG253" i="39"/>
  <c r="AH253" i="39"/>
  <c r="AI253" i="39"/>
  <c r="AJ253" i="39"/>
  <c r="AK253" i="39"/>
  <c r="AL253" i="39"/>
  <c r="AM253" i="39"/>
  <c r="AN253" i="39"/>
  <c r="AO253" i="39"/>
  <c r="AP253" i="39"/>
  <c r="AQ253" i="39"/>
  <c r="Q254" i="39"/>
  <c r="R254" i="39"/>
  <c r="S254" i="39"/>
  <c r="T254" i="39"/>
  <c r="U254" i="39"/>
  <c r="V254" i="39"/>
  <c r="W254" i="39"/>
  <c r="X254" i="39"/>
  <c r="Y254" i="39"/>
  <c r="Z254" i="39"/>
  <c r="AA254" i="39"/>
  <c r="AB254" i="39"/>
  <c r="AC254" i="39"/>
  <c r="AD254" i="39"/>
  <c r="AE254" i="39"/>
  <c r="AF254" i="39"/>
  <c r="AG254" i="39"/>
  <c r="AH254" i="39"/>
  <c r="AI254" i="39"/>
  <c r="AJ254" i="39"/>
  <c r="AK254" i="39"/>
  <c r="AL254" i="39"/>
  <c r="AM254" i="39"/>
  <c r="AN254" i="39"/>
  <c r="AO254" i="39"/>
  <c r="AP254" i="39"/>
  <c r="AQ254" i="39"/>
  <c r="Q255" i="39"/>
  <c r="R255" i="39"/>
  <c r="S255" i="39"/>
  <c r="T255" i="39"/>
  <c r="U255" i="39"/>
  <c r="V255" i="39"/>
  <c r="W255" i="39"/>
  <c r="X255" i="39"/>
  <c r="Y255" i="39"/>
  <c r="Z255" i="39"/>
  <c r="AA255" i="39"/>
  <c r="AB255" i="39"/>
  <c r="AC255" i="39"/>
  <c r="AD255" i="39"/>
  <c r="AE255" i="39"/>
  <c r="AF255" i="39"/>
  <c r="AG255" i="39"/>
  <c r="AH255" i="39"/>
  <c r="AI255" i="39"/>
  <c r="AJ255" i="39"/>
  <c r="AK255" i="39"/>
  <c r="AL255" i="39"/>
  <c r="AM255" i="39"/>
  <c r="AN255" i="39"/>
  <c r="AO255" i="39"/>
  <c r="AP255" i="39"/>
  <c r="AQ255" i="39"/>
  <c r="Q256" i="39"/>
  <c r="R256" i="39"/>
  <c r="S256" i="39"/>
  <c r="T256" i="39"/>
  <c r="U256" i="39"/>
  <c r="V256" i="39"/>
  <c r="W256" i="39"/>
  <c r="X256" i="39"/>
  <c r="Y256" i="39"/>
  <c r="Z256" i="39"/>
  <c r="AA256" i="39"/>
  <c r="AB256" i="39"/>
  <c r="AC256" i="39"/>
  <c r="AD256" i="39"/>
  <c r="AE256" i="39"/>
  <c r="AF256" i="39"/>
  <c r="AG256" i="39"/>
  <c r="AH256" i="39"/>
  <c r="AI256" i="39"/>
  <c r="AJ256" i="39"/>
  <c r="AK256" i="39"/>
  <c r="AL256" i="39"/>
  <c r="AM256" i="39"/>
  <c r="AN256" i="39"/>
  <c r="AO256" i="39"/>
  <c r="AP256" i="39"/>
  <c r="AQ256" i="39"/>
  <c r="Q257" i="39"/>
  <c r="R257" i="39"/>
  <c r="S257" i="39"/>
  <c r="T257" i="39"/>
  <c r="U257" i="39"/>
  <c r="V257" i="39"/>
  <c r="W257" i="39"/>
  <c r="X257" i="39"/>
  <c r="Y257" i="39"/>
  <c r="Z257" i="39"/>
  <c r="AA257" i="39"/>
  <c r="AB257" i="39"/>
  <c r="AC257" i="39"/>
  <c r="AD257" i="39"/>
  <c r="AE257" i="39"/>
  <c r="AF257" i="39"/>
  <c r="AG257" i="39"/>
  <c r="AH257" i="39"/>
  <c r="AI257" i="39"/>
  <c r="AJ257" i="39"/>
  <c r="AK257" i="39"/>
  <c r="AL257" i="39"/>
  <c r="AM257" i="39"/>
  <c r="AN257" i="39"/>
  <c r="AO257" i="39"/>
  <c r="AP257" i="39"/>
  <c r="AQ257" i="39"/>
  <c r="Q258" i="39"/>
  <c r="R258" i="39"/>
  <c r="S258" i="39"/>
  <c r="T258" i="39"/>
  <c r="U258" i="39"/>
  <c r="V258" i="39"/>
  <c r="W258" i="39"/>
  <c r="X258" i="39"/>
  <c r="Y258" i="39"/>
  <c r="Z258" i="39"/>
  <c r="AA258" i="39"/>
  <c r="AB258" i="39"/>
  <c r="AC258" i="39"/>
  <c r="AD258" i="39"/>
  <c r="AE258" i="39"/>
  <c r="AF258" i="39"/>
  <c r="AG258" i="39"/>
  <c r="AH258" i="39"/>
  <c r="AI258" i="39"/>
  <c r="AJ258" i="39"/>
  <c r="AK258" i="39"/>
  <c r="AL258" i="39"/>
  <c r="AM258" i="39"/>
  <c r="AN258" i="39"/>
  <c r="AO258" i="39"/>
  <c r="AP258" i="39"/>
  <c r="AQ258" i="39"/>
  <c r="Q259" i="39"/>
  <c r="R259" i="39"/>
  <c r="S259" i="39"/>
  <c r="T259" i="39"/>
  <c r="U259" i="39"/>
  <c r="V259" i="39"/>
  <c r="W259" i="39"/>
  <c r="X259" i="39"/>
  <c r="Y259" i="39"/>
  <c r="Z259" i="39"/>
  <c r="AA259" i="39"/>
  <c r="AB259" i="39"/>
  <c r="AC259" i="39"/>
  <c r="AD259" i="39"/>
  <c r="AE259" i="39"/>
  <c r="AF259" i="39"/>
  <c r="AG259" i="39"/>
  <c r="AH259" i="39"/>
  <c r="AI259" i="39"/>
  <c r="AJ259" i="39"/>
  <c r="AK259" i="39"/>
  <c r="AL259" i="39"/>
  <c r="AM259" i="39"/>
  <c r="AN259" i="39"/>
  <c r="AO259" i="39"/>
  <c r="AP259" i="39"/>
  <c r="AQ259" i="39"/>
  <c r="Q260" i="39"/>
  <c r="R260" i="39"/>
  <c r="S260" i="39"/>
  <c r="T260" i="39"/>
  <c r="U260" i="39"/>
  <c r="V260" i="39"/>
  <c r="W260" i="39"/>
  <c r="X260" i="39"/>
  <c r="Y260" i="39"/>
  <c r="Z260" i="39"/>
  <c r="AA260" i="39"/>
  <c r="AB260" i="39"/>
  <c r="AC260" i="39"/>
  <c r="AD260" i="39"/>
  <c r="AE260" i="39"/>
  <c r="AF260" i="39"/>
  <c r="AG260" i="39"/>
  <c r="AH260" i="39"/>
  <c r="AI260" i="39"/>
  <c r="AJ260" i="39"/>
  <c r="AK260" i="39"/>
  <c r="AL260" i="39"/>
  <c r="AM260" i="39"/>
  <c r="AN260" i="39"/>
  <c r="AO260" i="39"/>
  <c r="AP260" i="39"/>
  <c r="AQ260" i="39"/>
  <c r="Q261" i="39"/>
  <c r="R261" i="39"/>
  <c r="S261" i="39"/>
  <c r="T261" i="39"/>
  <c r="U261" i="39"/>
  <c r="V261" i="39"/>
  <c r="W261" i="39"/>
  <c r="X261" i="39"/>
  <c r="Y261" i="39"/>
  <c r="Z261" i="39"/>
  <c r="AA261" i="39"/>
  <c r="AB261" i="39"/>
  <c r="AC261" i="39"/>
  <c r="AD261" i="39"/>
  <c r="AE261" i="39"/>
  <c r="AF261" i="39"/>
  <c r="AG261" i="39"/>
  <c r="AH261" i="39"/>
  <c r="AI261" i="39"/>
  <c r="AJ261" i="39"/>
  <c r="AK261" i="39"/>
  <c r="AL261" i="39"/>
  <c r="AM261" i="39"/>
  <c r="AN261" i="39"/>
  <c r="AO261" i="39"/>
  <c r="AP261" i="39"/>
  <c r="AQ261" i="39"/>
  <c r="Q262" i="39"/>
  <c r="R262" i="39"/>
  <c r="S262" i="39"/>
  <c r="T262" i="39"/>
  <c r="U262" i="39"/>
  <c r="V262" i="39"/>
  <c r="W262" i="39"/>
  <c r="X262" i="39"/>
  <c r="Y262" i="39"/>
  <c r="Z262" i="39"/>
  <c r="AA262" i="39"/>
  <c r="AB262" i="39"/>
  <c r="AC262" i="39"/>
  <c r="AD262" i="39"/>
  <c r="AE262" i="39"/>
  <c r="AF262" i="39"/>
  <c r="AG262" i="39"/>
  <c r="AH262" i="39"/>
  <c r="AI262" i="39"/>
  <c r="AJ262" i="39"/>
  <c r="AK262" i="39"/>
  <c r="AL262" i="39"/>
  <c r="AM262" i="39"/>
  <c r="AN262" i="39"/>
  <c r="AO262" i="39"/>
  <c r="AP262" i="39"/>
  <c r="AQ262" i="38"/>
  <c r="AQ262" i="39"/>
  <c r="Q263" i="39"/>
  <c r="R263" i="39"/>
  <c r="S263" i="39"/>
  <c r="T263" i="39"/>
  <c r="U263" i="39"/>
  <c r="V263" i="39"/>
  <c r="W263" i="39"/>
  <c r="X263" i="39"/>
  <c r="Y263" i="39"/>
  <c r="Z263" i="39"/>
  <c r="AA263" i="39"/>
  <c r="AB263" i="39"/>
  <c r="AC263" i="39"/>
  <c r="AD263" i="39"/>
  <c r="AE263" i="39"/>
  <c r="AF263" i="39"/>
  <c r="AG263" i="39"/>
  <c r="AH263" i="39"/>
  <c r="AI263" i="39"/>
  <c r="AJ263" i="39"/>
  <c r="AK263" i="39"/>
  <c r="AL263" i="39"/>
  <c r="AM263" i="39"/>
  <c r="AN263" i="39"/>
  <c r="AO263" i="39"/>
  <c r="AP263" i="39"/>
  <c r="AQ263" i="38"/>
  <c r="AQ263" i="39"/>
  <c r="Q264" i="39"/>
  <c r="R264" i="39"/>
  <c r="S264" i="39"/>
  <c r="T264" i="39"/>
  <c r="U264" i="39"/>
  <c r="V264" i="39"/>
  <c r="W264" i="39"/>
  <c r="X264" i="39"/>
  <c r="Y264" i="39"/>
  <c r="Z264" i="39"/>
  <c r="AA264" i="39"/>
  <c r="AB264" i="39"/>
  <c r="AC264" i="39"/>
  <c r="AD264" i="39"/>
  <c r="AE264" i="39"/>
  <c r="AF264" i="39"/>
  <c r="AG264" i="39"/>
  <c r="AH264" i="39"/>
  <c r="AI264" i="39"/>
  <c r="AJ264" i="39"/>
  <c r="AK264" i="39"/>
  <c r="AL264" i="39"/>
  <c r="AM264" i="39"/>
  <c r="AN264" i="39"/>
  <c r="AO264" i="39"/>
  <c r="AP264" i="39"/>
  <c r="AQ264" i="38"/>
  <c r="AQ264" i="39"/>
  <c r="Q265" i="39"/>
  <c r="R265" i="39"/>
  <c r="S265" i="39"/>
  <c r="T265" i="39"/>
  <c r="U265" i="39"/>
  <c r="V265" i="39"/>
  <c r="W265" i="39"/>
  <c r="X265" i="39"/>
  <c r="Y265" i="39"/>
  <c r="Z265" i="39"/>
  <c r="AA265" i="39"/>
  <c r="AB265" i="39"/>
  <c r="AC265" i="39"/>
  <c r="AD265" i="39"/>
  <c r="AE265" i="39"/>
  <c r="AF265" i="39"/>
  <c r="AG265" i="39"/>
  <c r="AH265" i="39"/>
  <c r="AI265" i="39"/>
  <c r="AJ265" i="39"/>
  <c r="AK265" i="39"/>
  <c r="AL265" i="39"/>
  <c r="AM265" i="39"/>
  <c r="AN265" i="39"/>
  <c r="AO265" i="39"/>
  <c r="AP265" i="39"/>
  <c r="AQ265" i="38"/>
  <c r="AQ265" i="39"/>
  <c r="Q266" i="39"/>
  <c r="R266" i="39"/>
  <c r="S266" i="39"/>
  <c r="T266" i="39"/>
  <c r="U266" i="39"/>
  <c r="V266" i="39"/>
  <c r="W266" i="39"/>
  <c r="X266" i="39"/>
  <c r="Y266" i="39"/>
  <c r="Z266" i="39"/>
  <c r="AA266" i="39"/>
  <c r="AB266" i="39"/>
  <c r="AC266" i="39"/>
  <c r="AD266" i="39"/>
  <c r="AE266" i="39"/>
  <c r="AF266" i="39"/>
  <c r="AG266" i="39"/>
  <c r="AH266" i="39"/>
  <c r="AI266" i="39"/>
  <c r="AJ266" i="39"/>
  <c r="AK266" i="39"/>
  <c r="AL266" i="39"/>
  <c r="AM266" i="39"/>
  <c r="AN266" i="39"/>
  <c r="AO266" i="39"/>
  <c r="AP266" i="39"/>
  <c r="AQ266" i="39"/>
  <c r="Q267" i="39"/>
  <c r="R267" i="39"/>
  <c r="S267" i="39"/>
  <c r="T267" i="39"/>
  <c r="U267" i="39"/>
  <c r="V267" i="39"/>
  <c r="W267" i="39"/>
  <c r="X267" i="39"/>
  <c r="Y267" i="39"/>
  <c r="Z267" i="39"/>
  <c r="AA267" i="39"/>
  <c r="AB267" i="39"/>
  <c r="AC267" i="39"/>
  <c r="AD267" i="39"/>
  <c r="AE267" i="39"/>
  <c r="AF267" i="39"/>
  <c r="AG267" i="39"/>
  <c r="AH267" i="39"/>
  <c r="AI267" i="39"/>
  <c r="AJ267" i="39"/>
  <c r="AK267" i="39"/>
  <c r="AL267" i="39"/>
  <c r="AM267" i="39"/>
  <c r="AN267" i="39"/>
  <c r="AO267" i="39"/>
  <c r="AP267" i="39"/>
  <c r="AQ267" i="39"/>
  <c r="Q268" i="39"/>
  <c r="R268" i="39"/>
  <c r="S268" i="39"/>
  <c r="T268" i="39"/>
  <c r="U268" i="39"/>
  <c r="V268" i="39"/>
  <c r="W268" i="39"/>
  <c r="X268" i="39"/>
  <c r="Y268" i="39"/>
  <c r="Z268" i="39"/>
  <c r="AA268" i="39"/>
  <c r="AB268" i="39"/>
  <c r="AC268" i="39"/>
  <c r="AD268" i="39"/>
  <c r="AE268" i="39"/>
  <c r="AF268" i="39"/>
  <c r="AG268" i="39"/>
  <c r="AH268" i="39"/>
  <c r="AI268" i="39"/>
  <c r="AJ268" i="39"/>
  <c r="AK268" i="39"/>
  <c r="AL268" i="39"/>
  <c r="AM268" i="39"/>
  <c r="AN268" i="39"/>
  <c r="AO268" i="39"/>
  <c r="AP268" i="39"/>
  <c r="AQ268" i="39"/>
  <c r="Q269" i="39"/>
  <c r="R269" i="39"/>
  <c r="S269" i="39"/>
  <c r="T269" i="39"/>
  <c r="U269" i="39"/>
  <c r="V269" i="39"/>
  <c r="W269" i="39"/>
  <c r="X269" i="39"/>
  <c r="Y269" i="39"/>
  <c r="Z269" i="39"/>
  <c r="AA269" i="39"/>
  <c r="AB269" i="39"/>
  <c r="AC269" i="39"/>
  <c r="AD269" i="39"/>
  <c r="AE269" i="39"/>
  <c r="AF269" i="39"/>
  <c r="AG269" i="39"/>
  <c r="AH269" i="39"/>
  <c r="AI269" i="39"/>
  <c r="AJ269" i="39"/>
  <c r="AK269" i="39"/>
  <c r="AL269" i="39"/>
  <c r="AM269" i="39"/>
  <c r="AN269" i="39"/>
  <c r="AO269" i="39"/>
  <c r="AP269" i="39"/>
  <c r="AQ269" i="39"/>
  <c r="Q270" i="39"/>
  <c r="R270" i="39"/>
  <c r="S270" i="39"/>
  <c r="T270" i="39"/>
  <c r="U270" i="39"/>
  <c r="V270" i="39"/>
  <c r="W270" i="39"/>
  <c r="X270" i="39"/>
  <c r="Y270" i="39"/>
  <c r="Z270" i="39"/>
  <c r="AA270" i="39"/>
  <c r="AB270" i="39"/>
  <c r="AC270" i="39"/>
  <c r="AD270" i="39"/>
  <c r="AE270" i="39"/>
  <c r="AF270" i="39"/>
  <c r="AG270" i="39"/>
  <c r="AH270" i="39"/>
  <c r="AI270" i="39"/>
  <c r="AJ270" i="39"/>
  <c r="AK270" i="39"/>
  <c r="AL270" i="39"/>
  <c r="AM270" i="39"/>
  <c r="AN270" i="39"/>
  <c r="AO270" i="39"/>
  <c r="AP270" i="39"/>
  <c r="AQ270" i="39"/>
  <c r="Q271" i="39"/>
  <c r="R271" i="39"/>
  <c r="S271" i="39"/>
  <c r="T271" i="39"/>
  <c r="U271" i="39"/>
  <c r="V271" i="39"/>
  <c r="W271" i="39"/>
  <c r="X271" i="39"/>
  <c r="Y271" i="39"/>
  <c r="Z271" i="39"/>
  <c r="AA271" i="39"/>
  <c r="AB271" i="39"/>
  <c r="AC271" i="39"/>
  <c r="AD271" i="39"/>
  <c r="AE271" i="39"/>
  <c r="AF271" i="39"/>
  <c r="AG271" i="39"/>
  <c r="AH271" i="39"/>
  <c r="AI271" i="39"/>
  <c r="AJ271" i="39"/>
  <c r="AK271" i="39"/>
  <c r="AL271" i="39"/>
  <c r="AM271" i="39"/>
  <c r="AN271" i="39"/>
  <c r="AO271" i="39"/>
  <c r="AP271" i="39"/>
  <c r="AQ271" i="39"/>
  <c r="Q272" i="39"/>
  <c r="R272" i="39"/>
  <c r="S272" i="39"/>
  <c r="T272" i="39"/>
  <c r="U272" i="39"/>
  <c r="V272" i="39"/>
  <c r="W272" i="39"/>
  <c r="X272" i="39"/>
  <c r="Y272" i="39"/>
  <c r="Z272" i="39"/>
  <c r="AA272" i="39"/>
  <c r="AB272" i="39"/>
  <c r="AC272" i="39"/>
  <c r="AD272" i="39"/>
  <c r="AE272" i="39"/>
  <c r="AF272" i="39"/>
  <c r="AG272" i="39"/>
  <c r="AH272" i="39"/>
  <c r="AI272" i="39"/>
  <c r="AJ272" i="39"/>
  <c r="AK272" i="39"/>
  <c r="AL272" i="39"/>
  <c r="AM272" i="39"/>
  <c r="AN272" i="39"/>
  <c r="AO272" i="39"/>
  <c r="AP272" i="39"/>
  <c r="AQ272" i="39"/>
  <c r="Q273" i="39"/>
  <c r="R273" i="39"/>
  <c r="S273" i="39"/>
  <c r="T273" i="39"/>
  <c r="U273" i="39"/>
  <c r="V273" i="39"/>
  <c r="W273" i="39"/>
  <c r="X273" i="39"/>
  <c r="Y273" i="39"/>
  <c r="Z273" i="39"/>
  <c r="AA273" i="39"/>
  <c r="AB273" i="39"/>
  <c r="AC273" i="39"/>
  <c r="AD273" i="39"/>
  <c r="AE273" i="39"/>
  <c r="AF273" i="39"/>
  <c r="AG273" i="39"/>
  <c r="AH273" i="39"/>
  <c r="AI273" i="39"/>
  <c r="AJ273" i="39"/>
  <c r="AK273" i="39"/>
  <c r="AL273" i="39"/>
  <c r="AM273" i="39"/>
  <c r="AN273" i="39"/>
  <c r="AO273" i="39"/>
  <c r="AP273" i="39"/>
  <c r="AQ273" i="38"/>
  <c r="AQ273" i="39"/>
  <c r="Q274" i="39"/>
  <c r="R274" i="39"/>
  <c r="S274" i="39"/>
  <c r="T274" i="39"/>
  <c r="U274" i="39"/>
  <c r="V274" i="39"/>
  <c r="W274" i="39"/>
  <c r="X274" i="39"/>
  <c r="Y274" i="39"/>
  <c r="Z274" i="39"/>
  <c r="AA274" i="39"/>
  <c r="AB274" i="39"/>
  <c r="AC274" i="39"/>
  <c r="AD274" i="39"/>
  <c r="AE274" i="39"/>
  <c r="AF274" i="39"/>
  <c r="AG274" i="39"/>
  <c r="AH274" i="39"/>
  <c r="AI274" i="39"/>
  <c r="AJ274" i="39"/>
  <c r="AK274" i="39"/>
  <c r="AL274" i="39"/>
  <c r="AM274" i="39"/>
  <c r="AN274" i="39"/>
  <c r="AO274" i="39"/>
  <c r="AP274" i="39"/>
  <c r="AQ274" i="39"/>
  <c r="Q275" i="39"/>
  <c r="R275" i="39"/>
  <c r="S275" i="39"/>
  <c r="T275" i="39"/>
  <c r="U275" i="39"/>
  <c r="V275" i="39"/>
  <c r="W275" i="39"/>
  <c r="X275" i="39"/>
  <c r="Y275" i="39"/>
  <c r="Z275" i="39"/>
  <c r="AA275" i="39"/>
  <c r="AB275" i="39"/>
  <c r="AC275" i="39"/>
  <c r="AD275" i="39"/>
  <c r="AE275" i="39"/>
  <c r="AF275" i="39"/>
  <c r="AG275" i="39"/>
  <c r="AH275" i="39"/>
  <c r="AI275" i="39"/>
  <c r="AJ275" i="39"/>
  <c r="AK275" i="39"/>
  <c r="AL275" i="39"/>
  <c r="AM275" i="39"/>
  <c r="AN275" i="39"/>
  <c r="AO275" i="39"/>
  <c r="AP275" i="39"/>
  <c r="AQ275" i="38"/>
  <c r="AQ275" i="39"/>
  <c r="Q276" i="39"/>
  <c r="R276" i="39"/>
  <c r="S276" i="39"/>
  <c r="T276" i="39"/>
  <c r="U276" i="39"/>
  <c r="V276" i="39"/>
  <c r="W276" i="39"/>
  <c r="X276" i="39"/>
  <c r="Y276" i="39"/>
  <c r="Z276" i="39"/>
  <c r="AA276" i="39"/>
  <c r="AB276" i="39"/>
  <c r="AC276" i="39"/>
  <c r="AD276" i="39"/>
  <c r="AE276" i="39"/>
  <c r="AF276" i="39"/>
  <c r="AG276" i="39"/>
  <c r="AH276" i="39"/>
  <c r="AI276" i="39"/>
  <c r="AJ276" i="39"/>
  <c r="AK276" i="39"/>
  <c r="AL276" i="39"/>
  <c r="AM276" i="39"/>
  <c r="AN276" i="39"/>
  <c r="AO276" i="39"/>
  <c r="AP276" i="39"/>
  <c r="AQ276" i="39"/>
  <c r="Q277" i="39"/>
  <c r="R277" i="39"/>
  <c r="S277" i="39"/>
  <c r="T277" i="39"/>
  <c r="U277" i="39"/>
  <c r="V277" i="39"/>
  <c r="W277" i="39"/>
  <c r="X277" i="39"/>
  <c r="Y277" i="39"/>
  <c r="Z277" i="39"/>
  <c r="AA277" i="39"/>
  <c r="AB277" i="39"/>
  <c r="AC277" i="39"/>
  <c r="AD277" i="39"/>
  <c r="AE277" i="39"/>
  <c r="AF277" i="39"/>
  <c r="AG277" i="39"/>
  <c r="AH277" i="39"/>
  <c r="AI277" i="39"/>
  <c r="AJ277" i="39"/>
  <c r="AK277" i="39"/>
  <c r="AL277" i="39"/>
  <c r="AM277" i="39"/>
  <c r="AN277" i="39"/>
  <c r="AO277" i="39"/>
  <c r="AP277" i="39"/>
  <c r="AQ277" i="38"/>
  <c r="AQ277" i="39"/>
  <c r="Q278" i="39"/>
  <c r="R278" i="39"/>
  <c r="S278" i="39"/>
  <c r="T278" i="39"/>
  <c r="U278" i="39"/>
  <c r="V278" i="39"/>
  <c r="W278" i="38"/>
  <c r="W278" i="39"/>
  <c r="X278" i="39"/>
  <c r="Y278" i="39"/>
  <c r="Z278" i="39"/>
  <c r="AA278" i="39"/>
  <c r="AB278" i="38"/>
  <c r="AB278" i="39"/>
  <c r="AC278" i="39"/>
  <c r="AD278" i="39"/>
  <c r="AE278" i="39"/>
  <c r="AF278" i="39"/>
  <c r="AG278" i="38"/>
  <c r="AG278" i="39"/>
  <c r="AH278" i="39"/>
  <c r="AI278" i="39"/>
  <c r="AJ278" i="39"/>
  <c r="AK278" i="39"/>
  <c r="AL278" i="38"/>
  <c r="AL278" i="39"/>
  <c r="AM278" i="39"/>
  <c r="AN278" i="39"/>
  <c r="AO278" i="39"/>
  <c r="AP278" i="39"/>
  <c r="AQ278" i="38"/>
  <c r="AQ278" i="39"/>
  <c r="Q279" i="39"/>
  <c r="R279" i="39"/>
  <c r="S279" i="39"/>
  <c r="T279" i="39"/>
  <c r="U279" i="39"/>
  <c r="V279" i="39"/>
  <c r="W279" i="39"/>
  <c r="X279" i="39"/>
  <c r="Y279" i="39"/>
  <c r="Z279" i="39"/>
  <c r="AA279" i="39"/>
  <c r="AB279" i="39"/>
  <c r="AC279" i="39"/>
  <c r="AD279" i="39"/>
  <c r="AE279" i="39"/>
  <c r="AF279" i="39"/>
  <c r="AG279" i="39"/>
  <c r="AH279" i="39"/>
  <c r="AI279" i="39"/>
  <c r="AJ279" i="39"/>
  <c r="AK279" i="39"/>
  <c r="AL279" i="39"/>
  <c r="AM279" i="39"/>
  <c r="AN279" i="39"/>
  <c r="AO279" i="39"/>
  <c r="AP279" i="39"/>
  <c r="AQ279" i="38"/>
  <c r="AQ279" i="39"/>
  <c r="Q280" i="39"/>
  <c r="R280" i="39"/>
  <c r="S280" i="39"/>
  <c r="T280" i="39"/>
  <c r="U280" i="39"/>
  <c r="V280" i="39"/>
  <c r="W280" i="39"/>
  <c r="X280" i="39"/>
  <c r="Y280" i="39"/>
  <c r="Z280" i="39"/>
  <c r="AA280" i="39"/>
  <c r="AB280" i="39"/>
  <c r="AC280" i="39"/>
  <c r="AD280" i="39"/>
  <c r="AE280" i="39"/>
  <c r="AF280" i="39"/>
  <c r="AG280" i="39"/>
  <c r="AH280" i="39"/>
  <c r="AI280" i="39"/>
  <c r="AJ280" i="39"/>
  <c r="AK280" i="39"/>
  <c r="AL280" i="39"/>
  <c r="AM280" i="39"/>
  <c r="AN280" i="39"/>
  <c r="AO280" i="39"/>
  <c r="AP280" i="39"/>
  <c r="AQ280" i="39"/>
  <c r="Q281" i="39"/>
  <c r="R281" i="39"/>
  <c r="S281" i="39"/>
  <c r="T281" i="39"/>
  <c r="U281" i="39"/>
  <c r="V281" i="39"/>
  <c r="W281" i="39"/>
  <c r="X281" i="39"/>
  <c r="Y281" i="39"/>
  <c r="Z281" i="39"/>
  <c r="AA281" i="39"/>
  <c r="AB281" i="39"/>
  <c r="AC281" i="39"/>
  <c r="AD281" i="39"/>
  <c r="AE281" i="39"/>
  <c r="AF281" i="39"/>
  <c r="AG281" i="39"/>
  <c r="AH281" i="39"/>
  <c r="AI281" i="39"/>
  <c r="AJ281" i="39"/>
  <c r="AK281" i="39"/>
  <c r="AL281" i="39"/>
  <c r="AM281" i="39"/>
  <c r="AN281" i="39"/>
  <c r="AO281" i="39"/>
  <c r="AP281" i="39"/>
  <c r="AQ281" i="39"/>
  <c r="Q282" i="39"/>
  <c r="C312" i="38"/>
  <c r="C314" i="38"/>
  <c r="C308" i="38"/>
  <c r="C315" i="38"/>
  <c r="C318" i="38"/>
  <c r="C319" i="38"/>
  <c r="R282" i="38"/>
  <c r="C308" i="33"/>
  <c r="C315" i="33"/>
  <c r="C319" i="33"/>
  <c r="R282" i="33"/>
  <c r="R282" i="39"/>
  <c r="S282" i="39"/>
  <c r="T282" i="39"/>
  <c r="U282" i="39"/>
  <c r="V282" i="39"/>
  <c r="W282" i="38"/>
  <c r="W282" i="33"/>
  <c r="W282" i="39"/>
  <c r="X282" i="39"/>
  <c r="Y282" i="39"/>
  <c r="Z282" i="39"/>
  <c r="AA282" i="39"/>
  <c r="AB282" i="38"/>
  <c r="AB282" i="33"/>
  <c r="AB282" i="39"/>
  <c r="AC282" i="39"/>
  <c r="AD282" i="39"/>
  <c r="AE282" i="39"/>
  <c r="AF282" i="39"/>
  <c r="AG282" i="38"/>
  <c r="AG282" i="33"/>
  <c r="AG282" i="39"/>
  <c r="AH282" i="39"/>
  <c r="AI282" i="39"/>
  <c r="AJ282" i="39"/>
  <c r="AK282" i="39"/>
  <c r="AL282" i="38"/>
  <c r="AL282" i="33"/>
  <c r="AL282" i="39"/>
  <c r="AM282" i="39"/>
  <c r="AN282" i="39"/>
  <c r="AO282" i="39"/>
  <c r="AP282" i="39"/>
  <c r="AQ282" i="38"/>
  <c r="AQ282" i="33"/>
  <c r="AQ282" i="39"/>
  <c r="Q283" i="39"/>
  <c r="R283" i="39"/>
  <c r="S283" i="39"/>
  <c r="T283" i="39"/>
  <c r="U283" i="39"/>
  <c r="V283" i="39"/>
  <c r="W283" i="39"/>
  <c r="X283" i="39"/>
  <c r="Y283" i="39"/>
  <c r="Z283" i="39"/>
  <c r="AA283" i="39"/>
  <c r="AB283" i="39"/>
  <c r="AC283" i="39"/>
  <c r="AD283" i="39"/>
  <c r="AE283" i="39"/>
  <c r="AF283" i="39"/>
  <c r="AG283" i="39"/>
  <c r="AH283" i="39"/>
  <c r="AI283" i="39"/>
  <c r="AJ283" i="39"/>
  <c r="AK283" i="39"/>
  <c r="AL283" i="39"/>
  <c r="AM283" i="39"/>
  <c r="AN283" i="39"/>
  <c r="AO283" i="39"/>
  <c r="AP283" i="39"/>
  <c r="AQ283" i="39"/>
  <c r="Q284" i="38"/>
  <c r="Q284" i="39"/>
  <c r="R284" i="38"/>
  <c r="R284" i="39"/>
  <c r="S284" i="38"/>
  <c r="S284" i="39"/>
  <c r="T284" i="38"/>
  <c r="T284" i="39"/>
  <c r="U284" i="38"/>
  <c r="U284" i="39"/>
  <c r="V284" i="38"/>
  <c r="V284" i="39"/>
  <c r="W284" i="38"/>
  <c r="W284" i="39"/>
  <c r="X284" i="38"/>
  <c r="X284" i="39"/>
  <c r="Y284" i="38"/>
  <c r="Y284" i="39"/>
  <c r="Z284" i="38"/>
  <c r="Z284" i="39"/>
  <c r="AA284" i="38"/>
  <c r="AA284" i="39"/>
  <c r="AB284" i="38"/>
  <c r="AB284" i="39"/>
  <c r="AC284" i="38"/>
  <c r="AC284" i="39"/>
  <c r="AD284" i="38"/>
  <c r="AD284" i="39"/>
  <c r="AE284" i="38"/>
  <c r="AE284" i="39"/>
  <c r="AF284" i="38"/>
  <c r="AF284" i="39"/>
  <c r="AG284" i="38"/>
  <c r="AG284" i="39"/>
  <c r="AH284" i="38"/>
  <c r="AH284" i="39"/>
  <c r="AI284" i="38"/>
  <c r="AI284" i="39"/>
  <c r="AJ284" i="38"/>
  <c r="AJ284" i="39"/>
  <c r="AK284" i="38"/>
  <c r="AK284" i="39"/>
  <c r="AL284" i="38"/>
  <c r="AL284" i="39"/>
  <c r="AM284" i="38"/>
  <c r="AM284" i="39"/>
  <c r="AN284" i="38"/>
  <c r="AN284" i="39"/>
  <c r="AO284" i="38"/>
  <c r="AO284" i="39"/>
  <c r="AP284" i="38"/>
  <c r="AP284" i="39"/>
  <c r="AQ284" i="38"/>
  <c r="AQ284" i="39"/>
  <c r="Q285" i="39"/>
  <c r="R285" i="39"/>
  <c r="S285" i="39"/>
  <c r="T285" i="39"/>
  <c r="U285" i="39"/>
  <c r="V285" i="39"/>
  <c r="W285" i="39"/>
  <c r="X285" i="39"/>
  <c r="Y285" i="39"/>
  <c r="Z285" i="39"/>
  <c r="AA285" i="39"/>
  <c r="AB285" i="39"/>
  <c r="AC285" i="39"/>
  <c r="AD285" i="39"/>
  <c r="AE285" i="39"/>
  <c r="AF285" i="39"/>
  <c r="AG285" i="39"/>
  <c r="AH285" i="39"/>
  <c r="AI285" i="39"/>
  <c r="AJ285" i="39"/>
  <c r="AK285" i="39"/>
  <c r="AL285" i="39"/>
  <c r="AM285" i="39"/>
  <c r="AN285" i="39"/>
  <c r="AO285" i="39"/>
  <c r="AP285" i="39"/>
  <c r="AQ285" i="39"/>
  <c r="Q286" i="38"/>
  <c r="Q286" i="39"/>
  <c r="R286" i="38"/>
  <c r="R286" i="39"/>
  <c r="S286" i="38"/>
  <c r="S286" i="39"/>
  <c r="T286" i="38"/>
  <c r="T286" i="39"/>
  <c r="U286" i="38"/>
  <c r="U286" i="39"/>
  <c r="V286" i="38"/>
  <c r="V286" i="39"/>
  <c r="W286" i="38"/>
  <c r="W286" i="39"/>
  <c r="X286" i="38"/>
  <c r="X286" i="39"/>
  <c r="Y286" i="38"/>
  <c r="Y286" i="39"/>
  <c r="Z286" i="38"/>
  <c r="Z286" i="39"/>
  <c r="AA286" i="38"/>
  <c r="AA286" i="39"/>
  <c r="AB286" i="38"/>
  <c r="AB286" i="39"/>
  <c r="AC286" i="38"/>
  <c r="AC286" i="39"/>
  <c r="AD286" i="38"/>
  <c r="AD286" i="39"/>
  <c r="AE286" i="38"/>
  <c r="AE286" i="39"/>
  <c r="AF286" i="38"/>
  <c r="AF286" i="39"/>
  <c r="AG286" i="38"/>
  <c r="AG286" i="39"/>
  <c r="AH286" i="38"/>
  <c r="AH286" i="39"/>
  <c r="AI286" i="38"/>
  <c r="AI286" i="39"/>
  <c r="AJ286" i="38"/>
  <c r="AJ286" i="39"/>
  <c r="AK286" i="38"/>
  <c r="AK286" i="39"/>
  <c r="AL286" i="38"/>
  <c r="AL286" i="39"/>
  <c r="AM286" i="38"/>
  <c r="AM286" i="39"/>
  <c r="AN286" i="38"/>
  <c r="AN286" i="39"/>
  <c r="AO286" i="38"/>
  <c r="AO286" i="39"/>
  <c r="AP286" i="38"/>
  <c r="AP286" i="39"/>
  <c r="AQ286" i="38"/>
  <c r="AQ286" i="39"/>
  <c r="Q287" i="39"/>
  <c r="R287" i="39"/>
  <c r="S287" i="39"/>
  <c r="T287" i="39"/>
  <c r="U287" i="39"/>
  <c r="V287" i="39"/>
  <c r="W287" i="39"/>
  <c r="X287" i="39"/>
  <c r="Y287" i="39"/>
  <c r="Z287" i="39"/>
  <c r="AA287" i="39"/>
  <c r="AB287" i="39"/>
  <c r="AC287" i="39"/>
  <c r="AD287" i="39"/>
  <c r="AE287" i="39"/>
  <c r="AF287" i="39"/>
  <c r="AG287" i="39"/>
  <c r="AH287" i="39"/>
  <c r="AI287" i="39"/>
  <c r="AJ287" i="39"/>
  <c r="AK287" i="39"/>
  <c r="AL287" i="39"/>
  <c r="AM287" i="39"/>
  <c r="AN287" i="39"/>
  <c r="AO287" i="39"/>
  <c r="AP287" i="39"/>
  <c r="AQ287" i="39"/>
  <c r="Q288" i="39"/>
  <c r="R288" i="39"/>
  <c r="S288" i="39"/>
  <c r="T288" i="39"/>
  <c r="U288" i="39"/>
  <c r="V288" i="39"/>
  <c r="W288" i="39"/>
  <c r="X288" i="39"/>
  <c r="Y288" i="39"/>
  <c r="Z288" i="39"/>
  <c r="AA288" i="39"/>
  <c r="AB288" i="39"/>
  <c r="AC288" i="39"/>
  <c r="AD288" i="39"/>
  <c r="AE288" i="39"/>
  <c r="AF288" i="39"/>
  <c r="AG288" i="39"/>
  <c r="AH288" i="39"/>
  <c r="AI288" i="39"/>
  <c r="AJ288" i="39"/>
  <c r="AK288" i="39"/>
  <c r="AL288" i="39"/>
  <c r="AM288" i="39"/>
  <c r="AN288" i="39"/>
  <c r="AO288" i="39"/>
  <c r="AP288" i="39"/>
  <c r="AQ288" i="39"/>
  <c r="Q289" i="39"/>
  <c r="R289" i="39"/>
  <c r="S289" i="39"/>
  <c r="T289" i="39"/>
  <c r="U289" i="39"/>
  <c r="V289" i="39"/>
  <c r="W289" i="39"/>
  <c r="X289" i="39"/>
  <c r="Y289" i="39"/>
  <c r="Z289" i="39"/>
  <c r="AA289" i="39"/>
  <c r="AB289" i="39"/>
  <c r="AC289" i="39"/>
  <c r="AD289" i="39"/>
  <c r="AE289" i="39"/>
  <c r="AF289" i="39"/>
  <c r="AG289" i="39"/>
  <c r="AH289" i="39"/>
  <c r="AI289" i="39"/>
  <c r="AJ289" i="39"/>
  <c r="AK289" i="39"/>
  <c r="AL289" i="39"/>
  <c r="AM289" i="39"/>
  <c r="AN289" i="39"/>
  <c r="AO289" i="39"/>
  <c r="AP289" i="39"/>
  <c r="AQ289" i="39"/>
  <c r="Q290" i="39"/>
  <c r="R290" i="39"/>
  <c r="S290" i="39"/>
  <c r="T290" i="39"/>
  <c r="U290" i="39"/>
  <c r="V290" i="39"/>
  <c r="W290" i="39"/>
  <c r="X290" i="39"/>
  <c r="Y290" i="39"/>
  <c r="Z290" i="39"/>
  <c r="AA290" i="39"/>
  <c r="AB290" i="39"/>
  <c r="AC290" i="39"/>
  <c r="AD290" i="39"/>
  <c r="AE290" i="39"/>
  <c r="AF290" i="39"/>
  <c r="AG290" i="39"/>
  <c r="AH290" i="39"/>
  <c r="AI290" i="39"/>
  <c r="AJ290" i="39"/>
  <c r="AK290" i="39"/>
  <c r="AL290" i="39"/>
  <c r="AM290" i="39"/>
  <c r="AN290" i="39"/>
  <c r="AO290" i="39"/>
  <c r="AP290" i="39"/>
  <c r="AQ290" i="39"/>
  <c r="Q291" i="39"/>
  <c r="R291" i="39"/>
  <c r="S291" i="39"/>
  <c r="T291" i="39"/>
  <c r="U291" i="39"/>
  <c r="V291" i="39"/>
  <c r="W291" i="39"/>
  <c r="X291" i="39"/>
  <c r="Y291" i="39"/>
  <c r="Z291" i="39"/>
  <c r="AA291" i="39"/>
  <c r="AB291" i="39"/>
  <c r="AC291" i="39"/>
  <c r="AD291" i="39"/>
  <c r="AE291" i="39"/>
  <c r="AF291" i="39"/>
  <c r="AG291" i="39"/>
  <c r="AH291" i="39"/>
  <c r="AI291" i="39"/>
  <c r="AJ291" i="39"/>
  <c r="AK291" i="39"/>
  <c r="AL291" i="39"/>
  <c r="AM291" i="39"/>
  <c r="AN291" i="39"/>
  <c r="AO291" i="39"/>
  <c r="AP291" i="39"/>
  <c r="AQ291" i="39"/>
  <c r="Q292" i="39"/>
  <c r="R292" i="39"/>
  <c r="S292" i="39"/>
  <c r="T292" i="39"/>
  <c r="U292" i="39"/>
  <c r="V292" i="39"/>
  <c r="W292" i="39"/>
  <c r="X292" i="39"/>
  <c r="Y292" i="39"/>
  <c r="Z292" i="39"/>
  <c r="AA292" i="39"/>
  <c r="AB292" i="39"/>
  <c r="AC292" i="39"/>
  <c r="AD292" i="39"/>
  <c r="AE292" i="39"/>
  <c r="AF292" i="39"/>
  <c r="AG292" i="39"/>
  <c r="AH292" i="39"/>
  <c r="AI292" i="39"/>
  <c r="AJ292" i="39"/>
  <c r="AK292" i="39"/>
  <c r="AL292" i="39"/>
  <c r="AM292" i="39"/>
  <c r="AN292" i="39"/>
  <c r="AO292" i="39"/>
  <c r="AP292" i="39"/>
  <c r="AQ292" i="39"/>
  <c r="Q293" i="38"/>
  <c r="Q293" i="39"/>
  <c r="R293" i="38"/>
  <c r="R293" i="39"/>
  <c r="S293" i="38"/>
  <c r="S293" i="39"/>
  <c r="T293" i="38"/>
  <c r="T293" i="39"/>
  <c r="U293" i="38"/>
  <c r="U293" i="39"/>
  <c r="V293" i="38"/>
  <c r="V293" i="39"/>
  <c r="W293" i="38"/>
  <c r="W293" i="39"/>
  <c r="X293" i="38"/>
  <c r="X293" i="39"/>
  <c r="Y293" i="38"/>
  <c r="Y293" i="39"/>
  <c r="Z293" i="38"/>
  <c r="Z293" i="39"/>
  <c r="AA293" i="38"/>
  <c r="AA293" i="39"/>
  <c r="AB293" i="38"/>
  <c r="AB293" i="39"/>
  <c r="AC293" i="38"/>
  <c r="AC293" i="39"/>
  <c r="AD293" i="38"/>
  <c r="AD293" i="39"/>
  <c r="AE293" i="38"/>
  <c r="AE293" i="39"/>
  <c r="AF293" i="38"/>
  <c r="AF293" i="39"/>
  <c r="AG293" i="38"/>
  <c r="AG293" i="39"/>
  <c r="AH293" i="38"/>
  <c r="AH293" i="39"/>
  <c r="AI293" i="38"/>
  <c r="AI293" i="39"/>
  <c r="AJ293" i="38"/>
  <c r="AJ293" i="39"/>
  <c r="AK293" i="38"/>
  <c r="AK293" i="39"/>
  <c r="AL293" i="38"/>
  <c r="AL293" i="39"/>
  <c r="AM293" i="38"/>
  <c r="AM293" i="39"/>
  <c r="AN293" i="38"/>
  <c r="AN293" i="39"/>
  <c r="AO293" i="38"/>
  <c r="AO293" i="39"/>
  <c r="AP293" i="38"/>
  <c r="AP293" i="39"/>
  <c r="AQ293" i="38"/>
  <c r="AQ293" i="39"/>
  <c r="Q294" i="39"/>
  <c r="R294" i="39"/>
  <c r="S294" i="39"/>
  <c r="T294" i="39"/>
  <c r="U294" i="39"/>
  <c r="V294" i="39"/>
  <c r="W294" i="39"/>
  <c r="X294" i="39"/>
  <c r="Y294" i="39"/>
  <c r="Z294" i="39"/>
  <c r="AA294" i="39"/>
  <c r="AB294" i="38"/>
  <c r="AB294" i="39"/>
  <c r="AC294" i="39"/>
  <c r="AD294" i="39"/>
  <c r="AE294" i="39"/>
  <c r="AF294" i="39"/>
  <c r="AG294" i="38"/>
  <c r="AG294" i="39"/>
  <c r="AH294" i="39"/>
  <c r="AI294" i="39"/>
  <c r="AJ294" i="39"/>
  <c r="AK294" i="39"/>
  <c r="AL294" i="38"/>
  <c r="AL294" i="39"/>
  <c r="AM294" i="39"/>
  <c r="AN294" i="39"/>
  <c r="AO294" i="39"/>
  <c r="AP294" i="39"/>
  <c r="AQ294" i="38"/>
  <c r="AQ294" i="39"/>
  <c r="Q295" i="39"/>
  <c r="R295" i="38"/>
  <c r="R295" i="39"/>
  <c r="S295" i="39"/>
  <c r="T295" i="39"/>
  <c r="U295" i="39"/>
  <c r="V295" i="39"/>
  <c r="W295" i="38"/>
  <c r="W295" i="39"/>
  <c r="X295" i="39"/>
  <c r="Y295" i="39"/>
  <c r="Z295" i="39"/>
  <c r="AA295" i="39"/>
  <c r="AB295" i="38"/>
  <c r="AB295" i="39"/>
  <c r="AC295" i="39"/>
  <c r="AD295" i="39"/>
  <c r="AE295" i="39"/>
  <c r="AF295" i="39"/>
  <c r="AG295" i="38"/>
  <c r="AG295" i="39"/>
  <c r="AH295" i="39"/>
  <c r="AI295" i="39"/>
  <c r="AJ295" i="39"/>
  <c r="AK295" i="39"/>
  <c r="AL295" i="38"/>
  <c r="AL295" i="39"/>
  <c r="AM295" i="39"/>
  <c r="AN295" i="39"/>
  <c r="AO295" i="39"/>
  <c r="AP295" i="39"/>
  <c r="AQ295" i="38"/>
  <c r="AQ295" i="39"/>
  <c r="Q296" i="39"/>
  <c r="R296" i="39"/>
  <c r="S296" i="39"/>
  <c r="T296" i="39"/>
  <c r="U296" i="39"/>
  <c r="V296" i="39"/>
  <c r="W296" i="39"/>
  <c r="X296" i="39"/>
  <c r="Y296" i="39"/>
  <c r="Z296" i="39"/>
  <c r="AA296" i="39"/>
  <c r="AB296" i="38"/>
  <c r="AB296" i="39"/>
  <c r="AC296" i="39"/>
  <c r="AD296" i="39"/>
  <c r="AE296" i="39"/>
  <c r="AF296" i="39"/>
  <c r="AG296" i="39"/>
  <c r="AH296" i="39"/>
  <c r="AI296" i="39"/>
  <c r="AJ296" i="39"/>
  <c r="AK296" i="39"/>
  <c r="AL296" i="39"/>
  <c r="AM296" i="39"/>
  <c r="AN296" i="39"/>
  <c r="AO296" i="39"/>
  <c r="AP296" i="39"/>
  <c r="AQ296" i="39"/>
  <c r="Q297" i="39"/>
  <c r="R297" i="39"/>
  <c r="S297" i="39"/>
  <c r="T297" i="39"/>
  <c r="U297" i="39"/>
  <c r="V297" i="39"/>
  <c r="W297" i="39"/>
  <c r="X297" i="39"/>
  <c r="Y297" i="39"/>
  <c r="Z297" i="39"/>
  <c r="AA297" i="39"/>
  <c r="AB297" i="39"/>
  <c r="AC297" i="39"/>
  <c r="AD297" i="39"/>
  <c r="AE297" i="39"/>
  <c r="AF297" i="39"/>
  <c r="AG297" i="39"/>
  <c r="AH297" i="39"/>
  <c r="AI297" i="39"/>
  <c r="AJ297" i="39"/>
  <c r="AK297" i="39"/>
  <c r="AL297" i="39"/>
  <c r="AM297" i="39"/>
  <c r="AN297" i="39"/>
  <c r="AO297" i="39"/>
  <c r="AP297" i="39"/>
  <c r="AQ297" i="39"/>
  <c r="Q298" i="39"/>
  <c r="R298" i="39"/>
  <c r="S298" i="39"/>
  <c r="T298" i="39"/>
  <c r="U298" i="39"/>
  <c r="V298" i="39"/>
  <c r="W298" i="39"/>
  <c r="X298" i="39"/>
  <c r="Y298" i="39"/>
  <c r="Z298" i="39"/>
  <c r="AA298" i="39"/>
  <c r="AB298" i="38"/>
  <c r="AB298" i="39"/>
  <c r="AC298" i="39"/>
  <c r="AD298" i="39"/>
  <c r="AE298" i="39"/>
  <c r="AF298" i="39"/>
  <c r="AG298" i="39"/>
  <c r="AH298" i="39"/>
  <c r="AI298" i="39"/>
  <c r="AJ298" i="39"/>
  <c r="AK298" i="39"/>
  <c r="AL298" i="39"/>
  <c r="AM298" i="39"/>
  <c r="AN298" i="39"/>
  <c r="AO298" i="39"/>
  <c r="AP298" i="39"/>
  <c r="AQ298" i="39"/>
  <c r="Q299" i="39"/>
  <c r="R299" i="39"/>
  <c r="S299" i="39"/>
  <c r="T299" i="39"/>
  <c r="U299" i="39"/>
  <c r="V299" i="39"/>
  <c r="W299" i="39"/>
  <c r="X299" i="39"/>
  <c r="Y299" i="39"/>
  <c r="Z299" i="39"/>
  <c r="AA299" i="39"/>
  <c r="AB299" i="39"/>
  <c r="AC299" i="39"/>
  <c r="AD299" i="39"/>
  <c r="AE299" i="39"/>
  <c r="AF299" i="39"/>
  <c r="AG299" i="39"/>
  <c r="AH299" i="39"/>
  <c r="AI299" i="39"/>
  <c r="AJ299" i="39"/>
  <c r="AK299" i="39"/>
  <c r="AL299" i="39"/>
  <c r="AM299" i="39"/>
  <c r="AN299" i="39"/>
  <c r="AO299" i="39"/>
  <c r="AP299" i="39"/>
  <c r="AQ299" i="39"/>
  <c r="Q300" i="39"/>
  <c r="R300" i="39"/>
  <c r="S300" i="39"/>
  <c r="T300" i="39"/>
  <c r="U300" i="39"/>
  <c r="V300" i="39"/>
  <c r="W300" i="39"/>
  <c r="X300" i="39"/>
  <c r="Y300" i="39"/>
  <c r="Z300" i="39"/>
  <c r="AA300" i="39"/>
  <c r="AB300" i="39"/>
  <c r="AC300" i="39"/>
  <c r="AD300" i="39"/>
  <c r="AE300" i="39"/>
  <c r="AF300" i="39"/>
  <c r="AG300" i="39"/>
  <c r="AH300" i="39"/>
  <c r="AI300" i="39"/>
  <c r="AJ300" i="39"/>
  <c r="AK300" i="39"/>
  <c r="AL300" i="39"/>
  <c r="AM300" i="39"/>
  <c r="AN300" i="39"/>
  <c r="AO300" i="39"/>
  <c r="AP300" i="39"/>
  <c r="AQ300" i="39"/>
  <c r="Q301" i="39"/>
  <c r="R301" i="39"/>
  <c r="S301" i="39"/>
  <c r="T301" i="39"/>
  <c r="U301" i="39"/>
  <c r="V301" i="39"/>
  <c r="W301" i="39"/>
  <c r="X301" i="39"/>
  <c r="Y301" i="39"/>
  <c r="Z301" i="39"/>
  <c r="AA301" i="39"/>
  <c r="AB301" i="39"/>
  <c r="AC301" i="39"/>
  <c r="AD301" i="39"/>
  <c r="AE301" i="39"/>
  <c r="AF301" i="39"/>
  <c r="AG301" i="39"/>
  <c r="AH301" i="39"/>
  <c r="AI301" i="39"/>
  <c r="AJ301" i="39"/>
  <c r="AK301" i="39"/>
  <c r="AL301" i="39"/>
  <c r="AM301" i="39"/>
  <c r="AN301" i="39"/>
  <c r="AO301" i="39"/>
  <c r="AP301" i="39"/>
  <c r="AQ301" i="39"/>
  <c r="Q302" i="39"/>
  <c r="R302" i="39"/>
  <c r="S302" i="39"/>
  <c r="T302" i="39"/>
  <c r="U302" i="39"/>
  <c r="V302" i="39"/>
  <c r="W302" i="39"/>
  <c r="X302" i="39"/>
  <c r="Y302" i="39"/>
  <c r="Z302" i="39"/>
  <c r="AA302" i="39"/>
  <c r="AB302" i="39"/>
  <c r="AC302" i="39"/>
  <c r="AD302" i="39"/>
  <c r="AE302" i="39"/>
  <c r="AF302" i="39"/>
  <c r="AG302" i="39"/>
  <c r="AH302" i="39"/>
  <c r="AI302" i="39"/>
  <c r="AJ302" i="39"/>
  <c r="AK302" i="39"/>
  <c r="AL302" i="39"/>
  <c r="AM302" i="39"/>
  <c r="AN302" i="39"/>
  <c r="AO302" i="39"/>
  <c r="AP302" i="39"/>
  <c r="AQ302" i="39"/>
  <c r="Q303" i="39"/>
  <c r="R303" i="39"/>
  <c r="S303" i="39"/>
  <c r="T303" i="39"/>
  <c r="U303" i="39"/>
  <c r="V303" i="39"/>
  <c r="W303" i="39"/>
  <c r="X303" i="39"/>
  <c r="Y303" i="39"/>
  <c r="Z303" i="39"/>
  <c r="AA303" i="39"/>
  <c r="AB303" i="39"/>
  <c r="AC303" i="39"/>
  <c r="AD303" i="39"/>
  <c r="AE303" i="39"/>
  <c r="AF303" i="39"/>
  <c r="AG303" i="39"/>
  <c r="AH303" i="39"/>
  <c r="AI303" i="39"/>
  <c r="AJ303" i="39"/>
  <c r="AK303" i="39"/>
  <c r="AL303" i="39"/>
  <c r="AM303" i="39"/>
  <c r="AN303" i="39"/>
  <c r="AO303" i="39"/>
  <c r="AP303" i="39"/>
  <c r="AQ303" i="39"/>
  <c r="Q304" i="39"/>
  <c r="R304" i="39"/>
  <c r="S304" i="39"/>
  <c r="T304" i="39"/>
  <c r="U304" i="39"/>
  <c r="V304" i="39"/>
  <c r="W304" i="39"/>
  <c r="X304" i="39"/>
  <c r="Y304" i="39"/>
  <c r="Z304" i="39"/>
  <c r="AA304" i="39"/>
  <c r="AB304" i="39"/>
  <c r="AC304" i="39"/>
  <c r="AD304" i="39"/>
  <c r="AE304" i="39"/>
  <c r="AF304" i="39"/>
  <c r="AG304" i="39"/>
  <c r="AH304" i="39"/>
  <c r="AI304" i="39"/>
  <c r="AJ304" i="39"/>
  <c r="AK304" i="39"/>
  <c r="AL304" i="39"/>
  <c r="AM304" i="39"/>
  <c r="AN304" i="39"/>
  <c r="AO304" i="39"/>
  <c r="AP304" i="39"/>
  <c r="AQ304" i="39"/>
  <c r="Q305" i="39"/>
  <c r="R305" i="39"/>
  <c r="S305" i="39"/>
  <c r="T305" i="39"/>
  <c r="U305" i="39"/>
  <c r="V305" i="39"/>
  <c r="W305" i="39"/>
  <c r="X305" i="39"/>
  <c r="Y305" i="39"/>
  <c r="Z305" i="39"/>
  <c r="AA305" i="39"/>
  <c r="AB305" i="39"/>
  <c r="AC305" i="39"/>
  <c r="AD305" i="39"/>
  <c r="AE305" i="39"/>
  <c r="AF305" i="39"/>
  <c r="AG305" i="39"/>
  <c r="AH305" i="39"/>
  <c r="AI305" i="39"/>
  <c r="AJ305" i="39"/>
  <c r="AK305" i="39"/>
  <c r="AL305" i="39"/>
  <c r="AM305" i="39"/>
  <c r="AN305" i="39"/>
  <c r="AO305" i="39"/>
  <c r="AP305" i="39"/>
  <c r="AQ305" i="39"/>
  <c r="Q306" i="39"/>
  <c r="R306" i="39"/>
  <c r="S306" i="39"/>
  <c r="T306" i="39"/>
  <c r="U306" i="39"/>
  <c r="V306" i="39"/>
  <c r="W306" i="39"/>
  <c r="X306" i="39"/>
  <c r="Y306" i="39"/>
  <c r="Z306" i="39"/>
  <c r="AA306" i="39"/>
  <c r="AB306" i="39"/>
  <c r="AC306" i="39"/>
  <c r="AD306" i="39"/>
  <c r="AE306" i="39"/>
  <c r="AF306" i="39"/>
  <c r="AG306" i="39"/>
  <c r="AH306" i="39"/>
  <c r="AI306" i="39"/>
  <c r="AJ306" i="39"/>
  <c r="AK306" i="39"/>
  <c r="AL306" i="39"/>
  <c r="AM306" i="39"/>
  <c r="AN306" i="39"/>
  <c r="AO306" i="39"/>
  <c r="AP306" i="39"/>
  <c r="AQ306" i="39"/>
  <c r="Q307" i="39"/>
  <c r="R307" i="39"/>
  <c r="S307" i="39"/>
  <c r="T307" i="39"/>
  <c r="U307" i="39"/>
  <c r="V307" i="39"/>
  <c r="W307" i="39"/>
  <c r="X307" i="39"/>
  <c r="Y307" i="39"/>
  <c r="Z307" i="39"/>
  <c r="AA307" i="39"/>
  <c r="AB307" i="39"/>
  <c r="AC307" i="39"/>
  <c r="AD307" i="39"/>
  <c r="AE307" i="39"/>
  <c r="AF307" i="39"/>
  <c r="AG307" i="39"/>
  <c r="AH307" i="39"/>
  <c r="AI307" i="39"/>
  <c r="AJ307" i="39"/>
  <c r="AK307" i="39"/>
  <c r="AL307" i="39"/>
  <c r="AM307" i="39"/>
  <c r="AN307" i="39"/>
  <c r="AO307" i="39"/>
  <c r="AP307" i="39"/>
  <c r="AQ307" i="39"/>
  <c r="Q308" i="39"/>
  <c r="R308" i="39"/>
  <c r="S308" i="39"/>
  <c r="T308" i="39"/>
  <c r="U308" i="39"/>
  <c r="V308" i="39"/>
  <c r="W308" i="39"/>
  <c r="X308" i="39"/>
  <c r="Y308" i="39"/>
  <c r="Z308" i="39"/>
  <c r="AA308" i="39"/>
  <c r="AB308" i="39"/>
  <c r="AC308" i="39"/>
  <c r="AD308" i="39"/>
  <c r="AE308" i="39"/>
  <c r="AF308" i="39"/>
  <c r="AG308" i="39"/>
  <c r="AH308" i="39"/>
  <c r="AI308" i="39"/>
  <c r="AJ308" i="39"/>
  <c r="AK308" i="39"/>
  <c r="AL308" i="39"/>
  <c r="AM308" i="39"/>
  <c r="AN308" i="39"/>
  <c r="AO308" i="39"/>
  <c r="AP308" i="39"/>
  <c r="AQ308" i="39"/>
  <c r="Q309" i="39"/>
  <c r="R309" i="39"/>
  <c r="S309" i="39"/>
  <c r="T309" i="39"/>
  <c r="U309" i="39"/>
  <c r="V309" i="39"/>
  <c r="W309" i="39"/>
  <c r="X309" i="39"/>
  <c r="Y309" i="39"/>
  <c r="Z309" i="39"/>
  <c r="AA309" i="39"/>
  <c r="AB309" i="39"/>
  <c r="AC309" i="39"/>
  <c r="AD309" i="39"/>
  <c r="AE309" i="39"/>
  <c r="AF309" i="39"/>
  <c r="AG309" i="39"/>
  <c r="AH309" i="39"/>
  <c r="AI309" i="39"/>
  <c r="AJ309" i="39"/>
  <c r="AK309" i="39"/>
  <c r="AL309" i="39"/>
  <c r="AM309" i="39"/>
  <c r="AN309" i="39"/>
  <c r="AO309" i="39"/>
  <c r="AP309" i="39"/>
  <c r="AQ309" i="39"/>
  <c r="Q310" i="39"/>
  <c r="R310" i="39"/>
  <c r="S310" i="39"/>
  <c r="T310" i="39"/>
  <c r="U310" i="39"/>
  <c r="V310" i="39"/>
  <c r="W310" i="39"/>
  <c r="X310" i="39"/>
  <c r="Y310" i="39"/>
  <c r="Z310" i="39"/>
  <c r="AA310" i="39"/>
  <c r="AB310" i="39"/>
  <c r="AC310" i="39"/>
  <c r="AD310" i="39"/>
  <c r="AE310" i="39"/>
  <c r="AF310" i="39"/>
  <c r="AG310" i="39"/>
  <c r="AH310" i="39"/>
  <c r="AI310" i="39"/>
  <c r="AJ310" i="39"/>
  <c r="AK310" i="39"/>
  <c r="AL310" i="39"/>
  <c r="AM310" i="39"/>
  <c r="AN310" i="39"/>
  <c r="AO310" i="39"/>
  <c r="AP310" i="39"/>
  <c r="AQ310" i="39"/>
  <c r="Q311" i="39"/>
  <c r="R311" i="39"/>
  <c r="S311" i="39"/>
  <c r="T311" i="39"/>
  <c r="U311" i="39"/>
  <c r="V311" i="39"/>
  <c r="W311" i="39"/>
  <c r="X311" i="39"/>
  <c r="Y311" i="39"/>
  <c r="Z311" i="39"/>
  <c r="AA311" i="39"/>
  <c r="AB311" i="39"/>
  <c r="AC311" i="39"/>
  <c r="AD311" i="39"/>
  <c r="AE311" i="39"/>
  <c r="AF311" i="39"/>
  <c r="AG311" i="39"/>
  <c r="AH311" i="39"/>
  <c r="AI311" i="39"/>
  <c r="AJ311" i="39"/>
  <c r="AK311" i="39"/>
  <c r="AL311" i="39"/>
  <c r="AM311" i="39"/>
  <c r="AN311" i="39"/>
  <c r="AO311" i="39"/>
  <c r="AP311" i="39"/>
  <c r="AQ311" i="39"/>
  <c r="Q312" i="39"/>
  <c r="R312" i="39"/>
  <c r="S312" i="39"/>
  <c r="T312" i="39"/>
  <c r="U312" i="39"/>
  <c r="V312" i="39"/>
  <c r="W312" i="39"/>
  <c r="X312" i="39"/>
  <c r="Y312" i="39"/>
  <c r="Z312" i="39"/>
  <c r="AA312" i="39"/>
  <c r="AB312" i="39"/>
  <c r="AC312" i="39"/>
  <c r="AD312" i="39"/>
  <c r="AE312" i="39"/>
  <c r="AF312" i="39"/>
  <c r="AG312" i="39"/>
  <c r="AH312" i="39"/>
  <c r="AI312" i="39"/>
  <c r="AJ312" i="39"/>
  <c r="AK312" i="39"/>
  <c r="AL312" i="39"/>
  <c r="AM312" i="39"/>
  <c r="AN312" i="39"/>
  <c r="AO312" i="39"/>
  <c r="AP312" i="39"/>
  <c r="AQ312" i="39"/>
  <c r="Q313" i="39"/>
  <c r="R313" i="39"/>
  <c r="S313" i="39"/>
  <c r="T313" i="39"/>
  <c r="U313" i="39"/>
  <c r="V313" i="39"/>
  <c r="W313" i="39"/>
  <c r="X313" i="39"/>
  <c r="Y313" i="39"/>
  <c r="Z313" i="39"/>
  <c r="AA313" i="39"/>
  <c r="AB313" i="39"/>
  <c r="AC313" i="39"/>
  <c r="AD313" i="39"/>
  <c r="AE313" i="39"/>
  <c r="AF313" i="39"/>
  <c r="AG313" i="39"/>
  <c r="AH313" i="39"/>
  <c r="AI313" i="39"/>
  <c r="AJ313" i="39"/>
  <c r="AK313" i="39"/>
  <c r="AL313" i="39"/>
  <c r="AM313" i="39"/>
  <c r="AN313" i="39"/>
  <c r="AO313" i="39"/>
  <c r="AP313" i="39"/>
  <c r="AQ313" i="39"/>
  <c r="Q314" i="39"/>
  <c r="R314" i="39"/>
  <c r="S314" i="39"/>
  <c r="T314" i="39"/>
  <c r="U314" i="39"/>
  <c r="V314" i="39"/>
  <c r="W314" i="39"/>
  <c r="X314" i="39"/>
  <c r="Y314" i="39"/>
  <c r="Z314" i="39"/>
  <c r="AA314" i="39"/>
  <c r="AB314" i="39"/>
  <c r="AC314" i="39"/>
  <c r="AD314" i="39"/>
  <c r="AE314" i="39"/>
  <c r="AF314" i="39"/>
  <c r="AG314" i="39"/>
  <c r="AH314" i="39"/>
  <c r="AI314" i="39"/>
  <c r="AJ314" i="39"/>
  <c r="AK314" i="39"/>
  <c r="AL314" i="39"/>
  <c r="AM314" i="39"/>
  <c r="AN314" i="39"/>
  <c r="AO314" i="39"/>
  <c r="AP314" i="39"/>
  <c r="AQ314" i="39"/>
  <c r="Q315" i="39"/>
  <c r="R315" i="39"/>
  <c r="S315" i="39"/>
  <c r="T315" i="39"/>
  <c r="U315" i="39"/>
  <c r="V315" i="39"/>
  <c r="W315" i="39"/>
  <c r="X315" i="39"/>
  <c r="Y315" i="39"/>
  <c r="Z315" i="39"/>
  <c r="AA315" i="39"/>
  <c r="AB315" i="39"/>
  <c r="AC315" i="39"/>
  <c r="AD315" i="39"/>
  <c r="AE315" i="39"/>
  <c r="AF315" i="39"/>
  <c r="AG315" i="39"/>
  <c r="AH315" i="39"/>
  <c r="AI315" i="39"/>
  <c r="AJ315" i="39"/>
  <c r="AK315" i="39"/>
  <c r="AL315" i="39"/>
  <c r="AM315" i="39"/>
  <c r="AN315" i="39"/>
  <c r="AO315" i="39"/>
  <c r="AP315" i="39"/>
  <c r="AQ315" i="39"/>
  <c r="Q316" i="39"/>
  <c r="R316" i="39"/>
  <c r="S316" i="39"/>
  <c r="T316" i="39"/>
  <c r="U316" i="39"/>
  <c r="V316" i="39"/>
  <c r="W316" i="39"/>
  <c r="X316" i="39"/>
  <c r="Y316" i="39"/>
  <c r="Z316" i="39"/>
  <c r="AA316" i="39"/>
  <c r="AB316" i="39"/>
  <c r="AC316" i="39"/>
  <c r="AD316" i="39"/>
  <c r="AE316" i="39"/>
  <c r="AF316" i="39"/>
  <c r="AG316" i="39"/>
  <c r="AH316" i="39"/>
  <c r="AI316" i="39"/>
  <c r="AJ316" i="39"/>
  <c r="AK316" i="39"/>
  <c r="AL316" i="39"/>
  <c r="AM316" i="39"/>
  <c r="AN316" i="39"/>
  <c r="AO316" i="39"/>
  <c r="AP316" i="39"/>
  <c r="AQ316" i="39"/>
  <c r="Q317" i="39"/>
  <c r="R317" i="39"/>
  <c r="S317" i="39"/>
  <c r="T317" i="39"/>
  <c r="U317" i="39"/>
  <c r="V317" i="39"/>
  <c r="W317" i="39"/>
  <c r="X317" i="39"/>
  <c r="Y317" i="39"/>
  <c r="Z317" i="39"/>
  <c r="AA317" i="39"/>
  <c r="AB317" i="39"/>
  <c r="AC317" i="39"/>
  <c r="AD317" i="39"/>
  <c r="AE317" i="39"/>
  <c r="AF317" i="39"/>
  <c r="AG317" i="39"/>
  <c r="AH317" i="39"/>
  <c r="AI317" i="39"/>
  <c r="AJ317" i="39"/>
  <c r="AK317" i="39"/>
  <c r="AL317" i="39"/>
  <c r="AM317" i="39"/>
  <c r="AN317" i="39"/>
  <c r="AO317" i="39"/>
  <c r="AP317" i="39"/>
  <c r="AQ317" i="39"/>
  <c r="Q318" i="39"/>
  <c r="R318" i="39"/>
  <c r="S318" i="39"/>
  <c r="T318" i="39"/>
  <c r="U318" i="39"/>
  <c r="V318" i="39"/>
  <c r="W318" i="39"/>
  <c r="X318" i="39"/>
  <c r="Y318" i="39"/>
  <c r="Z318" i="39"/>
  <c r="AA318" i="39"/>
  <c r="AB318" i="39"/>
  <c r="AC318" i="39"/>
  <c r="AD318" i="39"/>
  <c r="AE318" i="39"/>
  <c r="AF318" i="39"/>
  <c r="AG318" i="39"/>
  <c r="AH318" i="39"/>
  <c r="AI318" i="39"/>
  <c r="AJ318" i="39"/>
  <c r="AK318" i="39"/>
  <c r="AL318" i="39"/>
  <c r="AM318" i="39"/>
  <c r="AN318" i="39"/>
  <c r="AO318" i="39"/>
  <c r="AP318" i="39"/>
  <c r="AQ318" i="39"/>
  <c r="Q319" i="39"/>
  <c r="R319" i="39"/>
  <c r="S319" i="39"/>
  <c r="T319" i="39"/>
  <c r="U319" i="39"/>
  <c r="V319" i="39"/>
  <c r="W319" i="39"/>
  <c r="X319" i="39"/>
  <c r="Y319" i="39"/>
  <c r="Z319" i="39"/>
  <c r="AA319" i="39"/>
  <c r="AB319" i="39"/>
  <c r="AC319" i="39"/>
  <c r="AD319" i="39"/>
  <c r="AE319" i="39"/>
  <c r="AF319" i="39"/>
  <c r="AG319" i="39"/>
  <c r="AH319" i="39"/>
  <c r="AI319" i="39"/>
  <c r="AJ319" i="39"/>
  <c r="AK319" i="39"/>
  <c r="AL319" i="39"/>
  <c r="AM319" i="39"/>
  <c r="AN319" i="39"/>
  <c r="AO319" i="39"/>
  <c r="AP319" i="39"/>
  <c r="AQ319" i="39"/>
  <c r="Q320" i="39"/>
  <c r="R320" i="39"/>
  <c r="S320" i="39"/>
  <c r="T320" i="39"/>
  <c r="U320" i="39"/>
  <c r="V320" i="39"/>
  <c r="W320" i="39"/>
  <c r="X320" i="39"/>
  <c r="Y320" i="39"/>
  <c r="Z320" i="39"/>
  <c r="AA320" i="39"/>
  <c r="AB320" i="39"/>
  <c r="AC320" i="39"/>
  <c r="AD320" i="39"/>
  <c r="AE320" i="39"/>
  <c r="AF320" i="39"/>
  <c r="AG320" i="39"/>
  <c r="AH320" i="39"/>
  <c r="AI320" i="39"/>
  <c r="AJ320" i="39"/>
  <c r="AK320" i="39"/>
  <c r="AL320" i="39"/>
  <c r="AM320" i="39"/>
  <c r="AN320" i="39"/>
  <c r="AO320" i="39"/>
  <c r="AP320" i="39"/>
  <c r="AQ320" i="39"/>
  <c r="Q321" i="39"/>
  <c r="R321" i="39"/>
  <c r="S321" i="39"/>
  <c r="T321" i="39"/>
  <c r="U321" i="39"/>
  <c r="V321" i="39"/>
  <c r="W321" i="39"/>
  <c r="X321" i="39"/>
  <c r="Y321" i="39"/>
  <c r="Z321" i="39"/>
  <c r="AA321" i="39"/>
  <c r="AB321" i="39"/>
  <c r="AC321" i="39"/>
  <c r="AD321" i="39"/>
  <c r="AE321" i="39"/>
  <c r="AF321" i="39"/>
  <c r="AG321" i="39"/>
  <c r="AH321" i="39"/>
  <c r="AI321" i="39"/>
  <c r="AJ321" i="39"/>
  <c r="AK321" i="39"/>
  <c r="AL321" i="39"/>
  <c r="AM321" i="39"/>
  <c r="AN321" i="39"/>
  <c r="AO321" i="39"/>
  <c r="AP321" i="39"/>
  <c r="AQ321" i="39"/>
  <c r="Q322" i="39"/>
  <c r="R322" i="39"/>
  <c r="S322" i="39"/>
  <c r="T322" i="39"/>
  <c r="U322" i="39"/>
  <c r="V322" i="39"/>
  <c r="W322" i="39"/>
  <c r="X322" i="39"/>
  <c r="Y322" i="39"/>
  <c r="Z322" i="39"/>
  <c r="AA322" i="39"/>
  <c r="AB322" i="39"/>
  <c r="AC322" i="39"/>
  <c r="AD322" i="39"/>
  <c r="AE322" i="39"/>
  <c r="AF322" i="39"/>
  <c r="AG322" i="39"/>
  <c r="AH322" i="39"/>
  <c r="AI322" i="39"/>
  <c r="AJ322" i="39"/>
  <c r="AK322" i="39"/>
  <c r="AL322" i="39"/>
  <c r="AM322" i="39"/>
  <c r="AN322" i="39"/>
  <c r="AO322" i="39"/>
  <c r="AP322" i="39"/>
  <c r="AQ322" i="39"/>
  <c r="Q323" i="39"/>
  <c r="R323" i="39"/>
  <c r="S323" i="39"/>
  <c r="T323" i="39"/>
  <c r="U323" i="39"/>
  <c r="V323" i="39"/>
  <c r="W323" i="39"/>
  <c r="X323" i="39"/>
  <c r="Y323" i="39"/>
  <c r="Z323" i="39"/>
  <c r="AA323" i="39"/>
  <c r="AB323" i="39"/>
  <c r="AC323" i="39"/>
  <c r="AD323" i="39"/>
  <c r="AE323" i="39"/>
  <c r="AF323" i="39"/>
  <c r="AG323" i="39"/>
  <c r="AH323" i="39"/>
  <c r="AI323" i="39"/>
  <c r="AJ323" i="39"/>
  <c r="AK323" i="39"/>
  <c r="AL323" i="39"/>
  <c r="AM323" i="39"/>
  <c r="AN323" i="39"/>
  <c r="AO323" i="39"/>
  <c r="AP323" i="39"/>
  <c r="AQ323" i="39"/>
  <c r="Q324" i="39"/>
  <c r="R324" i="39"/>
  <c r="S324" i="39"/>
  <c r="T324" i="39"/>
  <c r="U324" i="39"/>
  <c r="V324" i="39"/>
  <c r="W324" i="39"/>
  <c r="X324" i="39"/>
  <c r="Y324" i="39"/>
  <c r="Z324" i="39"/>
  <c r="AA324" i="39"/>
  <c r="AB324" i="39"/>
  <c r="AC324" i="39"/>
  <c r="AD324" i="39"/>
  <c r="AE324" i="39"/>
  <c r="AF324" i="39"/>
  <c r="AG324" i="39"/>
  <c r="AH324" i="39"/>
  <c r="AI324" i="39"/>
  <c r="AJ324" i="39"/>
  <c r="AK324" i="39"/>
  <c r="AL324" i="39"/>
  <c r="AM324" i="39"/>
  <c r="AN324" i="39"/>
  <c r="AO324" i="39"/>
  <c r="AP324" i="39"/>
  <c r="AQ324" i="39"/>
  <c r="Q325" i="39"/>
  <c r="R325" i="39"/>
  <c r="S325" i="39"/>
  <c r="T325" i="39"/>
  <c r="U325" i="39"/>
  <c r="V325" i="39"/>
  <c r="W325" i="39"/>
  <c r="X325" i="39"/>
  <c r="Y325" i="39"/>
  <c r="Z325" i="39"/>
  <c r="AA325" i="39"/>
  <c r="AB325" i="39"/>
  <c r="AC325" i="39"/>
  <c r="AD325" i="39"/>
  <c r="AE325" i="39"/>
  <c r="AF325" i="39"/>
  <c r="AG325" i="39"/>
  <c r="AH325" i="39"/>
  <c r="AI325" i="39"/>
  <c r="AJ325" i="39"/>
  <c r="AK325" i="39"/>
  <c r="AL325" i="39"/>
  <c r="AM325" i="39"/>
  <c r="AN325" i="39"/>
  <c r="AO325" i="39"/>
  <c r="AP325" i="39"/>
  <c r="AQ325" i="39"/>
  <c r="Q326" i="39"/>
  <c r="R326" i="39"/>
  <c r="S326" i="39"/>
  <c r="T326" i="39"/>
  <c r="U326" i="39"/>
  <c r="V326" i="39"/>
  <c r="W326" i="39"/>
  <c r="X326" i="39"/>
  <c r="Y326" i="39"/>
  <c r="Z326" i="39"/>
  <c r="AA326" i="39"/>
  <c r="AB326" i="39"/>
  <c r="AC326" i="39"/>
  <c r="AD326" i="39"/>
  <c r="AE326" i="39"/>
  <c r="AF326" i="39"/>
  <c r="AG326" i="39"/>
  <c r="AH326" i="39"/>
  <c r="AI326" i="39"/>
  <c r="AJ326" i="39"/>
  <c r="AK326" i="39"/>
  <c r="AL326" i="39"/>
  <c r="AM326" i="39"/>
  <c r="AN326" i="39"/>
  <c r="AO326" i="39"/>
  <c r="AP326" i="39"/>
  <c r="AQ326" i="39"/>
  <c r="Q327" i="39"/>
  <c r="R327" i="39"/>
  <c r="S327" i="39"/>
  <c r="T327" i="39"/>
  <c r="U327" i="39"/>
  <c r="V327" i="39"/>
  <c r="W327" i="39"/>
  <c r="X327" i="39"/>
  <c r="Y327" i="39"/>
  <c r="Z327" i="39"/>
  <c r="AA327" i="39"/>
  <c r="AB327" i="39"/>
  <c r="AC327" i="39"/>
  <c r="AD327" i="39"/>
  <c r="AE327" i="39"/>
  <c r="AF327" i="39"/>
  <c r="AG327" i="39"/>
  <c r="AH327" i="39"/>
  <c r="AI327" i="39"/>
  <c r="AJ327" i="39"/>
  <c r="AK327" i="39"/>
  <c r="AL327" i="39"/>
  <c r="AM327" i="39"/>
  <c r="AN327" i="39"/>
  <c r="AO327" i="39"/>
  <c r="AP327" i="39"/>
  <c r="AQ327" i="39"/>
  <c r="Q328" i="39"/>
  <c r="R328" i="39"/>
  <c r="S328" i="39"/>
  <c r="T328" i="39"/>
  <c r="U328" i="39"/>
  <c r="V328" i="39"/>
  <c r="W328" i="39"/>
  <c r="X328" i="39"/>
  <c r="Y328" i="39"/>
  <c r="Z328" i="39"/>
  <c r="AA328" i="39"/>
  <c r="AB328" i="39"/>
  <c r="AC328" i="39"/>
  <c r="AD328" i="39"/>
  <c r="AE328" i="39"/>
  <c r="AF328" i="39"/>
  <c r="AG328" i="39"/>
  <c r="AH328" i="39"/>
  <c r="AI328" i="39"/>
  <c r="AJ328" i="39"/>
  <c r="AK328" i="39"/>
  <c r="AL328" i="39"/>
  <c r="AM328" i="39"/>
  <c r="AN328" i="39"/>
  <c r="AO328" i="39"/>
  <c r="AP328" i="39"/>
  <c r="AQ328" i="39"/>
  <c r="Q329" i="39"/>
  <c r="R329" i="39"/>
  <c r="S329" i="39"/>
  <c r="T329" i="39"/>
  <c r="U329" i="39"/>
  <c r="V329" i="39"/>
  <c r="W329" i="39"/>
  <c r="X329" i="39"/>
  <c r="Y329" i="39"/>
  <c r="Z329" i="39"/>
  <c r="AA329" i="39"/>
  <c r="AB329" i="39"/>
  <c r="AC329" i="39"/>
  <c r="AD329" i="39"/>
  <c r="AE329" i="39"/>
  <c r="AF329" i="39"/>
  <c r="AG329" i="39"/>
  <c r="AH329" i="39"/>
  <c r="AI329" i="39"/>
  <c r="AJ329" i="39"/>
  <c r="AK329" i="39"/>
  <c r="AL329" i="39"/>
  <c r="AM329" i="39"/>
  <c r="AN329" i="39"/>
  <c r="AO329" i="39"/>
  <c r="AP329" i="39"/>
  <c r="AQ329" i="39"/>
  <c r="Q330" i="39"/>
  <c r="R330" i="39"/>
  <c r="S330" i="39"/>
  <c r="T330" i="39"/>
  <c r="U330" i="39"/>
  <c r="V330" i="39"/>
  <c r="W330" i="39"/>
  <c r="X330" i="39"/>
  <c r="Y330" i="39"/>
  <c r="Z330" i="39"/>
  <c r="AA330" i="39"/>
  <c r="AB330" i="39"/>
  <c r="AC330" i="39"/>
  <c r="AD330" i="39"/>
  <c r="AE330" i="39"/>
  <c r="AF330" i="39"/>
  <c r="AG330" i="39"/>
  <c r="AH330" i="39"/>
  <c r="AI330" i="39"/>
  <c r="AJ330" i="39"/>
  <c r="AK330" i="39"/>
  <c r="AL330" i="39"/>
  <c r="AM330" i="39"/>
  <c r="AN330" i="39"/>
  <c r="AO330" i="39"/>
  <c r="AP330" i="39"/>
  <c r="AQ330" i="39"/>
  <c r="Q331" i="39"/>
  <c r="R331" i="39"/>
  <c r="S331" i="39"/>
  <c r="T331" i="39"/>
  <c r="U331" i="39"/>
  <c r="V331" i="39"/>
  <c r="W331" i="39"/>
  <c r="X331" i="39"/>
  <c r="Y331" i="39"/>
  <c r="Z331" i="39"/>
  <c r="AA331" i="39"/>
  <c r="AB331" i="39"/>
  <c r="AC331" i="39"/>
  <c r="AD331" i="39"/>
  <c r="AE331" i="39"/>
  <c r="AF331" i="39"/>
  <c r="AG331" i="39"/>
  <c r="AH331" i="39"/>
  <c r="AI331" i="39"/>
  <c r="AJ331" i="39"/>
  <c r="AK331" i="39"/>
  <c r="AL331" i="39"/>
  <c r="AM331" i="39"/>
  <c r="AN331" i="39"/>
  <c r="AO331" i="39"/>
  <c r="AP331" i="39"/>
  <c r="AQ331" i="39"/>
  <c r="Q332" i="39"/>
  <c r="R332" i="39"/>
  <c r="S332" i="39"/>
  <c r="T332" i="39"/>
  <c r="U332" i="39"/>
  <c r="V332" i="39"/>
  <c r="W332" i="39"/>
  <c r="X332" i="39"/>
  <c r="Y332" i="39"/>
  <c r="Z332" i="39"/>
  <c r="AA332" i="39"/>
  <c r="AB332" i="39"/>
  <c r="AC332" i="39"/>
  <c r="AD332" i="39"/>
  <c r="AE332" i="39"/>
  <c r="AF332" i="39"/>
  <c r="AG332" i="39"/>
  <c r="AH332" i="39"/>
  <c r="AI332" i="39"/>
  <c r="AJ332" i="39"/>
  <c r="AK332" i="39"/>
  <c r="AL332" i="39"/>
  <c r="AM332" i="39"/>
  <c r="AN332" i="39"/>
  <c r="AO332" i="39"/>
  <c r="AP332" i="39"/>
  <c r="AQ332" i="39"/>
  <c r="Q333" i="39"/>
  <c r="R333" i="39"/>
  <c r="S333" i="39"/>
  <c r="T333" i="39"/>
  <c r="U333" i="39"/>
  <c r="V333" i="39"/>
  <c r="W333" i="39"/>
  <c r="X333" i="39"/>
  <c r="Y333" i="39"/>
  <c r="Z333" i="39"/>
  <c r="AA333" i="39"/>
  <c r="AB333" i="39"/>
  <c r="AC333" i="39"/>
  <c r="AD333" i="39"/>
  <c r="AE333" i="39"/>
  <c r="AF333" i="39"/>
  <c r="AG333" i="39"/>
  <c r="AH333" i="39"/>
  <c r="AI333" i="39"/>
  <c r="AJ333" i="39"/>
  <c r="AK333" i="39"/>
  <c r="AL333" i="39"/>
  <c r="AM333" i="39"/>
  <c r="AN333" i="39"/>
  <c r="AO333" i="39"/>
  <c r="AP333" i="39"/>
  <c r="AQ333" i="39"/>
  <c r="Q334" i="39"/>
  <c r="R334" i="39"/>
  <c r="S334" i="39"/>
  <c r="T334" i="39"/>
  <c r="U334" i="39"/>
  <c r="V334" i="39"/>
  <c r="W334" i="39"/>
  <c r="X334" i="39"/>
  <c r="Y334" i="39"/>
  <c r="Z334" i="39"/>
  <c r="AA334" i="39"/>
  <c r="AB334" i="39"/>
  <c r="AC334" i="39"/>
  <c r="AD334" i="39"/>
  <c r="AE334" i="39"/>
  <c r="AF334" i="39"/>
  <c r="AG334" i="39"/>
  <c r="AH334" i="39"/>
  <c r="AI334" i="39"/>
  <c r="AJ334" i="39"/>
  <c r="AK334" i="39"/>
  <c r="AL334" i="39"/>
  <c r="AM334" i="39"/>
  <c r="AN334" i="39"/>
  <c r="AO334" i="39"/>
  <c r="AP334" i="39"/>
  <c r="AQ334" i="39"/>
  <c r="Q335" i="39"/>
  <c r="R335" i="39"/>
  <c r="S335" i="39"/>
  <c r="T335" i="39"/>
  <c r="U335" i="39"/>
  <c r="V335" i="39"/>
  <c r="W335" i="39"/>
  <c r="X335" i="39"/>
  <c r="Y335" i="39"/>
  <c r="Z335" i="39"/>
  <c r="AA335" i="39"/>
  <c r="AB335" i="39"/>
  <c r="AC335" i="39"/>
  <c r="AD335" i="39"/>
  <c r="AE335" i="39"/>
  <c r="AF335" i="39"/>
  <c r="AG335" i="39"/>
  <c r="AH335" i="39"/>
  <c r="AI335" i="39"/>
  <c r="AJ335" i="39"/>
  <c r="AK335" i="39"/>
  <c r="AL335" i="39"/>
  <c r="AM335" i="39"/>
  <c r="AN335" i="39"/>
  <c r="AO335" i="39"/>
  <c r="AP335" i="39"/>
  <c r="AQ335" i="39"/>
  <c r="Q336" i="39"/>
  <c r="R336" i="39"/>
  <c r="S336" i="39"/>
  <c r="T336" i="39"/>
  <c r="U336" i="39"/>
  <c r="V336" i="39"/>
  <c r="W336" i="39"/>
  <c r="X336" i="39"/>
  <c r="Y336" i="39"/>
  <c r="Z336" i="39"/>
  <c r="AA336" i="39"/>
  <c r="AB336" i="39"/>
  <c r="AC336" i="39"/>
  <c r="AD336" i="39"/>
  <c r="AE336" i="39"/>
  <c r="AF336" i="39"/>
  <c r="AG336" i="39"/>
  <c r="AH336" i="39"/>
  <c r="AI336" i="39"/>
  <c r="AJ336" i="39"/>
  <c r="AK336" i="39"/>
  <c r="AL336" i="39"/>
  <c r="AM336" i="39"/>
  <c r="AN336" i="39"/>
  <c r="AO336" i="39"/>
  <c r="AP336" i="39"/>
  <c r="AQ336" i="39"/>
  <c r="Q337" i="39"/>
  <c r="R337" i="39"/>
  <c r="S337" i="39"/>
  <c r="T337" i="39"/>
  <c r="U337" i="39"/>
  <c r="V337" i="39"/>
  <c r="W337" i="39"/>
  <c r="X337" i="39"/>
  <c r="Y337" i="39"/>
  <c r="Z337" i="39"/>
  <c r="AA337" i="39"/>
  <c r="AB337" i="39"/>
  <c r="AC337" i="39"/>
  <c r="AD337" i="39"/>
  <c r="AE337" i="39"/>
  <c r="AF337" i="39"/>
  <c r="AG337" i="39"/>
  <c r="AH337" i="39"/>
  <c r="AI337" i="39"/>
  <c r="AJ337" i="39"/>
  <c r="AK337" i="39"/>
  <c r="AL337" i="39"/>
  <c r="AM337" i="39"/>
  <c r="AN337" i="39"/>
  <c r="AO337" i="39"/>
  <c r="AP337" i="39"/>
  <c r="AQ337" i="39"/>
  <c r="Q338" i="39"/>
  <c r="R338" i="39"/>
  <c r="S338" i="39"/>
  <c r="T338" i="39"/>
  <c r="U338" i="39"/>
  <c r="V338" i="39"/>
  <c r="W338" i="39"/>
  <c r="X338" i="39"/>
  <c r="Y338" i="39"/>
  <c r="Z338" i="39"/>
  <c r="AA338" i="39"/>
  <c r="AB338" i="39"/>
  <c r="AC338" i="39"/>
  <c r="AD338" i="39"/>
  <c r="AE338" i="39"/>
  <c r="AF338" i="39"/>
  <c r="AG338" i="39"/>
  <c r="AH338" i="39"/>
  <c r="AI338" i="39"/>
  <c r="AJ338" i="39"/>
  <c r="AK338" i="39"/>
  <c r="AL338" i="39"/>
  <c r="AM338" i="39"/>
  <c r="AN338" i="39"/>
  <c r="AO338" i="39"/>
  <c r="AP338" i="39"/>
  <c r="AQ338" i="39"/>
  <c r="Q339" i="39"/>
  <c r="R339" i="39"/>
  <c r="S339" i="39"/>
  <c r="T339" i="39"/>
  <c r="U339" i="39"/>
  <c r="V339" i="39"/>
  <c r="W339" i="39"/>
  <c r="X339" i="39"/>
  <c r="Y339" i="39"/>
  <c r="Z339" i="39"/>
  <c r="AA339" i="39"/>
  <c r="AB339" i="39"/>
  <c r="AC339" i="39"/>
  <c r="AD339" i="39"/>
  <c r="AE339" i="39"/>
  <c r="AF339" i="39"/>
  <c r="AG339" i="39"/>
  <c r="AH339" i="39"/>
  <c r="AI339" i="39"/>
  <c r="AJ339" i="39"/>
  <c r="AK339" i="39"/>
  <c r="AL339" i="39"/>
  <c r="AM339" i="39"/>
  <c r="AN339" i="39"/>
  <c r="AO339" i="39"/>
  <c r="AP339" i="39"/>
  <c r="AQ339" i="39"/>
  <c r="Q340" i="39"/>
  <c r="R340" i="39"/>
  <c r="S340" i="39"/>
  <c r="T340" i="39"/>
  <c r="U340" i="39"/>
  <c r="V340" i="39"/>
  <c r="W340" i="39"/>
  <c r="X340" i="39"/>
  <c r="Y340" i="39"/>
  <c r="Z340" i="39"/>
  <c r="AA340" i="39"/>
  <c r="AB340" i="39"/>
  <c r="AC340" i="39"/>
  <c r="AD340" i="39"/>
  <c r="AE340" i="39"/>
  <c r="AF340" i="39"/>
  <c r="AG340" i="39"/>
  <c r="AH340" i="39"/>
  <c r="AI340" i="39"/>
  <c r="AJ340" i="39"/>
  <c r="AK340" i="39"/>
  <c r="AL340" i="39"/>
  <c r="AM340" i="39"/>
  <c r="AN340" i="39"/>
  <c r="AO340" i="39"/>
  <c r="AP340" i="39"/>
  <c r="AQ340" i="39"/>
  <c r="Q341" i="39"/>
  <c r="R341" i="39"/>
  <c r="S341" i="39"/>
  <c r="T341" i="39"/>
  <c r="U341" i="39"/>
  <c r="V341" i="39"/>
  <c r="W341" i="39"/>
  <c r="X341" i="39"/>
  <c r="Y341" i="39"/>
  <c r="Z341" i="39"/>
  <c r="AA341" i="39"/>
  <c r="AB341" i="39"/>
  <c r="AC341" i="39"/>
  <c r="AD341" i="39"/>
  <c r="AE341" i="39"/>
  <c r="AF341" i="39"/>
  <c r="AG341" i="39"/>
  <c r="AH341" i="39"/>
  <c r="AI341" i="39"/>
  <c r="AJ341" i="39"/>
  <c r="AK341" i="39"/>
  <c r="AL341" i="39"/>
  <c r="AM341" i="39"/>
  <c r="AN341" i="39"/>
  <c r="AO341" i="39"/>
  <c r="AP341" i="39"/>
  <c r="AQ341" i="39"/>
  <c r="Q342" i="39"/>
  <c r="R342" i="39"/>
  <c r="S342" i="39"/>
  <c r="T342" i="39"/>
  <c r="U342" i="39"/>
  <c r="V342" i="39"/>
  <c r="W342" i="39"/>
  <c r="X342" i="39"/>
  <c r="Y342" i="39"/>
  <c r="Z342" i="39"/>
  <c r="AA342" i="39"/>
  <c r="AB342" i="39"/>
  <c r="AC342" i="39"/>
  <c r="AD342" i="39"/>
  <c r="AE342" i="39"/>
  <c r="AF342" i="39"/>
  <c r="AG342" i="39"/>
  <c r="AH342" i="39"/>
  <c r="AI342" i="39"/>
  <c r="AJ342" i="39"/>
  <c r="AK342" i="39"/>
  <c r="AL342" i="39"/>
  <c r="AM342" i="39"/>
  <c r="AN342" i="39"/>
  <c r="AO342" i="39"/>
  <c r="AP342" i="39"/>
  <c r="AQ342" i="39"/>
  <c r="Q343" i="39"/>
  <c r="R343" i="39"/>
  <c r="S343" i="39"/>
  <c r="T343" i="39"/>
  <c r="U343" i="39"/>
  <c r="V343" i="39"/>
  <c r="W343" i="39"/>
  <c r="X343" i="39"/>
  <c r="Y343" i="39"/>
  <c r="Z343" i="39"/>
  <c r="AA343" i="39"/>
  <c r="AB343" i="39"/>
  <c r="AC343" i="39"/>
  <c r="AD343" i="39"/>
  <c r="AE343" i="39"/>
  <c r="AF343" i="39"/>
  <c r="AG343" i="39"/>
  <c r="AH343" i="39"/>
  <c r="AI343" i="39"/>
  <c r="AJ343" i="39"/>
  <c r="AK343" i="39"/>
  <c r="AL343" i="39"/>
  <c r="AM343" i="39"/>
  <c r="AN343" i="39"/>
  <c r="AO343" i="39"/>
  <c r="AP343" i="39"/>
  <c r="AQ343" i="39"/>
  <c r="Q344" i="39"/>
  <c r="R344" i="39"/>
  <c r="S344" i="39"/>
  <c r="T344" i="39"/>
  <c r="U344" i="39"/>
  <c r="V344" i="39"/>
  <c r="W344" i="39"/>
  <c r="X344" i="39"/>
  <c r="Y344" i="39"/>
  <c r="Z344" i="39"/>
  <c r="AA344" i="39"/>
  <c r="AB344" i="39"/>
  <c r="AC344" i="39"/>
  <c r="AD344" i="39"/>
  <c r="AE344" i="39"/>
  <c r="AF344" i="39"/>
  <c r="AG344" i="39"/>
  <c r="AH344" i="39"/>
  <c r="AI344" i="39"/>
  <c r="AJ344" i="39"/>
  <c r="AK344" i="39"/>
  <c r="AL344" i="39"/>
  <c r="AM344" i="39"/>
  <c r="AN344" i="39"/>
  <c r="AO344" i="39"/>
  <c r="AP344" i="39"/>
  <c r="AQ344" i="39"/>
  <c r="U13" i="39"/>
  <c r="V13" i="39"/>
  <c r="W13" i="39"/>
  <c r="X13" i="39"/>
  <c r="Y13" i="39"/>
  <c r="Z13" i="39"/>
  <c r="AA13" i="39"/>
  <c r="AB13" i="39"/>
  <c r="AC13" i="39"/>
  <c r="AD13" i="39"/>
  <c r="AE13" i="39"/>
  <c r="AF13" i="39"/>
  <c r="AG13" i="39"/>
  <c r="AH13" i="39"/>
  <c r="AI13" i="39"/>
  <c r="AJ13" i="39"/>
  <c r="AK13" i="39"/>
  <c r="AL13" i="39"/>
  <c r="AM13" i="39"/>
  <c r="AN13" i="39"/>
  <c r="AO13" i="39"/>
  <c r="AP13" i="39"/>
  <c r="AQ13" i="39"/>
  <c r="R13" i="39"/>
  <c r="S13" i="39"/>
  <c r="T13" i="39"/>
  <c r="Q345" i="39"/>
  <c r="Q346" i="39"/>
  <c r="Q347" i="39"/>
  <c r="Q348" i="39"/>
  <c r="Q349" i="39"/>
  <c r="Q350" i="39"/>
  <c r="Q351" i="39"/>
  <c r="Q352" i="39"/>
  <c r="Q353" i="39"/>
  <c r="Q354" i="39"/>
  <c r="Q355" i="39"/>
  <c r="Q356" i="39"/>
  <c r="Q357" i="39"/>
  <c r="Q358" i="39"/>
  <c r="Q359" i="39"/>
  <c r="Q360" i="39"/>
  <c r="Q361" i="39"/>
  <c r="Q362" i="39"/>
  <c r="Q363" i="39"/>
  <c r="Q364" i="39"/>
  <c r="Q365" i="39"/>
  <c r="Q366" i="39"/>
  <c r="Q367" i="39"/>
  <c r="Q368" i="39"/>
  <c r="Q369" i="39"/>
  <c r="Q370" i="39"/>
  <c r="Q371" i="39"/>
  <c r="Q372" i="39"/>
  <c r="Q373" i="39"/>
  <c r="Q374" i="39"/>
  <c r="Q375" i="39"/>
  <c r="Q376" i="39"/>
  <c r="Q377" i="39"/>
  <c r="Q378" i="39"/>
  <c r="Q13" i="39"/>
  <c r="R345" i="39"/>
  <c r="S345" i="39"/>
  <c r="T345" i="39"/>
  <c r="U345" i="39"/>
  <c r="V345" i="39"/>
  <c r="W345" i="39"/>
  <c r="X345" i="39"/>
  <c r="Y345" i="39"/>
  <c r="Z345" i="39"/>
  <c r="AA345" i="39"/>
  <c r="AB345" i="39"/>
  <c r="AC345" i="39"/>
  <c r="AD345" i="39"/>
  <c r="AE345" i="39"/>
  <c r="AF345" i="39"/>
  <c r="AG345" i="39"/>
  <c r="AH345" i="39"/>
  <c r="AI345" i="39"/>
  <c r="AJ345" i="39"/>
  <c r="AK345" i="39"/>
  <c r="AL345" i="39"/>
  <c r="AM345" i="39"/>
  <c r="AN345" i="39"/>
  <c r="AO345" i="39"/>
  <c r="AP345" i="39"/>
  <c r="AQ345" i="39"/>
  <c r="R346" i="39"/>
  <c r="S346" i="39"/>
  <c r="T346" i="39"/>
  <c r="U346" i="39"/>
  <c r="V346" i="39"/>
  <c r="W346" i="39"/>
  <c r="X346" i="39"/>
  <c r="Y346" i="39"/>
  <c r="Z346" i="39"/>
  <c r="AA346" i="39"/>
  <c r="AB346" i="39"/>
  <c r="AC346" i="39"/>
  <c r="AD346" i="39"/>
  <c r="AE346" i="39"/>
  <c r="AF346" i="39"/>
  <c r="AG346" i="39"/>
  <c r="AH346" i="39"/>
  <c r="AI346" i="39"/>
  <c r="AJ346" i="39"/>
  <c r="AK346" i="39"/>
  <c r="AL346" i="39"/>
  <c r="AM346" i="39"/>
  <c r="AN346" i="39"/>
  <c r="AO346" i="39"/>
  <c r="AP346" i="39"/>
  <c r="AQ346" i="39"/>
  <c r="R347" i="39"/>
  <c r="S347" i="39"/>
  <c r="T347" i="39"/>
  <c r="U347" i="39"/>
  <c r="V347" i="39"/>
  <c r="W347" i="39"/>
  <c r="X347" i="39"/>
  <c r="Y347" i="39"/>
  <c r="Z347" i="39"/>
  <c r="AA347" i="39"/>
  <c r="AB347" i="39"/>
  <c r="AC347" i="39"/>
  <c r="AD347" i="39"/>
  <c r="AE347" i="39"/>
  <c r="AF347" i="39"/>
  <c r="AG347" i="39"/>
  <c r="AH347" i="39"/>
  <c r="AI347" i="39"/>
  <c r="AJ347" i="39"/>
  <c r="AK347" i="39"/>
  <c r="AL347" i="39"/>
  <c r="AM347" i="39"/>
  <c r="AN347" i="39"/>
  <c r="AO347" i="39"/>
  <c r="AP347" i="39"/>
  <c r="AQ347" i="39"/>
  <c r="R348" i="39"/>
  <c r="S348" i="39"/>
  <c r="T348" i="39"/>
  <c r="U348" i="39"/>
  <c r="V348" i="39"/>
  <c r="W348" i="39"/>
  <c r="X348" i="39"/>
  <c r="Y348" i="39"/>
  <c r="Z348" i="39"/>
  <c r="AA348" i="39"/>
  <c r="AB348" i="39"/>
  <c r="AC348" i="39"/>
  <c r="AD348" i="39"/>
  <c r="AE348" i="39"/>
  <c r="AF348" i="39"/>
  <c r="AG348" i="39"/>
  <c r="AH348" i="39"/>
  <c r="AI348" i="39"/>
  <c r="AJ348" i="39"/>
  <c r="AK348" i="39"/>
  <c r="AL348" i="39"/>
  <c r="AM348" i="39"/>
  <c r="AN348" i="39"/>
  <c r="AO348" i="39"/>
  <c r="AP348" i="39"/>
  <c r="AQ348" i="39"/>
  <c r="R349" i="39"/>
  <c r="S349" i="39"/>
  <c r="T349" i="39"/>
  <c r="U349" i="39"/>
  <c r="V349" i="39"/>
  <c r="W349" i="39"/>
  <c r="X349" i="39"/>
  <c r="Y349" i="39"/>
  <c r="Z349" i="39"/>
  <c r="AA349" i="39"/>
  <c r="AB349" i="39"/>
  <c r="AC349" i="39"/>
  <c r="AD349" i="39"/>
  <c r="AE349" i="39"/>
  <c r="AF349" i="39"/>
  <c r="AG349" i="39"/>
  <c r="AH349" i="39"/>
  <c r="AI349" i="39"/>
  <c r="AJ349" i="39"/>
  <c r="AK349" i="39"/>
  <c r="AL349" i="39"/>
  <c r="AM349" i="39"/>
  <c r="AN349" i="39"/>
  <c r="AO349" i="39"/>
  <c r="AP349" i="39"/>
  <c r="AQ349" i="39"/>
  <c r="R350" i="39"/>
  <c r="S350" i="39"/>
  <c r="T350" i="39"/>
  <c r="U350" i="39"/>
  <c r="V350" i="39"/>
  <c r="W350" i="39"/>
  <c r="X350" i="39"/>
  <c r="Y350" i="39"/>
  <c r="Z350" i="39"/>
  <c r="AA350" i="39"/>
  <c r="AB350" i="39"/>
  <c r="AC350" i="39"/>
  <c r="AD350" i="39"/>
  <c r="AE350" i="39"/>
  <c r="AF350" i="39"/>
  <c r="AG350" i="39"/>
  <c r="AH350" i="39"/>
  <c r="AI350" i="39"/>
  <c r="AJ350" i="39"/>
  <c r="AK350" i="39"/>
  <c r="AL350" i="39"/>
  <c r="AM350" i="39"/>
  <c r="AN350" i="39"/>
  <c r="AO350" i="39"/>
  <c r="AP350" i="39"/>
  <c r="AQ350" i="39"/>
  <c r="L51" i="39"/>
  <c r="L86" i="39"/>
  <c r="O59" i="39"/>
  <c r="P59" i="39"/>
  <c r="O94" i="39"/>
  <c r="P94" i="39"/>
  <c r="D72" i="39"/>
  <c r="E72" i="39"/>
  <c r="F72" i="39"/>
  <c r="G72" i="39"/>
  <c r="N107" i="39"/>
  <c r="O107" i="39"/>
  <c r="P107" i="39"/>
  <c r="P68" i="39"/>
  <c r="P74" i="39"/>
  <c r="N103" i="39"/>
  <c r="N109" i="39"/>
  <c r="O103" i="39"/>
  <c r="O109" i="39"/>
  <c r="P103" i="39"/>
  <c r="P109" i="39"/>
  <c r="J245" i="39"/>
  <c r="K245" i="39"/>
  <c r="L245" i="39"/>
  <c r="L239" i="39"/>
  <c r="N239" i="39"/>
  <c r="O245" i="39"/>
  <c r="O239" i="39"/>
  <c r="P245" i="39"/>
  <c r="P239" i="39"/>
  <c r="D68" i="39"/>
  <c r="D77" i="39"/>
  <c r="E68" i="39"/>
  <c r="E77" i="39"/>
  <c r="F68" i="39"/>
  <c r="F77" i="39"/>
  <c r="G68" i="39"/>
  <c r="G77" i="39"/>
  <c r="I68" i="39"/>
  <c r="I77" i="39"/>
  <c r="J68" i="39"/>
  <c r="J77" i="39"/>
  <c r="K68" i="39"/>
  <c r="K77" i="39"/>
  <c r="L68" i="39"/>
  <c r="L77" i="39"/>
  <c r="N68" i="39"/>
  <c r="N77" i="39"/>
  <c r="O68" i="39"/>
  <c r="O77" i="39"/>
  <c r="P77" i="39"/>
  <c r="N112" i="39"/>
  <c r="O112" i="39"/>
  <c r="P112" i="39"/>
  <c r="P127" i="39"/>
  <c r="D70" i="39"/>
  <c r="E70" i="39"/>
  <c r="F70" i="39"/>
  <c r="G70" i="39"/>
  <c r="I70" i="39"/>
  <c r="J70" i="39"/>
  <c r="K70" i="39"/>
  <c r="L70" i="39"/>
  <c r="N70" i="39"/>
  <c r="O70" i="39"/>
  <c r="P70" i="39"/>
  <c r="N105" i="39"/>
  <c r="O105" i="39"/>
  <c r="P105" i="39"/>
  <c r="P122" i="39"/>
  <c r="E267" i="39"/>
  <c r="F267" i="39"/>
  <c r="G267" i="39"/>
  <c r="H267" i="39"/>
  <c r="F268" i="39"/>
  <c r="G268" i="39"/>
  <c r="H268" i="39"/>
  <c r="G269" i="39"/>
  <c r="H269" i="39"/>
  <c r="E270" i="39"/>
  <c r="F270" i="39"/>
  <c r="G270" i="39"/>
  <c r="H270" i="39"/>
  <c r="E271" i="39"/>
  <c r="F271" i="39"/>
  <c r="G271" i="39"/>
  <c r="H271" i="39"/>
  <c r="E272" i="39"/>
  <c r="F272" i="39"/>
  <c r="G272" i="39"/>
  <c r="H272" i="39"/>
  <c r="E273" i="39"/>
  <c r="F273" i="39"/>
  <c r="G273" i="39"/>
  <c r="H273" i="39"/>
  <c r="E274" i="39"/>
  <c r="F274" i="39"/>
  <c r="G274" i="39"/>
  <c r="H274" i="39"/>
  <c r="H275" i="39"/>
  <c r="D262" i="39"/>
  <c r="E262" i="39"/>
  <c r="F262" i="39"/>
  <c r="G262" i="39"/>
  <c r="H262" i="39"/>
  <c r="E263" i="39"/>
  <c r="F263" i="39"/>
  <c r="G263" i="39"/>
  <c r="H263" i="39"/>
  <c r="E264" i="39"/>
  <c r="F264" i="39"/>
  <c r="G264" i="39"/>
  <c r="H264" i="39"/>
  <c r="H265" i="39"/>
  <c r="H16" i="39"/>
  <c r="H23" i="39"/>
  <c r="H25" i="39"/>
  <c r="H31" i="39"/>
  <c r="H33" i="39"/>
  <c r="H244" i="39"/>
  <c r="E245" i="39"/>
  <c r="F245" i="39"/>
  <c r="G245" i="39"/>
  <c r="H245" i="39"/>
  <c r="E246" i="39"/>
  <c r="F246" i="39"/>
  <c r="G246" i="39"/>
  <c r="H246" i="39"/>
  <c r="E247" i="39"/>
  <c r="F247" i="39"/>
  <c r="G247" i="39"/>
  <c r="H247" i="39"/>
  <c r="E248" i="39"/>
  <c r="F248" i="39"/>
  <c r="G248" i="39"/>
  <c r="H248" i="39"/>
  <c r="E249" i="39"/>
  <c r="F249" i="39"/>
  <c r="G249" i="39"/>
  <c r="H249" i="39"/>
  <c r="E250" i="39"/>
  <c r="F250" i="39"/>
  <c r="G250" i="39"/>
  <c r="H250" i="39"/>
  <c r="E251" i="39"/>
  <c r="F251" i="39"/>
  <c r="G251" i="39"/>
  <c r="H251" i="39"/>
  <c r="E253" i="39"/>
  <c r="F253" i="39"/>
  <c r="G253" i="39"/>
  <c r="H253" i="39"/>
  <c r="E254" i="39"/>
  <c r="F254" i="39"/>
  <c r="G254" i="39"/>
  <c r="H254" i="39"/>
  <c r="E255" i="39"/>
  <c r="F255" i="39"/>
  <c r="G255" i="39"/>
  <c r="H255" i="39"/>
  <c r="E256" i="39"/>
  <c r="F256" i="39"/>
  <c r="G256" i="39"/>
  <c r="H256" i="39"/>
  <c r="E257" i="39"/>
  <c r="F257" i="39"/>
  <c r="G257" i="39"/>
  <c r="H257" i="39"/>
  <c r="F258" i="39"/>
  <c r="G258" i="39"/>
  <c r="H258" i="39"/>
  <c r="E259" i="39"/>
  <c r="F259" i="39"/>
  <c r="G259" i="39"/>
  <c r="H259" i="39"/>
  <c r="H260" i="39"/>
  <c r="D276" i="39"/>
  <c r="E276" i="39"/>
  <c r="F276" i="39"/>
  <c r="G276" i="39"/>
  <c r="H276" i="39"/>
  <c r="H277" i="39"/>
  <c r="H279" i="39"/>
  <c r="I278" i="39"/>
  <c r="J267" i="39"/>
  <c r="K267" i="39"/>
  <c r="L267" i="39"/>
  <c r="M267" i="39"/>
  <c r="J268" i="39"/>
  <c r="L268" i="39"/>
  <c r="M268" i="39"/>
  <c r="I269" i="39"/>
  <c r="J269" i="39"/>
  <c r="K269" i="39"/>
  <c r="L269" i="39"/>
  <c r="M269" i="39"/>
  <c r="J270" i="39"/>
  <c r="K270" i="39"/>
  <c r="L270" i="39"/>
  <c r="M270" i="39"/>
  <c r="J271" i="39"/>
  <c r="K271" i="39"/>
  <c r="L271" i="39"/>
  <c r="M271" i="39"/>
  <c r="J272" i="39"/>
  <c r="K272" i="39"/>
  <c r="L272" i="39"/>
  <c r="M272" i="39"/>
  <c r="J273" i="39"/>
  <c r="K273" i="39"/>
  <c r="L273" i="39"/>
  <c r="M273" i="39"/>
  <c r="J274" i="39"/>
  <c r="K274" i="39"/>
  <c r="L274" i="39"/>
  <c r="M274" i="39"/>
  <c r="M275" i="39"/>
  <c r="I262" i="39"/>
  <c r="J262" i="39"/>
  <c r="K262" i="39"/>
  <c r="L262" i="39"/>
  <c r="M262" i="39"/>
  <c r="J263" i="39"/>
  <c r="K263" i="39"/>
  <c r="L263" i="39"/>
  <c r="M263" i="39"/>
  <c r="J264" i="39"/>
  <c r="K264" i="39"/>
  <c r="L264" i="39"/>
  <c r="M264" i="39"/>
  <c r="M265" i="39"/>
  <c r="M13" i="39"/>
  <c r="M14" i="39"/>
  <c r="M15" i="39"/>
  <c r="M16" i="39"/>
  <c r="M18" i="39"/>
  <c r="M19" i="39"/>
  <c r="M20" i="39"/>
  <c r="M21" i="39"/>
  <c r="M22" i="39"/>
  <c r="M17" i="39"/>
  <c r="M23" i="39"/>
  <c r="M24" i="39"/>
  <c r="M25" i="39"/>
  <c r="M29" i="39"/>
  <c r="M30" i="39"/>
  <c r="M28" i="39"/>
  <c r="M31" i="39"/>
  <c r="M32" i="39"/>
  <c r="M33" i="39"/>
  <c r="M244" i="39"/>
  <c r="M245" i="39"/>
  <c r="J246" i="39"/>
  <c r="K246" i="39"/>
  <c r="L246" i="39"/>
  <c r="M246" i="39"/>
  <c r="J247" i="39"/>
  <c r="K247" i="39"/>
  <c r="L247" i="39"/>
  <c r="M247" i="39"/>
  <c r="J248" i="39"/>
  <c r="K248" i="39"/>
  <c r="L248" i="39"/>
  <c r="M248" i="39"/>
  <c r="J249" i="39"/>
  <c r="K249" i="39"/>
  <c r="L249" i="39"/>
  <c r="M249" i="39"/>
  <c r="J250" i="39"/>
  <c r="K250" i="39"/>
  <c r="L250" i="39"/>
  <c r="M250" i="39"/>
  <c r="I251" i="39"/>
  <c r="J251" i="39"/>
  <c r="K251" i="39"/>
  <c r="L251" i="39"/>
  <c r="M251" i="39"/>
  <c r="J253" i="39"/>
  <c r="K253" i="39"/>
  <c r="L253" i="39"/>
  <c r="M253" i="39"/>
  <c r="J254" i="39"/>
  <c r="K254" i="39"/>
  <c r="L254" i="39"/>
  <c r="M254" i="39"/>
  <c r="J255" i="39"/>
  <c r="K255" i="39"/>
  <c r="L255" i="39"/>
  <c r="M255" i="39"/>
  <c r="J256" i="39"/>
  <c r="K256" i="39"/>
  <c r="L256" i="39"/>
  <c r="M256" i="39"/>
  <c r="J257" i="39"/>
  <c r="K257" i="39"/>
  <c r="L257" i="39"/>
  <c r="M257" i="39"/>
  <c r="J258" i="39"/>
  <c r="K258" i="39"/>
  <c r="L258" i="39"/>
  <c r="M258" i="39"/>
  <c r="I259" i="39"/>
  <c r="J259" i="39"/>
  <c r="K259" i="39"/>
  <c r="L259" i="39"/>
  <c r="M259" i="39"/>
  <c r="M260" i="39"/>
  <c r="J276" i="39"/>
  <c r="K276" i="39"/>
  <c r="L276" i="39"/>
  <c r="M276" i="39"/>
  <c r="M277" i="39"/>
  <c r="M279" i="39"/>
  <c r="N278" i="39"/>
  <c r="N268" i="39"/>
  <c r="N272" i="39"/>
  <c r="N275" i="39"/>
  <c r="N262" i="39"/>
  <c r="N265" i="39"/>
  <c r="N16" i="39"/>
  <c r="N23" i="39"/>
  <c r="N25" i="39"/>
  <c r="N31" i="39"/>
  <c r="N33" i="39"/>
  <c r="N244" i="39"/>
  <c r="N249" i="39"/>
  <c r="N251" i="39"/>
  <c r="N259" i="39"/>
  <c r="N260" i="39"/>
  <c r="N277" i="39"/>
  <c r="N279" i="39"/>
  <c r="O278" i="39"/>
  <c r="O267" i="39"/>
  <c r="O268" i="39"/>
  <c r="O269" i="39"/>
  <c r="O270" i="39"/>
  <c r="O271" i="39"/>
  <c r="O272" i="39"/>
  <c r="O273" i="39"/>
  <c r="O274" i="39"/>
  <c r="O275" i="39"/>
  <c r="O262" i="39"/>
  <c r="O263" i="39"/>
  <c r="O264" i="39"/>
  <c r="O265" i="39"/>
  <c r="O16" i="39"/>
  <c r="O23" i="39"/>
  <c r="O25" i="39"/>
  <c r="O31" i="39"/>
  <c r="O33" i="39"/>
  <c r="O244" i="39"/>
  <c r="O246" i="39"/>
  <c r="O247" i="39"/>
  <c r="O248" i="39"/>
  <c r="O249" i="39"/>
  <c r="O250" i="39"/>
  <c r="O251" i="39"/>
  <c r="O253" i="39"/>
  <c r="O254" i="39"/>
  <c r="O255" i="39"/>
  <c r="O256" i="39"/>
  <c r="O257" i="39"/>
  <c r="O258" i="39"/>
  <c r="O259" i="39"/>
  <c r="O260" i="39"/>
  <c r="O276" i="39"/>
  <c r="O277" i="39"/>
  <c r="O279" i="39"/>
  <c r="P278" i="39"/>
  <c r="P267" i="39"/>
  <c r="P268" i="39"/>
  <c r="P269" i="39"/>
  <c r="P270" i="39"/>
  <c r="P271" i="39"/>
  <c r="P272" i="39"/>
  <c r="P273" i="39"/>
  <c r="P274" i="39"/>
  <c r="P275" i="39"/>
  <c r="P262" i="39"/>
  <c r="P263" i="39"/>
  <c r="P264" i="39"/>
  <c r="P265" i="39"/>
  <c r="P16" i="39"/>
  <c r="P23" i="39"/>
  <c r="P25" i="39"/>
  <c r="P31" i="39"/>
  <c r="P33" i="39"/>
  <c r="P244" i="39"/>
  <c r="P246" i="39"/>
  <c r="P247" i="39"/>
  <c r="P248" i="39"/>
  <c r="P249" i="39"/>
  <c r="P250" i="39"/>
  <c r="P251" i="39"/>
  <c r="P253" i="39"/>
  <c r="P254" i="39"/>
  <c r="P255" i="39"/>
  <c r="P256" i="39"/>
  <c r="P257" i="39"/>
  <c r="P258" i="39"/>
  <c r="P259" i="39"/>
  <c r="P260" i="39"/>
  <c r="P276" i="39"/>
  <c r="P277" i="39"/>
  <c r="P279" i="39"/>
  <c r="P187" i="39"/>
  <c r="O187" i="39"/>
  <c r="P154" i="39"/>
  <c r="N187" i="39"/>
  <c r="O154" i="39"/>
  <c r="I275" i="39"/>
  <c r="I265" i="39"/>
  <c r="I16" i="39"/>
  <c r="I23" i="39"/>
  <c r="I25" i="39"/>
  <c r="I31" i="39"/>
  <c r="I33" i="39"/>
  <c r="I244" i="39"/>
  <c r="I260" i="39"/>
  <c r="I277" i="39"/>
  <c r="I279" i="39"/>
  <c r="J278" i="39"/>
  <c r="J275" i="39"/>
  <c r="J265" i="39"/>
  <c r="J16" i="39"/>
  <c r="J23" i="39"/>
  <c r="J25" i="39"/>
  <c r="J31" i="39"/>
  <c r="J33" i="39"/>
  <c r="J244" i="39"/>
  <c r="J260" i="39"/>
  <c r="J277" i="39"/>
  <c r="J279" i="39"/>
  <c r="K278" i="39"/>
  <c r="K275" i="39"/>
  <c r="K265" i="39"/>
  <c r="K16" i="39"/>
  <c r="K23" i="39"/>
  <c r="K25" i="39"/>
  <c r="K31" i="39"/>
  <c r="K33" i="39"/>
  <c r="K244" i="39"/>
  <c r="K260" i="39"/>
  <c r="K277" i="39"/>
  <c r="K279" i="39"/>
  <c r="L278" i="39"/>
  <c r="L275" i="39"/>
  <c r="L265" i="39"/>
  <c r="L244" i="39"/>
  <c r="L260" i="39"/>
  <c r="L277" i="39"/>
  <c r="L279" i="39"/>
  <c r="L187" i="39"/>
  <c r="N154" i="39"/>
  <c r="K187" i="39"/>
  <c r="L154" i="39"/>
  <c r="P155" i="39"/>
  <c r="N209" i="39"/>
  <c r="O155" i="39"/>
  <c r="L209" i="39"/>
  <c r="N155" i="39"/>
  <c r="K209" i="39"/>
  <c r="L155" i="39"/>
  <c r="P164" i="39"/>
  <c r="P161" i="39"/>
  <c r="N51" i="39"/>
  <c r="N86" i="39"/>
  <c r="I177" i="39"/>
  <c r="J177" i="39"/>
  <c r="K172" i="39"/>
  <c r="K177" i="39"/>
  <c r="L177" i="39"/>
  <c r="N177" i="39"/>
  <c r="O177" i="39"/>
  <c r="P177" i="39"/>
  <c r="P160" i="39"/>
  <c r="P291" i="39"/>
  <c r="O291" i="39"/>
  <c r="N291" i="39"/>
  <c r="L16" i="39"/>
  <c r="L291" i="39"/>
  <c r="L192" i="39"/>
  <c r="L201" i="39"/>
  <c r="L234" i="39"/>
  <c r="N192" i="39"/>
  <c r="N201" i="39"/>
  <c r="N234" i="39"/>
  <c r="O192" i="39"/>
  <c r="O201" i="39"/>
  <c r="O234" i="39"/>
  <c r="P192" i="39"/>
  <c r="P201" i="39"/>
  <c r="P234" i="39"/>
  <c r="P218" i="39"/>
  <c r="G17" i="39"/>
  <c r="G232" i="39"/>
  <c r="L232" i="39"/>
  <c r="L23" i="39"/>
  <c r="L235" i="39"/>
  <c r="N235" i="39"/>
  <c r="O235" i="39"/>
  <c r="P235" i="39"/>
  <c r="P222" i="39"/>
  <c r="P211" i="39"/>
  <c r="P216" i="39"/>
  <c r="P223" i="39"/>
  <c r="L238" i="39"/>
  <c r="N238" i="39"/>
  <c r="O238" i="39"/>
  <c r="P238" i="39"/>
  <c r="N153" i="39"/>
  <c r="O153" i="39"/>
  <c r="P153" i="39"/>
  <c r="O48" i="39"/>
  <c r="O51" i="39"/>
  <c r="O83" i="39"/>
  <c r="O86" i="39"/>
  <c r="I232" i="39"/>
  <c r="N232" i="39"/>
  <c r="N228" i="39"/>
  <c r="N230" i="39"/>
  <c r="P48" i="39"/>
  <c r="P51" i="39"/>
  <c r="P83" i="39"/>
  <c r="P86" i="39"/>
  <c r="J232" i="39"/>
  <c r="O232" i="39"/>
  <c r="O228" i="39"/>
  <c r="O230" i="39"/>
  <c r="C302" i="39"/>
  <c r="C6" i="39"/>
  <c r="K232" i="39"/>
  <c r="P232" i="39"/>
  <c r="P228" i="39"/>
  <c r="P230" i="39"/>
  <c r="C316" i="39"/>
  <c r="C317" i="39"/>
  <c r="C318" i="39"/>
  <c r="C307" i="39"/>
  <c r="C308" i="39"/>
  <c r="C315" i="39"/>
  <c r="C324" i="39"/>
  <c r="C326" i="39"/>
  <c r="C312" i="39"/>
  <c r="C314" i="39"/>
  <c r="C319" i="39"/>
  <c r="C327" i="39"/>
  <c r="P284" i="39"/>
  <c r="P285" i="39"/>
  <c r="P286" i="39"/>
  <c r="C328" i="39"/>
  <c r="C329" i="39"/>
  <c r="C7" i="39"/>
  <c r="C8" i="39"/>
  <c r="C334" i="39"/>
  <c r="C332" i="39"/>
  <c r="C333" i="39"/>
  <c r="C336" i="39"/>
  <c r="C335" i="39"/>
  <c r="C303" i="39"/>
  <c r="M209" i="39"/>
  <c r="M212" i="39"/>
  <c r="M295" i="39"/>
  <c r="H209" i="39"/>
  <c r="H212" i="39"/>
  <c r="H295" i="39"/>
  <c r="P294" i="39"/>
  <c r="O294" i="39"/>
  <c r="N294" i="39"/>
  <c r="M294" i="39"/>
  <c r="L294" i="39"/>
  <c r="K294" i="39"/>
  <c r="J294" i="39"/>
  <c r="I294" i="39"/>
  <c r="H294" i="39"/>
  <c r="G13" i="39"/>
  <c r="G14" i="39"/>
  <c r="G15" i="39"/>
  <c r="G16" i="39"/>
  <c r="G294" i="39"/>
  <c r="F16" i="39"/>
  <c r="F294" i="39"/>
  <c r="E16" i="39"/>
  <c r="E294" i="39"/>
  <c r="D16" i="39"/>
  <c r="D294" i="39"/>
  <c r="P293" i="39"/>
  <c r="O293" i="39"/>
  <c r="N293" i="39"/>
  <c r="M293" i="39"/>
  <c r="G18" i="39"/>
  <c r="G19" i="39"/>
  <c r="G20" i="39"/>
  <c r="G21" i="39"/>
  <c r="G22" i="39"/>
  <c r="G23" i="39"/>
  <c r="G24" i="39"/>
  <c r="G25" i="39"/>
  <c r="G29" i="39"/>
  <c r="G30" i="39"/>
  <c r="G28" i="39"/>
  <c r="G31" i="39"/>
  <c r="G32" i="39"/>
  <c r="G33" i="39"/>
  <c r="G244" i="39"/>
  <c r="G260" i="39"/>
  <c r="L293" i="39"/>
  <c r="F23" i="39"/>
  <c r="F25" i="39"/>
  <c r="F31" i="39"/>
  <c r="F33" i="39"/>
  <c r="F244" i="39"/>
  <c r="F260" i="39"/>
  <c r="K293" i="39"/>
  <c r="E23" i="39"/>
  <c r="E25" i="39"/>
  <c r="E31" i="39"/>
  <c r="E33" i="39"/>
  <c r="E244" i="39"/>
  <c r="E260" i="39"/>
  <c r="J293" i="39"/>
  <c r="D23" i="39"/>
  <c r="D25" i="39"/>
  <c r="D31" i="39"/>
  <c r="D33" i="39"/>
  <c r="D244" i="39"/>
  <c r="D260" i="39"/>
  <c r="I293" i="39"/>
  <c r="P292" i="39"/>
  <c r="O292" i="39"/>
  <c r="N292" i="39"/>
  <c r="L292" i="39"/>
  <c r="K292" i="39"/>
  <c r="J292" i="39"/>
  <c r="I292" i="39"/>
  <c r="H292" i="39"/>
  <c r="G292" i="39"/>
  <c r="F292" i="39"/>
  <c r="E292" i="39"/>
  <c r="D292" i="39"/>
  <c r="K291" i="39"/>
  <c r="J291" i="39"/>
  <c r="I291" i="39"/>
  <c r="H291" i="39"/>
  <c r="G291" i="39"/>
  <c r="F291" i="39"/>
  <c r="E291" i="39"/>
  <c r="D291" i="39"/>
  <c r="N35" i="39"/>
  <c r="O35" i="39"/>
  <c r="P35" i="39"/>
  <c r="O284" i="39"/>
  <c r="O285" i="39"/>
  <c r="O286" i="39"/>
  <c r="N284" i="39"/>
  <c r="N285" i="39"/>
  <c r="N286" i="39"/>
  <c r="M187" i="39"/>
  <c r="M188" i="39"/>
  <c r="M193" i="39"/>
  <c r="M284" i="39"/>
  <c r="M285" i="39"/>
  <c r="I35" i="39"/>
  <c r="M34" i="39"/>
  <c r="M35" i="39"/>
  <c r="J35" i="39"/>
  <c r="K35" i="39"/>
  <c r="L25" i="39"/>
  <c r="L31" i="39"/>
  <c r="L33" i="39"/>
  <c r="L35" i="39"/>
  <c r="M39" i="39"/>
  <c r="M286" i="39"/>
  <c r="L284" i="39"/>
  <c r="L285" i="39"/>
  <c r="L286" i="39"/>
  <c r="K284" i="39"/>
  <c r="K285" i="39"/>
  <c r="K286" i="39"/>
  <c r="J187" i="39"/>
  <c r="J284" i="39"/>
  <c r="J209" i="39"/>
  <c r="J285" i="39"/>
  <c r="J286" i="39"/>
  <c r="I187" i="39"/>
  <c r="I284" i="39"/>
  <c r="I209" i="39"/>
  <c r="I285" i="39"/>
  <c r="I286" i="39"/>
  <c r="D275" i="39"/>
  <c r="D265" i="39"/>
  <c r="D277" i="39"/>
  <c r="D279" i="39"/>
  <c r="E278" i="39"/>
  <c r="E275" i="39"/>
  <c r="E265" i="39"/>
  <c r="E277" i="39"/>
  <c r="E279" i="39"/>
  <c r="F278" i="39"/>
  <c r="F275" i="39"/>
  <c r="F265" i="39"/>
  <c r="F277" i="39"/>
  <c r="F279" i="39"/>
  <c r="G278" i="39"/>
  <c r="G275" i="39"/>
  <c r="G265" i="39"/>
  <c r="G277" i="39"/>
  <c r="G279" i="39"/>
  <c r="G187" i="39"/>
  <c r="H187" i="39"/>
  <c r="H188" i="39"/>
  <c r="H193" i="39"/>
  <c r="H284" i="39"/>
  <c r="H285" i="39"/>
  <c r="H286" i="39"/>
  <c r="G284" i="39"/>
  <c r="G285" i="39"/>
  <c r="G286" i="39"/>
  <c r="F187" i="39"/>
  <c r="F284" i="39"/>
  <c r="F285" i="39"/>
  <c r="F286" i="39"/>
  <c r="E187" i="39"/>
  <c r="E284" i="39"/>
  <c r="E209" i="39"/>
  <c r="E285" i="39"/>
  <c r="E286" i="39"/>
  <c r="D187" i="39"/>
  <c r="D284" i="39"/>
  <c r="D285" i="39"/>
  <c r="D286" i="39"/>
  <c r="N280" i="39"/>
  <c r="O280" i="39"/>
  <c r="P280" i="39"/>
  <c r="I280" i="39"/>
  <c r="J280" i="39"/>
  <c r="K280" i="39"/>
  <c r="L280" i="39"/>
  <c r="M280" i="39"/>
  <c r="M282" i="39"/>
  <c r="D280" i="39"/>
  <c r="E280" i="39"/>
  <c r="F280" i="39"/>
  <c r="G280" i="39"/>
  <c r="H280" i="39"/>
  <c r="H282" i="39"/>
  <c r="M278" i="39"/>
  <c r="H278" i="39"/>
  <c r="K239" i="39"/>
  <c r="J239" i="39"/>
  <c r="I239" i="39"/>
  <c r="H195" i="39"/>
  <c r="H239" i="39"/>
  <c r="G239" i="39"/>
  <c r="F239" i="39"/>
  <c r="E239" i="39"/>
  <c r="K238" i="39"/>
  <c r="J238" i="39"/>
  <c r="I238" i="39"/>
  <c r="H197" i="39"/>
  <c r="H208" i="39"/>
  <c r="H214" i="39"/>
  <c r="H238" i="39"/>
  <c r="G238" i="39"/>
  <c r="F238" i="39"/>
  <c r="E238" i="39"/>
  <c r="D238" i="39"/>
  <c r="P237" i="39"/>
  <c r="O237" i="39"/>
  <c r="N237" i="39"/>
  <c r="L237" i="39"/>
  <c r="K237" i="39"/>
  <c r="J237" i="39"/>
  <c r="I237" i="39"/>
  <c r="G237" i="39"/>
  <c r="F237" i="39"/>
  <c r="E237" i="39"/>
  <c r="D237" i="39"/>
  <c r="P236" i="39"/>
  <c r="O218" i="39"/>
  <c r="O222" i="39"/>
  <c r="O236" i="39"/>
  <c r="N218" i="39"/>
  <c r="N222" i="39"/>
  <c r="N236" i="39"/>
  <c r="L218" i="39"/>
  <c r="L222" i="39"/>
  <c r="L236" i="39"/>
  <c r="K218" i="39"/>
  <c r="K222" i="39"/>
  <c r="K236" i="39"/>
  <c r="J218" i="39"/>
  <c r="J222" i="39"/>
  <c r="J236" i="39"/>
  <c r="I218" i="39"/>
  <c r="I222" i="39"/>
  <c r="I236" i="39"/>
  <c r="G218" i="39"/>
  <c r="G222" i="39"/>
  <c r="G236" i="39"/>
  <c r="F218" i="39"/>
  <c r="F222" i="39"/>
  <c r="F236" i="39"/>
  <c r="E218" i="39"/>
  <c r="E222" i="39"/>
  <c r="E236" i="39"/>
  <c r="D218" i="39"/>
  <c r="D222" i="39"/>
  <c r="D236" i="39"/>
  <c r="K235" i="39"/>
  <c r="J235" i="39"/>
  <c r="I235" i="39"/>
  <c r="H235" i="39"/>
  <c r="G235" i="39"/>
  <c r="F235" i="39"/>
  <c r="E235" i="39"/>
  <c r="D235" i="39"/>
  <c r="K192" i="39"/>
  <c r="K201" i="39"/>
  <c r="K234" i="39"/>
  <c r="J192" i="39"/>
  <c r="J201" i="39"/>
  <c r="J234" i="39"/>
  <c r="I192" i="39"/>
  <c r="I201" i="39"/>
  <c r="I234" i="39"/>
  <c r="H189" i="39"/>
  <c r="H190" i="39"/>
  <c r="H191" i="39"/>
  <c r="H192" i="39"/>
  <c r="H194" i="39"/>
  <c r="H196" i="39"/>
  <c r="H198" i="39"/>
  <c r="H199" i="39"/>
  <c r="H200" i="39"/>
  <c r="H201" i="39"/>
  <c r="H234" i="39"/>
  <c r="G192" i="39"/>
  <c r="G201" i="39"/>
  <c r="G234" i="39"/>
  <c r="F192" i="39"/>
  <c r="F201" i="39"/>
  <c r="F234" i="39"/>
  <c r="E192" i="39"/>
  <c r="E201" i="39"/>
  <c r="E234" i="39"/>
  <c r="D192" i="39"/>
  <c r="D201" i="39"/>
  <c r="D234" i="39"/>
  <c r="P227" i="39"/>
  <c r="P233" i="39"/>
  <c r="O227" i="39"/>
  <c r="O233" i="39"/>
  <c r="N227" i="39"/>
  <c r="N233" i="39"/>
  <c r="L227" i="39"/>
  <c r="L233" i="39"/>
  <c r="K227" i="39"/>
  <c r="K233" i="39"/>
  <c r="J227" i="39"/>
  <c r="J233" i="39"/>
  <c r="I227" i="39"/>
  <c r="I233" i="39"/>
  <c r="G227" i="39"/>
  <c r="G233" i="39"/>
  <c r="F227" i="39"/>
  <c r="F232" i="39"/>
  <c r="F233" i="39"/>
  <c r="E227" i="39"/>
  <c r="E232" i="39"/>
  <c r="E233" i="39"/>
  <c r="D227" i="39"/>
  <c r="D232" i="39"/>
  <c r="D233" i="39"/>
  <c r="P231" i="39"/>
  <c r="O231" i="39"/>
  <c r="N231" i="39"/>
  <c r="L230" i="39"/>
  <c r="L231" i="39"/>
  <c r="K230" i="39"/>
  <c r="K231" i="39"/>
  <c r="J230" i="39"/>
  <c r="J231" i="39"/>
  <c r="I230" i="39"/>
  <c r="I231" i="39"/>
  <c r="G230" i="39"/>
  <c r="G231" i="39"/>
  <c r="F230" i="39"/>
  <c r="F231" i="39"/>
  <c r="E230" i="39"/>
  <c r="E231" i="39"/>
  <c r="D230" i="39"/>
  <c r="D231" i="39"/>
  <c r="P229" i="39"/>
  <c r="O229" i="39"/>
  <c r="N229" i="39"/>
  <c r="L228" i="39"/>
  <c r="L229" i="39"/>
  <c r="K228" i="39"/>
  <c r="K229" i="39"/>
  <c r="J228" i="39"/>
  <c r="J229" i="39"/>
  <c r="I228" i="39"/>
  <c r="I229" i="39"/>
  <c r="G228" i="39"/>
  <c r="G229" i="39"/>
  <c r="F228" i="39"/>
  <c r="F229" i="39"/>
  <c r="E228" i="39"/>
  <c r="E229" i="39"/>
  <c r="D228" i="39"/>
  <c r="D229" i="39"/>
  <c r="P224" i="39"/>
  <c r="O211" i="39"/>
  <c r="O216" i="39"/>
  <c r="O223" i="39"/>
  <c r="O224" i="39"/>
  <c r="N211" i="39"/>
  <c r="N216" i="39"/>
  <c r="N223" i="39"/>
  <c r="N224" i="39"/>
  <c r="M218" i="39"/>
  <c r="M219" i="39"/>
  <c r="M220" i="39"/>
  <c r="M221" i="39"/>
  <c r="M222" i="39"/>
  <c r="M203" i="39"/>
  <c r="M204" i="39"/>
  <c r="M205" i="39"/>
  <c r="M206" i="39"/>
  <c r="M207" i="39"/>
  <c r="M208" i="39"/>
  <c r="M211" i="39"/>
  <c r="M213" i="39"/>
  <c r="M214" i="39"/>
  <c r="M215" i="39"/>
  <c r="M216" i="39"/>
  <c r="M223" i="39"/>
  <c r="M189" i="39"/>
  <c r="M190" i="39"/>
  <c r="M191" i="39"/>
  <c r="M192" i="39"/>
  <c r="M194" i="39"/>
  <c r="M195" i="39"/>
  <c r="M196" i="39"/>
  <c r="M197" i="39"/>
  <c r="M198" i="39"/>
  <c r="M199" i="39"/>
  <c r="M200" i="39"/>
  <c r="M201" i="39"/>
  <c r="M224" i="39"/>
  <c r="L211" i="39"/>
  <c r="L216" i="39"/>
  <c r="L223" i="39"/>
  <c r="L224" i="39"/>
  <c r="K211" i="39"/>
  <c r="K216" i="39"/>
  <c r="K223" i="39"/>
  <c r="K224" i="39"/>
  <c r="J211" i="39"/>
  <c r="J216" i="39"/>
  <c r="J223" i="39"/>
  <c r="J224" i="39"/>
  <c r="I211" i="39"/>
  <c r="I216" i="39"/>
  <c r="I223" i="39"/>
  <c r="I224" i="39"/>
  <c r="H218" i="39"/>
  <c r="H219" i="39"/>
  <c r="H220" i="39"/>
  <c r="H221" i="39"/>
  <c r="H222" i="39"/>
  <c r="H203" i="39"/>
  <c r="H204" i="39"/>
  <c r="H205" i="39"/>
  <c r="H206" i="39"/>
  <c r="H207" i="39"/>
  <c r="H210" i="39"/>
  <c r="H211" i="39"/>
  <c r="H213" i="39"/>
  <c r="H215" i="39"/>
  <c r="H216" i="39"/>
  <c r="H223" i="39"/>
  <c r="H224" i="39"/>
  <c r="G211" i="39"/>
  <c r="G216" i="39"/>
  <c r="G223" i="39"/>
  <c r="G224" i="39"/>
  <c r="F211" i="39"/>
  <c r="F216" i="39"/>
  <c r="F223" i="39"/>
  <c r="F224" i="39"/>
  <c r="E211" i="39"/>
  <c r="E216" i="39"/>
  <c r="E223" i="39"/>
  <c r="E224" i="39"/>
  <c r="D211" i="39"/>
  <c r="D216" i="39"/>
  <c r="D223" i="39"/>
  <c r="D224" i="39"/>
  <c r="M210" i="39"/>
  <c r="P181" i="39"/>
  <c r="P179" i="39"/>
  <c r="P182" i="39"/>
  <c r="O181" i="39"/>
  <c r="O179" i="39"/>
  <c r="O182" i="39"/>
  <c r="N181" i="39"/>
  <c r="N179" i="39"/>
  <c r="N182" i="39"/>
  <c r="L179" i="39"/>
  <c r="L182" i="39"/>
  <c r="K181" i="39"/>
  <c r="K179" i="39"/>
  <c r="K182" i="39"/>
  <c r="J179" i="39"/>
  <c r="J182" i="39"/>
  <c r="I179" i="39"/>
  <c r="I182" i="39"/>
  <c r="G172" i="39"/>
  <c r="G174" i="39"/>
  <c r="G177" i="39"/>
  <c r="G179" i="39"/>
  <c r="G182" i="39"/>
  <c r="F177" i="39"/>
  <c r="F179" i="39"/>
  <c r="F182" i="39"/>
  <c r="E177" i="39"/>
  <c r="E179" i="39"/>
  <c r="E182" i="39"/>
  <c r="D172" i="39"/>
  <c r="D173" i="39"/>
  <c r="D174" i="39"/>
  <c r="D177" i="39"/>
  <c r="D179" i="39"/>
  <c r="D182" i="39"/>
  <c r="F180" i="39"/>
  <c r="E180" i="39"/>
  <c r="H172" i="39"/>
  <c r="H173" i="39"/>
  <c r="H174" i="39"/>
  <c r="H175" i="39"/>
  <c r="H176" i="39"/>
  <c r="H177" i="39"/>
  <c r="F170" i="39"/>
  <c r="E170" i="39"/>
  <c r="E167" i="39"/>
  <c r="D166" i="39"/>
  <c r="D167" i="39"/>
  <c r="N164" i="39"/>
  <c r="O164" i="39"/>
  <c r="I164" i="39"/>
  <c r="J164" i="39"/>
  <c r="K164" i="39"/>
  <c r="L164" i="39"/>
  <c r="M164" i="39"/>
  <c r="E164" i="39"/>
  <c r="F163" i="39"/>
  <c r="F164" i="39"/>
  <c r="G164" i="39"/>
  <c r="H164" i="39"/>
  <c r="M163" i="39"/>
  <c r="H163" i="39"/>
  <c r="P162" i="39"/>
  <c r="O161" i="39"/>
  <c r="L161" i="39"/>
  <c r="K161" i="39"/>
  <c r="J161" i="39"/>
  <c r="I161" i="39"/>
  <c r="G161" i="39"/>
  <c r="F161" i="39"/>
  <c r="E161" i="39"/>
  <c r="O160" i="39"/>
  <c r="L160" i="39"/>
  <c r="K160" i="39"/>
  <c r="J160" i="39"/>
  <c r="I160" i="39"/>
  <c r="G160" i="39"/>
  <c r="F160" i="39"/>
  <c r="E160" i="39"/>
  <c r="P158" i="39"/>
  <c r="O158" i="39"/>
  <c r="N158" i="39"/>
  <c r="M158" i="39"/>
  <c r="L158" i="39"/>
  <c r="K158" i="39"/>
  <c r="J158" i="39"/>
  <c r="I158" i="39"/>
  <c r="P157" i="39"/>
  <c r="O157" i="39"/>
  <c r="N157" i="39"/>
  <c r="M157" i="39"/>
  <c r="L157" i="39"/>
  <c r="K157" i="39"/>
  <c r="J157" i="39"/>
  <c r="I157" i="39"/>
  <c r="N26" i="39"/>
  <c r="O26" i="39"/>
  <c r="P26" i="39"/>
  <c r="N36" i="39"/>
  <c r="O36" i="39"/>
  <c r="P36" i="39"/>
  <c r="P27" i="39"/>
  <c r="P37" i="39"/>
  <c r="P42" i="39"/>
  <c r="O27" i="39"/>
  <c r="O37" i="39"/>
  <c r="O42" i="39"/>
  <c r="N27" i="39"/>
  <c r="N37" i="39"/>
  <c r="N42" i="39"/>
  <c r="I26" i="39"/>
  <c r="J26" i="39"/>
  <c r="K26" i="39"/>
  <c r="L26" i="39"/>
  <c r="M26" i="39"/>
  <c r="M27" i="39"/>
  <c r="I36" i="39"/>
  <c r="J36" i="39"/>
  <c r="K36" i="39"/>
  <c r="L36" i="39"/>
  <c r="M36" i="39"/>
  <c r="M37" i="39"/>
  <c r="M42" i="39"/>
  <c r="L27" i="39"/>
  <c r="L37" i="39"/>
  <c r="L42" i="39"/>
  <c r="K27" i="39"/>
  <c r="K37" i="39"/>
  <c r="K42" i="39"/>
  <c r="P156" i="39"/>
  <c r="J27" i="39"/>
  <c r="J37" i="39"/>
  <c r="J42" i="39"/>
  <c r="O156" i="39"/>
  <c r="I27" i="39"/>
  <c r="I37" i="39"/>
  <c r="I42" i="39"/>
  <c r="N156" i="39"/>
  <c r="D26" i="39"/>
  <c r="E26" i="39"/>
  <c r="F26" i="39"/>
  <c r="G26" i="39"/>
  <c r="H26" i="39"/>
  <c r="H27" i="39"/>
  <c r="D36" i="39"/>
  <c r="E36" i="39"/>
  <c r="F36" i="39"/>
  <c r="G36" i="39"/>
  <c r="H36" i="39"/>
  <c r="H37" i="39"/>
  <c r="H42" i="39"/>
  <c r="M156" i="39"/>
  <c r="G27" i="39"/>
  <c r="G34" i="39"/>
  <c r="G37" i="39"/>
  <c r="G42" i="39"/>
  <c r="L156" i="39"/>
  <c r="F27" i="39"/>
  <c r="F37" i="39"/>
  <c r="F42" i="39"/>
  <c r="K156" i="39"/>
  <c r="E27" i="39"/>
  <c r="E37" i="39"/>
  <c r="E42" i="39"/>
  <c r="J156" i="39"/>
  <c r="D27" i="39"/>
  <c r="D37" i="39"/>
  <c r="D42" i="39"/>
  <c r="I156" i="39"/>
  <c r="M155" i="39"/>
  <c r="K155" i="39"/>
  <c r="J155" i="39"/>
  <c r="I155" i="39"/>
  <c r="G155" i="39"/>
  <c r="F155" i="39"/>
  <c r="E155" i="39"/>
  <c r="M154" i="39"/>
  <c r="K154" i="39"/>
  <c r="J154" i="39"/>
  <c r="I154" i="39"/>
  <c r="G154" i="39"/>
  <c r="F154" i="39"/>
  <c r="E154" i="39"/>
  <c r="M153" i="39"/>
  <c r="K153" i="39"/>
  <c r="J153" i="39"/>
  <c r="I153" i="39"/>
  <c r="H153" i="39"/>
  <c r="G153" i="39"/>
  <c r="F153" i="39"/>
  <c r="E153" i="39"/>
  <c r="D153" i="39"/>
  <c r="P152" i="39"/>
  <c r="O152" i="39"/>
  <c r="N152" i="39"/>
  <c r="M152" i="39"/>
  <c r="L152" i="39"/>
  <c r="K152" i="39"/>
  <c r="J152" i="39"/>
  <c r="I152" i="39"/>
  <c r="H152" i="39"/>
  <c r="G152" i="39"/>
  <c r="F152" i="39"/>
  <c r="E152" i="39"/>
  <c r="D152" i="39"/>
  <c r="P151" i="39"/>
  <c r="O151" i="39"/>
  <c r="N151" i="39"/>
  <c r="M151" i="39"/>
  <c r="L151" i="39"/>
  <c r="K151" i="39"/>
  <c r="J151" i="39"/>
  <c r="I151" i="39"/>
  <c r="H151" i="39"/>
  <c r="G151" i="39"/>
  <c r="F151" i="39"/>
  <c r="E151" i="39"/>
  <c r="D151" i="39"/>
  <c r="P150" i="39"/>
  <c r="O150" i="39"/>
  <c r="N150" i="39"/>
  <c r="M150" i="39"/>
  <c r="L150" i="39"/>
  <c r="K150" i="39"/>
  <c r="J150" i="39"/>
  <c r="I150" i="39"/>
  <c r="P79" i="39"/>
  <c r="P80" i="39"/>
  <c r="P114" i="39"/>
  <c r="P116" i="39"/>
  <c r="P129" i="39"/>
  <c r="P131" i="39"/>
  <c r="P141" i="39"/>
  <c r="P142" i="39"/>
  <c r="P148" i="39"/>
  <c r="O79" i="39"/>
  <c r="O80" i="39"/>
  <c r="O114" i="39"/>
  <c r="O116" i="39"/>
  <c r="O129" i="39"/>
  <c r="O131" i="39"/>
  <c r="O141" i="39"/>
  <c r="O142" i="39"/>
  <c r="O148" i="39"/>
  <c r="N79" i="39"/>
  <c r="N80" i="39"/>
  <c r="N114" i="39"/>
  <c r="N116" i="39"/>
  <c r="N129" i="39"/>
  <c r="N131" i="39"/>
  <c r="N141" i="39"/>
  <c r="N142" i="39"/>
  <c r="N148" i="39"/>
  <c r="L79" i="39"/>
  <c r="L80" i="39"/>
  <c r="L103" i="39"/>
  <c r="L114" i="39"/>
  <c r="L116" i="39"/>
  <c r="L129" i="39"/>
  <c r="L131" i="39"/>
  <c r="L141" i="39"/>
  <c r="L142" i="39"/>
  <c r="L148" i="39"/>
  <c r="K79" i="39"/>
  <c r="K80" i="39"/>
  <c r="K103" i="39"/>
  <c r="K114" i="39"/>
  <c r="K116" i="39"/>
  <c r="K129" i="39"/>
  <c r="K131" i="39"/>
  <c r="K141" i="39"/>
  <c r="K142" i="39"/>
  <c r="K148" i="39"/>
  <c r="J79" i="39"/>
  <c r="J80" i="39"/>
  <c r="J103" i="39"/>
  <c r="J114" i="39"/>
  <c r="J116" i="39"/>
  <c r="J129" i="39"/>
  <c r="J131" i="39"/>
  <c r="J141" i="39"/>
  <c r="J142" i="39"/>
  <c r="J148" i="39"/>
  <c r="I79" i="39"/>
  <c r="I80" i="39"/>
  <c r="I103" i="39"/>
  <c r="I114" i="39"/>
  <c r="I116" i="39"/>
  <c r="I129" i="39"/>
  <c r="I131" i="39"/>
  <c r="I141" i="39"/>
  <c r="I142" i="39"/>
  <c r="I148" i="39"/>
  <c r="G79" i="39"/>
  <c r="G80" i="39"/>
  <c r="G103" i="39"/>
  <c r="G114" i="39"/>
  <c r="G116" i="39"/>
  <c r="G129" i="39"/>
  <c r="G131" i="39"/>
  <c r="G137" i="39"/>
  <c r="G141" i="39"/>
  <c r="G142" i="39"/>
  <c r="G148" i="39"/>
  <c r="F79" i="39"/>
  <c r="F80" i="39"/>
  <c r="F103" i="39"/>
  <c r="F114" i="39"/>
  <c r="F116" i="39"/>
  <c r="F129" i="39"/>
  <c r="F131" i="39"/>
  <c r="F141" i="39"/>
  <c r="F142" i="39"/>
  <c r="F148" i="39"/>
  <c r="E79" i="39"/>
  <c r="E80" i="39"/>
  <c r="E103" i="39"/>
  <c r="E114" i="39"/>
  <c r="E116" i="39"/>
  <c r="E129" i="39"/>
  <c r="E131" i="39"/>
  <c r="E141" i="39"/>
  <c r="E142" i="39"/>
  <c r="E148" i="39"/>
  <c r="D79" i="39"/>
  <c r="D80" i="39"/>
  <c r="D103" i="39"/>
  <c r="D114" i="39"/>
  <c r="D116" i="39"/>
  <c r="D129" i="39"/>
  <c r="D131" i="39"/>
  <c r="D141" i="39"/>
  <c r="D142" i="39"/>
  <c r="D148" i="39"/>
  <c r="P147" i="39"/>
  <c r="O147" i="39"/>
  <c r="N147" i="39"/>
  <c r="L147" i="39"/>
  <c r="K147" i="39"/>
  <c r="J147" i="39"/>
  <c r="I147" i="39"/>
  <c r="G147" i="39"/>
  <c r="F147" i="39"/>
  <c r="E147" i="39"/>
  <c r="D147" i="39"/>
  <c r="P146" i="39"/>
  <c r="O146" i="39"/>
  <c r="N146" i="39"/>
  <c r="L146" i="39"/>
  <c r="K146" i="39"/>
  <c r="J146" i="39"/>
  <c r="I146" i="39"/>
  <c r="G146" i="39"/>
  <c r="F146" i="39"/>
  <c r="E146" i="39"/>
  <c r="D146" i="39"/>
  <c r="P145" i="39"/>
  <c r="O145" i="39"/>
  <c r="N145" i="39"/>
  <c r="L145" i="39"/>
  <c r="K145" i="39"/>
  <c r="J145" i="39"/>
  <c r="I145" i="39"/>
  <c r="G145" i="39"/>
  <c r="F145" i="39"/>
  <c r="E145" i="39"/>
  <c r="D145" i="39"/>
  <c r="P144" i="39"/>
  <c r="O144" i="39"/>
  <c r="N144" i="39"/>
  <c r="L144" i="39"/>
  <c r="K144" i="39"/>
  <c r="J144" i="39"/>
  <c r="I144" i="39"/>
  <c r="G144" i="39"/>
  <c r="F144" i="39"/>
  <c r="E144" i="39"/>
  <c r="D144" i="39"/>
  <c r="M134" i="39"/>
  <c r="M136" i="39"/>
  <c r="M137" i="39"/>
  <c r="M138" i="39"/>
  <c r="M139" i="39"/>
  <c r="M140" i="39"/>
  <c r="M141" i="39"/>
  <c r="M142" i="39"/>
  <c r="N135" i="39"/>
  <c r="H134" i="39"/>
  <c r="M135" i="39"/>
  <c r="L135" i="39"/>
  <c r="K135" i="39"/>
  <c r="J135" i="39"/>
  <c r="I135" i="39"/>
  <c r="P132" i="39"/>
  <c r="O132" i="39"/>
  <c r="N132" i="39"/>
  <c r="M119" i="39"/>
  <c r="M121" i="39"/>
  <c r="M123" i="39"/>
  <c r="M125" i="39"/>
  <c r="M126" i="39"/>
  <c r="M128" i="39"/>
  <c r="M129" i="39"/>
  <c r="M130" i="39"/>
  <c r="M131" i="39"/>
  <c r="M132" i="39"/>
  <c r="L132" i="39"/>
  <c r="K132" i="39"/>
  <c r="J132" i="39"/>
  <c r="I132" i="39"/>
  <c r="H119" i="39"/>
  <c r="H121" i="39"/>
  <c r="H123" i="39"/>
  <c r="H125" i="39"/>
  <c r="H126" i="39"/>
  <c r="H128" i="39"/>
  <c r="H129" i="39"/>
  <c r="H130" i="39"/>
  <c r="H131" i="39"/>
  <c r="H132" i="39"/>
  <c r="G132" i="39"/>
  <c r="F132" i="39"/>
  <c r="E132" i="39"/>
  <c r="D132" i="39"/>
  <c r="O127" i="39"/>
  <c r="N127" i="39"/>
  <c r="M127" i="39"/>
  <c r="L127" i="39"/>
  <c r="K127" i="39"/>
  <c r="J127" i="39"/>
  <c r="I127" i="39"/>
  <c r="H127" i="39"/>
  <c r="G127" i="39"/>
  <c r="F127" i="39"/>
  <c r="E127" i="39"/>
  <c r="D127" i="39"/>
  <c r="P124" i="39"/>
  <c r="O124" i="39"/>
  <c r="N124" i="39"/>
  <c r="M124" i="39"/>
  <c r="L124" i="39"/>
  <c r="K124" i="39"/>
  <c r="J124" i="39"/>
  <c r="I124" i="39"/>
  <c r="H124" i="39"/>
  <c r="G124" i="39"/>
  <c r="F124" i="39"/>
  <c r="E124" i="39"/>
  <c r="D124" i="39"/>
  <c r="O122" i="39"/>
  <c r="N122" i="39"/>
  <c r="M122" i="39"/>
  <c r="L122" i="39"/>
  <c r="K122" i="39"/>
  <c r="J122" i="39"/>
  <c r="I122" i="39"/>
  <c r="H122" i="39"/>
  <c r="G122" i="39"/>
  <c r="F122" i="39"/>
  <c r="E122" i="39"/>
  <c r="D122" i="39"/>
  <c r="P120" i="39"/>
  <c r="O120" i="39"/>
  <c r="N120" i="39"/>
  <c r="M120" i="39"/>
  <c r="L120" i="39"/>
  <c r="K120" i="39"/>
  <c r="J120" i="39"/>
  <c r="I120" i="39"/>
  <c r="P117" i="39"/>
  <c r="O117" i="39"/>
  <c r="N117" i="39"/>
  <c r="M116" i="39"/>
  <c r="M103" i="39"/>
  <c r="M117" i="39"/>
  <c r="L117" i="39"/>
  <c r="K117" i="39"/>
  <c r="J117" i="39"/>
  <c r="I117" i="39"/>
  <c r="H116" i="39"/>
  <c r="H103" i="39"/>
  <c r="H117" i="39"/>
  <c r="G117" i="39"/>
  <c r="F117" i="39"/>
  <c r="E117" i="39"/>
  <c r="D117" i="39"/>
  <c r="M115" i="39"/>
  <c r="H115" i="39"/>
  <c r="M104" i="39"/>
  <c r="M106" i="39"/>
  <c r="M108" i="39"/>
  <c r="M110" i="39"/>
  <c r="M111" i="39"/>
  <c r="M113" i="39"/>
  <c r="M114" i="39"/>
  <c r="H104" i="39"/>
  <c r="H106" i="39"/>
  <c r="H108" i="39"/>
  <c r="H110" i="39"/>
  <c r="H111" i="39"/>
  <c r="H113" i="39"/>
  <c r="H114" i="39"/>
  <c r="M112" i="39"/>
  <c r="L112" i="39"/>
  <c r="K112" i="39"/>
  <c r="J112" i="39"/>
  <c r="I112" i="39"/>
  <c r="H112" i="39"/>
  <c r="G112" i="39"/>
  <c r="F112" i="39"/>
  <c r="E112" i="39"/>
  <c r="D112" i="39"/>
  <c r="M109" i="39"/>
  <c r="L109" i="39"/>
  <c r="K109" i="39"/>
  <c r="J109" i="39"/>
  <c r="I109" i="39"/>
  <c r="H109" i="39"/>
  <c r="G109" i="39"/>
  <c r="F109" i="39"/>
  <c r="E109" i="39"/>
  <c r="D109" i="39"/>
  <c r="M91" i="39"/>
  <c r="M107" i="39"/>
  <c r="L107" i="39"/>
  <c r="K107" i="39"/>
  <c r="J107" i="39"/>
  <c r="I107" i="39"/>
  <c r="H91" i="39"/>
  <c r="H107" i="39"/>
  <c r="G107" i="39"/>
  <c r="F107" i="39"/>
  <c r="E107" i="39"/>
  <c r="D107" i="39"/>
  <c r="M105" i="39"/>
  <c r="L105" i="39"/>
  <c r="K105" i="39"/>
  <c r="J105" i="39"/>
  <c r="I105" i="39"/>
  <c r="H105" i="39"/>
  <c r="G105" i="39"/>
  <c r="F105" i="39"/>
  <c r="E105" i="39"/>
  <c r="D105" i="39"/>
  <c r="P102" i="39"/>
  <c r="O102" i="39"/>
  <c r="N102" i="39"/>
  <c r="I95" i="39"/>
  <c r="J95" i="39"/>
  <c r="K95" i="39"/>
  <c r="L95" i="39"/>
  <c r="M95" i="39"/>
  <c r="I84" i="39"/>
  <c r="J84" i="39"/>
  <c r="K84" i="39"/>
  <c r="L84" i="39"/>
  <c r="M84" i="39"/>
  <c r="M102" i="39"/>
  <c r="L102" i="39"/>
  <c r="K102" i="39"/>
  <c r="J102" i="39"/>
  <c r="I102" i="39"/>
  <c r="D95" i="39"/>
  <c r="E95" i="39"/>
  <c r="F95" i="39"/>
  <c r="G95" i="39"/>
  <c r="H95" i="39"/>
  <c r="D84" i="39"/>
  <c r="E84" i="39"/>
  <c r="F84" i="39"/>
  <c r="G84" i="39"/>
  <c r="H84" i="39"/>
  <c r="H102" i="39"/>
  <c r="G102" i="39"/>
  <c r="F102" i="39"/>
  <c r="E102" i="39"/>
  <c r="D102" i="39"/>
  <c r="N101" i="39"/>
  <c r="O101" i="39"/>
  <c r="P101" i="39"/>
  <c r="L101" i="39"/>
  <c r="K101" i="39"/>
  <c r="J101" i="39"/>
  <c r="I101" i="39"/>
  <c r="G101" i="39"/>
  <c r="F101" i="39"/>
  <c r="E101" i="39"/>
  <c r="D101" i="39"/>
  <c r="P100" i="39"/>
  <c r="O100" i="39"/>
  <c r="N100" i="39"/>
  <c r="L100" i="39"/>
  <c r="K100" i="39"/>
  <c r="J100" i="39"/>
  <c r="I100" i="39"/>
  <c r="M99" i="39"/>
  <c r="H99" i="39"/>
  <c r="M98" i="39"/>
  <c r="H98" i="39"/>
  <c r="P96" i="39"/>
  <c r="P97" i="39"/>
  <c r="O96" i="39"/>
  <c r="O97" i="39"/>
  <c r="N96" i="39"/>
  <c r="N97" i="39"/>
  <c r="L96" i="39"/>
  <c r="L97" i="39"/>
  <c r="K96" i="39"/>
  <c r="K97" i="39"/>
  <c r="J96" i="39"/>
  <c r="J97" i="39"/>
  <c r="I96" i="39"/>
  <c r="I97" i="39"/>
  <c r="G96" i="39"/>
  <c r="G97" i="39"/>
  <c r="F96" i="39"/>
  <c r="F97" i="39"/>
  <c r="E96" i="39"/>
  <c r="E97" i="39"/>
  <c r="D96" i="39"/>
  <c r="D97" i="39"/>
  <c r="M94" i="39"/>
  <c r="H94" i="39"/>
  <c r="P85" i="39"/>
  <c r="P93" i="39"/>
  <c r="O85" i="39"/>
  <c r="O93" i="39"/>
  <c r="N85" i="39"/>
  <c r="N93" i="39"/>
  <c r="L85" i="39"/>
  <c r="L93" i="39"/>
  <c r="K85" i="39"/>
  <c r="K93" i="39"/>
  <c r="J85" i="39"/>
  <c r="J93" i="39"/>
  <c r="I85" i="39"/>
  <c r="I93" i="39"/>
  <c r="G93" i="39"/>
  <c r="F93" i="39"/>
  <c r="E93" i="39"/>
  <c r="D93" i="39"/>
  <c r="P92" i="39"/>
  <c r="O92" i="39"/>
  <c r="N92" i="39"/>
  <c r="L92" i="39"/>
  <c r="K92" i="39"/>
  <c r="J92" i="39"/>
  <c r="I92" i="39"/>
  <c r="G92" i="39"/>
  <c r="F92" i="39"/>
  <c r="E92" i="39"/>
  <c r="D92" i="39"/>
  <c r="M83" i="39"/>
  <c r="H83" i="39"/>
  <c r="P81" i="39"/>
  <c r="O81" i="39"/>
  <c r="N81" i="39"/>
  <c r="M80" i="39"/>
  <c r="M68" i="39"/>
  <c r="M81" i="39"/>
  <c r="L81" i="39"/>
  <c r="K81" i="39"/>
  <c r="J81" i="39"/>
  <c r="I81" i="39"/>
  <c r="H80" i="39"/>
  <c r="H68" i="39"/>
  <c r="H81" i="39"/>
  <c r="G81" i="39"/>
  <c r="F81" i="39"/>
  <c r="E81" i="39"/>
  <c r="D81" i="39"/>
  <c r="M79" i="39"/>
  <c r="H79" i="39"/>
  <c r="O74" i="39"/>
  <c r="N74" i="39"/>
  <c r="L74" i="39"/>
  <c r="K74" i="39"/>
  <c r="J74" i="39"/>
  <c r="I74" i="39"/>
  <c r="G74" i="39"/>
  <c r="F74" i="39"/>
  <c r="E74" i="39"/>
  <c r="D74" i="39"/>
  <c r="P72" i="39"/>
  <c r="O72" i="39"/>
  <c r="N72" i="39"/>
  <c r="L72" i="39"/>
  <c r="K72" i="39"/>
  <c r="J72" i="39"/>
  <c r="I72" i="39"/>
  <c r="P67" i="39"/>
  <c r="O67" i="39"/>
  <c r="N67" i="39"/>
  <c r="I60" i="39"/>
  <c r="J60" i="39"/>
  <c r="K60" i="39"/>
  <c r="L60" i="39"/>
  <c r="M60" i="39"/>
  <c r="I49" i="39"/>
  <c r="J49" i="39"/>
  <c r="K49" i="39"/>
  <c r="L49" i="39"/>
  <c r="M49" i="39"/>
  <c r="M67" i="39"/>
  <c r="L67" i="39"/>
  <c r="K67" i="39"/>
  <c r="J67" i="39"/>
  <c r="I67" i="39"/>
  <c r="D60" i="39"/>
  <c r="E60" i="39"/>
  <c r="F60" i="39"/>
  <c r="G60" i="39"/>
  <c r="H60" i="39"/>
  <c r="D49" i="39"/>
  <c r="E49" i="39"/>
  <c r="F49" i="39"/>
  <c r="G49" i="39"/>
  <c r="H49" i="39"/>
  <c r="H67" i="39"/>
  <c r="G67" i="39"/>
  <c r="F67" i="39"/>
  <c r="E67" i="39"/>
  <c r="D67" i="39"/>
  <c r="N66" i="39"/>
  <c r="O66" i="39"/>
  <c r="P66" i="39"/>
  <c r="L66" i="39"/>
  <c r="K66" i="39"/>
  <c r="J66" i="39"/>
  <c r="I66" i="39"/>
  <c r="G66" i="39"/>
  <c r="F66" i="39"/>
  <c r="E66" i="39"/>
  <c r="D66" i="39"/>
  <c r="P65" i="39"/>
  <c r="O65" i="39"/>
  <c r="N65" i="39"/>
  <c r="L65" i="39"/>
  <c r="K65" i="39"/>
  <c r="J65" i="39"/>
  <c r="I65" i="39"/>
  <c r="P61" i="39"/>
  <c r="P62" i="39"/>
  <c r="O61" i="39"/>
  <c r="O62" i="39"/>
  <c r="N61" i="39"/>
  <c r="N62" i="39"/>
  <c r="L61" i="39"/>
  <c r="L62" i="39"/>
  <c r="K61" i="39"/>
  <c r="K62" i="39"/>
  <c r="J61" i="39"/>
  <c r="J62" i="39"/>
  <c r="I61" i="39"/>
  <c r="I62" i="39"/>
  <c r="G61" i="39"/>
  <c r="G62" i="39"/>
  <c r="F61" i="39"/>
  <c r="F62" i="39"/>
  <c r="E61" i="39"/>
  <c r="E62" i="39"/>
  <c r="D61" i="39"/>
  <c r="D62" i="39"/>
  <c r="P50" i="39"/>
  <c r="P58" i="39"/>
  <c r="O50" i="39"/>
  <c r="O58" i="39"/>
  <c r="N50" i="39"/>
  <c r="N58" i="39"/>
  <c r="L50" i="39"/>
  <c r="L58" i="39"/>
  <c r="K50" i="39"/>
  <c r="K58" i="39"/>
  <c r="J50" i="39"/>
  <c r="J58" i="39"/>
  <c r="I50" i="39"/>
  <c r="I58" i="39"/>
  <c r="G58" i="39"/>
  <c r="F58" i="39"/>
  <c r="E58" i="39"/>
  <c r="D58" i="39"/>
  <c r="P57" i="39"/>
  <c r="O57" i="39"/>
  <c r="N57" i="39"/>
  <c r="L57" i="39"/>
  <c r="K57" i="39"/>
  <c r="J57" i="39"/>
  <c r="I57" i="39"/>
  <c r="G57" i="39"/>
  <c r="F57" i="39"/>
  <c r="E57" i="39"/>
  <c r="D57" i="39"/>
  <c r="M56" i="39"/>
  <c r="H56" i="39"/>
  <c r="L43" i="39"/>
  <c r="N43" i="39"/>
  <c r="M43" i="39"/>
  <c r="M41" i="39"/>
  <c r="M44" i="39"/>
  <c r="H43" i="39"/>
  <c r="H35" i="39"/>
  <c r="H41" i="39"/>
  <c r="H44" i="39"/>
  <c r="P41" i="39"/>
  <c r="O41" i="39"/>
  <c r="N41" i="39"/>
  <c r="L41" i="39"/>
  <c r="K41" i="39"/>
  <c r="J41" i="39"/>
  <c r="I41" i="39"/>
  <c r="G35" i="39"/>
  <c r="G41" i="39"/>
  <c r="F35" i="39"/>
  <c r="F41" i="39"/>
  <c r="E35" i="39"/>
  <c r="E41" i="39"/>
  <c r="D35" i="39"/>
  <c r="D41" i="39"/>
  <c r="P40" i="39"/>
  <c r="O40" i="39"/>
  <c r="N40" i="39"/>
  <c r="M38" i="39"/>
  <c r="M40" i="39"/>
  <c r="L40" i="39"/>
  <c r="K40" i="39"/>
  <c r="J40" i="39"/>
  <c r="I40" i="39"/>
  <c r="H40" i="39"/>
  <c r="G40" i="39"/>
  <c r="F40" i="39"/>
  <c r="E40" i="39"/>
  <c r="D40" i="39"/>
  <c r="C9" i="39"/>
  <c r="Q50" i="38"/>
  <c r="L51" i="38"/>
  <c r="Q51" i="38"/>
  <c r="Q55" i="38"/>
  <c r="Q56" i="38"/>
  <c r="Q85" i="38"/>
  <c r="L86" i="38"/>
  <c r="Q86" i="38"/>
  <c r="Q90" i="38"/>
  <c r="Q91" i="38"/>
  <c r="Q13" i="38"/>
  <c r="O59" i="38"/>
  <c r="P59" i="38"/>
  <c r="Q59" i="38"/>
  <c r="Q61" i="38"/>
  <c r="Q63" i="38"/>
  <c r="O94" i="38"/>
  <c r="P94" i="38"/>
  <c r="Q94" i="38"/>
  <c r="Q96" i="38"/>
  <c r="Q98" i="38"/>
  <c r="Q14" i="38"/>
  <c r="Q64" i="38"/>
  <c r="Q99" i="38"/>
  <c r="Q119" i="38"/>
  <c r="Q134" i="38"/>
  <c r="Q15" i="38"/>
  <c r="Q16" i="38"/>
  <c r="D72" i="38"/>
  <c r="E72" i="38"/>
  <c r="F72" i="38"/>
  <c r="G72" i="38"/>
  <c r="Q71" i="38"/>
  <c r="N107" i="38"/>
  <c r="O107" i="38"/>
  <c r="P107" i="38"/>
  <c r="Q107" i="38"/>
  <c r="Q106" i="38"/>
  <c r="Q18" i="38"/>
  <c r="Q68" i="38"/>
  <c r="P68" i="38"/>
  <c r="P74" i="38"/>
  <c r="Q74" i="38"/>
  <c r="Q73" i="38"/>
  <c r="N103" i="38"/>
  <c r="N109" i="38"/>
  <c r="O103" i="38"/>
  <c r="O109" i="38"/>
  <c r="P103" i="38"/>
  <c r="P109" i="38"/>
  <c r="Q109" i="38"/>
  <c r="Q103" i="38"/>
  <c r="Q108" i="38"/>
  <c r="Q123" i="38"/>
  <c r="Q137" i="38"/>
  <c r="Q19" i="38"/>
  <c r="J245" i="38"/>
  <c r="K245" i="38"/>
  <c r="L245" i="38"/>
  <c r="L239" i="38"/>
  <c r="N239" i="38"/>
  <c r="O245" i="38"/>
  <c r="O239" i="38"/>
  <c r="P245" i="38"/>
  <c r="P239" i="38"/>
  <c r="Q239" i="38"/>
  <c r="Q245" i="38"/>
  <c r="Q75" i="38"/>
  <c r="Q110" i="38"/>
  <c r="Q125" i="38"/>
  <c r="Q138" i="38"/>
  <c r="Q20" i="38"/>
  <c r="D68" i="38"/>
  <c r="D77" i="38"/>
  <c r="E68" i="38"/>
  <c r="E77" i="38"/>
  <c r="F68" i="38"/>
  <c r="F77" i="38"/>
  <c r="G68" i="38"/>
  <c r="G77" i="38"/>
  <c r="I68" i="38"/>
  <c r="I77" i="38"/>
  <c r="J68" i="38"/>
  <c r="J77" i="38"/>
  <c r="K68" i="38"/>
  <c r="K77" i="38"/>
  <c r="L68" i="38"/>
  <c r="L77" i="38"/>
  <c r="N68" i="38"/>
  <c r="N77" i="38"/>
  <c r="O68" i="38"/>
  <c r="O77" i="38"/>
  <c r="P77" i="38"/>
  <c r="Q77" i="38"/>
  <c r="Q76" i="38"/>
  <c r="N112" i="38"/>
  <c r="O112" i="38"/>
  <c r="P112" i="38"/>
  <c r="Q112" i="38"/>
  <c r="Q111" i="38"/>
  <c r="P127" i="38"/>
  <c r="Q127" i="38"/>
  <c r="Q126" i="38"/>
  <c r="Q139" i="38"/>
  <c r="Q21" i="38"/>
  <c r="Q140" i="38"/>
  <c r="Q22" i="38"/>
  <c r="D70" i="38"/>
  <c r="E70" i="38"/>
  <c r="F70" i="38"/>
  <c r="G70" i="38"/>
  <c r="I70" i="38"/>
  <c r="J70" i="38"/>
  <c r="K70" i="38"/>
  <c r="L70" i="38"/>
  <c r="N70" i="38"/>
  <c r="O70" i="38"/>
  <c r="P70" i="38"/>
  <c r="N105" i="38"/>
  <c r="O105" i="38"/>
  <c r="P105" i="38"/>
  <c r="Q105" i="38"/>
  <c r="Q104" i="38"/>
  <c r="P122" i="38"/>
  <c r="Q122" i="38"/>
  <c r="Q121" i="38"/>
  <c r="Q136" i="38"/>
  <c r="Q115" i="38"/>
  <c r="Q130" i="38"/>
  <c r="Q24" i="38"/>
  <c r="Q172" i="38"/>
  <c r="Q173" i="38"/>
  <c r="Q174" i="38"/>
  <c r="Q177" i="38"/>
  <c r="Q179" i="38"/>
  <c r="Q26" i="38"/>
  <c r="E267" i="38"/>
  <c r="F267" i="38"/>
  <c r="G267" i="38"/>
  <c r="H267" i="38"/>
  <c r="F268" i="38"/>
  <c r="G268" i="38"/>
  <c r="H268" i="38"/>
  <c r="G269" i="38"/>
  <c r="H269" i="38"/>
  <c r="E270" i="38"/>
  <c r="F270" i="38"/>
  <c r="G270" i="38"/>
  <c r="H270" i="38"/>
  <c r="E271" i="38"/>
  <c r="F271" i="38"/>
  <c r="G271" i="38"/>
  <c r="H271" i="38"/>
  <c r="E272" i="38"/>
  <c r="F272" i="38"/>
  <c r="G272" i="38"/>
  <c r="H272" i="38"/>
  <c r="E273" i="38"/>
  <c r="F273" i="38"/>
  <c r="G273" i="38"/>
  <c r="H273" i="38"/>
  <c r="E274" i="38"/>
  <c r="F274" i="38"/>
  <c r="G274" i="38"/>
  <c r="H274" i="38"/>
  <c r="H275" i="38"/>
  <c r="D262" i="38"/>
  <c r="E262" i="38"/>
  <c r="F262" i="38"/>
  <c r="G262" i="38"/>
  <c r="H262" i="38"/>
  <c r="E263" i="38"/>
  <c r="F263" i="38"/>
  <c r="G263" i="38"/>
  <c r="H263" i="38"/>
  <c r="E264" i="38"/>
  <c r="F264" i="38"/>
  <c r="G264" i="38"/>
  <c r="H264" i="38"/>
  <c r="H265" i="38"/>
  <c r="H16" i="38"/>
  <c r="H23" i="38"/>
  <c r="H25" i="38"/>
  <c r="H31" i="38"/>
  <c r="H33" i="38"/>
  <c r="H244" i="38"/>
  <c r="E245" i="38"/>
  <c r="F245" i="38"/>
  <c r="G245" i="38"/>
  <c r="H245" i="38"/>
  <c r="E246" i="38"/>
  <c r="F246" i="38"/>
  <c r="G246" i="38"/>
  <c r="H246" i="38"/>
  <c r="E247" i="38"/>
  <c r="F247" i="38"/>
  <c r="G247" i="38"/>
  <c r="H247" i="38"/>
  <c r="E248" i="38"/>
  <c r="F248" i="38"/>
  <c r="G248" i="38"/>
  <c r="H248" i="38"/>
  <c r="E249" i="38"/>
  <c r="F249" i="38"/>
  <c r="G249" i="38"/>
  <c r="H249" i="38"/>
  <c r="E250" i="38"/>
  <c r="F250" i="38"/>
  <c r="G250" i="38"/>
  <c r="H250" i="38"/>
  <c r="E251" i="38"/>
  <c r="F251" i="38"/>
  <c r="G251" i="38"/>
  <c r="H251" i="38"/>
  <c r="E253" i="38"/>
  <c r="F253" i="38"/>
  <c r="G253" i="38"/>
  <c r="H253" i="38"/>
  <c r="E254" i="38"/>
  <c r="F254" i="38"/>
  <c r="G254" i="38"/>
  <c r="H254" i="38"/>
  <c r="E255" i="38"/>
  <c r="F255" i="38"/>
  <c r="G255" i="38"/>
  <c r="H255" i="38"/>
  <c r="E256" i="38"/>
  <c r="F256" i="38"/>
  <c r="G256" i="38"/>
  <c r="H256" i="38"/>
  <c r="E257" i="38"/>
  <c r="F257" i="38"/>
  <c r="G257" i="38"/>
  <c r="H257" i="38"/>
  <c r="F258" i="38"/>
  <c r="G258" i="38"/>
  <c r="H258" i="38"/>
  <c r="E259" i="38"/>
  <c r="F259" i="38"/>
  <c r="G259" i="38"/>
  <c r="H259" i="38"/>
  <c r="H260" i="38"/>
  <c r="D276" i="38"/>
  <c r="E276" i="38"/>
  <c r="F276" i="38"/>
  <c r="G276" i="38"/>
  <c r="H276" i="38"/>
  <c r="H277" i="38"/>
  <c r="H279" i="38"/>
  <c r="I278" i="38"/>
  <c r="J267" i="38"/>
  <c r="K267" i="38"/>
  <c r="L267" i="38"/>
  <c r="M267" i="38"/>
  <c r="J268" i="38"/>
  <c r="L268" i="38"/>
  <c r="M268" i="38"/>
  <c r="I269" i="38"/>
  <c r="J269" i="38"/>
  <c r="K269" i="38"/>
  <c r="L269" i="38"/>
  <c r="M269" i="38"/>
  <c r="J270" i="38"/>
  <c r="K270" i="38"/>
  <c r="L270" i="38"/>
  <c r="M270" i="38"/>
  <c r="J271" i="38"/>
  <c r="K271" i="38"/>
  <c r="L271" i="38"/>
  <c r="M271" i="38"/>
  <c r="J272" i="38"/>
  <c r="K272" i="38"/>
  <c r="L272" i="38"/>
  <c r="M272" i="38"/>
  <c r="J273" i="38"/>
  <c r="K273" i="38"/>
  <c r="L273" i="38"/>
  <c r="M273" i="38"/>
  <c r="J274" i="38"/>
  <c r="K274" i="38"/>
  <c r="L274" i="38"/>
  <c r="M274" i="38"/>
  <c r="M275" i="38"/>
  <c r="I262" i="38"/>
  <c r="J262" i="38"/>
  <c r="K262" i="38"/>
  <c r="L262" i="38"/>
  <c r="M262" i="38"/>
  <c r="J263" i="38"/>
  <c r="K263" i="38"/>
  <c r="L263" i="38"/>
  <c r="M263" i="38"/>
  <c r="J264" i="38"/>
  <c r="K264" i="38"/>
  <c r="L264" i="38"/>
  <c r="M264" i="38"/>
  <c r="M265" i="38"/>
  <c r="M13" i="38"/>
  <c r="M14" i="38"/>
  <c r="M15" i="38"/>
  <c r="M16" i="38"/>
  <c r="M18" i="38"/>
  <c r="M19" i="38"/>
  <c r="M20" i="38"/>
  <c r="M21" i="38"/>
  <c r="M22" i="38"/>
  <c r="M17" i="38"/>
  <c r="M23" i="38"/>
  <c r="M24" i="38"/>
  <c r="M25" i="38"/>
  <c r="M29" i="38"/>
  <c r="M30" i="38"/>
  <c r="M28" i="38"/>
  <c r="M31" i="38"/>
  <c r="M32" i="38"/>
  <c r="M33" i="38"/>
  <c r="M244" i="38"/>
  <c r="M245" i="38"/>
  <c r="J246" i="38"/>
  <c r="K246" i="38"/>
  <c r="L246" i="38"/>
  <c r="M246" i="38"/>
  <c r="J247" i="38"/>
  <c r="K247" i="38"/>
  <c r="L247" i="38"/>
  <c r="M247" i="38"/>
  <c r="J248" i="38"/>
  <c r="K248" i="38"/>
  <c r="L248" i="38"/>
  <c r="M248" i="38"/>
  <c r="J249" i="38"/>
  <c r="K249" i="38"/>
  <c r="L249" i="38"/>
  <c r="M249" i="38"/>
  <c r="J250" i="38"/>
  <c r="K250" i="38"/>
  <c r="L250" i="38"/>
  <c r="M250" i="38"/>
  <c r="I251" i="38"/>
  <c r="J251" i="38"/>
  <c r="K251" i="38"/>
  <c r="L251" i="38"/>
  <c r="M251" i="38"/>
  <c r="J253" i="38"/>
  <c r="K253" i="38"/>
  <c r="L253" i="38"/>
  <c r="M253" i="38"/>
  <c r="J254" i="38"/>
  <c r="K254" i="38"/>
  <c r="L254" i="38"/>
  <c r="M254" i="38"/>
  <c r="J255" i="38"/>
  <c r="K255" i="38"/>
  <c r="L255" i="38"/>
  <c r="M255" i="38"/>
  <c r="J256" i="38"/>
  <c r="K256" i="38"/>
  <c r="L256" i="38"/>
  <c r="M256" i="38"/>
  <c r="J257" i="38"/>
  <c r="K257" i="38"/>
  <c r="L257" i="38"/>
  <c r="M257" i="38"/>
  <c r="J258" i="38"/>
  <c r="K258" i="38"/>
  <c r="L258" i="38"/>
  <c r="M258" i="38"/>
  <c r="I259" i="38"/>
  <c r="J259" i="38"/>
  <c r="K259" i="38"/>
  <c r="L259" i="38"/>
  <c r="M259" i="38"/>
  <c r="M260" i="38"/>
  <c r="J276" i="38"/>
  <c r="K276" i="38"/>
  <c r="L276" i="38"/>
  <c r="M276" i="38"/>
  <c r="M277" i="38"/>
  <c r="M279" i="38"/>
  <c r="N278" i="38"/>
  <c r="N268" i="38"/>
  <c r="N272" i="38"/>
  <c r="N275" i="38"/>
  <c r="N262" i="38"/>
  <c r="N265" i="38"/>
  <c r="N16" i="38"/>
  <c r="N23" i="38"/>
  <c r="N25" i="38"/>
  <c r="N31" i="38"/>
  <c r="N33" i="38"/>
  <c r="N244" i="38"/>
  <c r="N249" i="38"/>
  <c r="N251" i="38"/>
  <c r="N259" i="38"/>
  <c r="N260" i="38"/>
  <c r="N277" i="38"/>
  <c r="N279" i="38"/>
  <c r="O278" i="38"/>
  <c r="O267" i="38"/>
  <c r="O268" i="38"/>
  <c r="O269" i="38"/>
  <c r="O270" i="38"/>
  <c r="O271" i="38"/>
  <c r="O272" i="38"/>
  <c r="O273" i="38"/>
  <c r="O274" i="38"/>
  <c r="O275" i="38"/>
  <c r="O262" i="38"/>
  <c r="O263" i="38"/>
  <c r="O264" i="38"/>
  <c r="O265" i="38"/>
  <c r="O16" i="38"/>
  <c r="O23" i="38"/>
  <c r="O25" i="38"/>
  <c r="O31" i="38"/>
  <c r="O33" i="38"/>
  <c r="O244" i="38"/>
  <c r="O246" i="38"/>
  <c r="O247" i="38"/>
  <c r="O248" i="38"/>
  <c r="O249" i="38"/>
  <c r="O250" i="38"/>
  <c r="O251" i="38"/>
  <c r="O253" i="38"/>
  <c r="O254" i="38"/>
  <c r="O255" i="38"/>
  <c r="O256" i="38"/>
  <c r="O257" i="38"/>
  <c r="O258" i="38"/>
  <c r="O259" i="38"/>
  <c r="O260" i="38"/>
  <c r="O276" i="38"/>
  <c r="O277" i="38"/>
  <c r="O279" i="38"/>
  <c r="P278" i="38"/>
  <c r="P267" i="38"/>
  <c r="P268" i="38"/>
  <c r="P269" i="38"/>
  <c r="P270" i="38"/>
  <c r="P271" i="38"/>
  <c r="P272" i="38"/>
  <c r="P273" i="38"/>
  <c r="P274" i="38"/>
  <c r="P275" i="38"/>
  <c r="P262" i="38"/>
  <c r="P263" i="38"/>
  <c r="P264" i="38"/>
  <c r="P265" i="38"/>
  <c r="P16" i="38"/>
  <c r="P23" i="38"/>
  <c r="P25" i="38"/>
  <c r="P31" i="38"/>
  <c r="P33" i="38"/>
  <c r="P244" i="38"/>
  <c r="P246" i="38"/>
  <c r="P247" i="38"/>
  <c r="P248" i="38"/>
  <c r="P249" i="38"/>
  <c r="P250" i="38"/>
  <c r="P251" i="38"/>
  <c r="P253" i="38"/>
  <c r="P254" i="38"/>
  <c r="P255" i="38"/>
  <c r="P256" i="38"/>
  <c r="P257" i="38"/>
  <c r="P258" i="38"/>
  <c r="P259" i="38"/>
  <c r="P260" i="38"/>
  <c r="P276" i="38"/>
  <c r="P277" i="38"/>
  <c r="P279" i="38"/>
  <c r="P187" i="38"/>
  <c r="O187" i="38"/>
  <c r="P154" i="38"/>
  <c r="N187" i="38"/>
  <c r="O154" i="38"/>
  <c r="I275" i="38"/>
  <c r="I265" i="38"/>
  <c r="I16" i="38"/>
  <c r="I23" i="38"/>
  <c r="I25" i="38"/>
  <c r="I31" i="38"/>
  <c r="I33" i="38"/>
  <c r="I244" i="38"/>
  <c r="I260" i="38"/>
  <c r="I277" i="38"/>
  <c r="I279" i="38"/>
  <c r="J278" i="38"/>
  <c r="J275" i="38"/>
  <c r="J265" i="38"/>
  <c r="J16" i="38"/>
  <c r="J23" i="38"/>
  <c r="J25" i="38"/>
  <c r="J31" i="38"/>
  <c r="J33" i="38"/>
  <c r="J244" i="38"/>
  <c r="J260" i="38"/>
  <c r="J277" i="38"/>
  <c r="J279" i="38"/>
  <c r="K278" i="38"/>
  <c r="K275" i="38"/>
  <c r="K265" i="38"/>
  <c r="K16" i="38"/>
  <c r="K23" i="38"/>
  <c r="K25" i="38"/>
  <c r="K31" i="38"/>
  <c r="K33" i="38"/>
  <c r="K244" i="38"/>
  <c r="K260" i="38"/>
  <c r="K277" i="38"/>
  <c r="K279" i="38"/>
  <c r="L278" i="38"/>
  <c r="L275" i="38"/>
  <c r="L265" i="38"/>
  <c r="L244" i="38"/>
  <c r="L260" i="38"/>
  <c r="L277" i="38"/>
  <c r="L279" i="38"/>
  <c r="L187" i="38"/>
  <c r="N154" i="38"/>
  <c r="K187" i="38"/>
  <c r="L154" i="38"/>
  <c r="Q154" i="38"/>
  <c r="Q29" i="38"/>
  <c r="P155" i="38"/>
  <c r="N209" i="38"/>
  <c r="O155" i="38"/>
  <c r="L209" i="38"/>
  <c r="N155" i="38"/>
  <c r="K209" i="38"/>
  <c r="L155" i="38"/>
  <c r="Q155" i="38"/>
  <c r="Q30" i="38"/>
  <c r="Q34" i="38"/>
  <c r="Q181" i="38"/>
  <c r="Q36" i="38"/>
  <c r="P164" i="38"/>
  <c r="P161" i="38"/>
  <c r="Q161" i="38"/>
  <c r="Q164" i="38"/>
  <c r="Q39" i="38"/>
  <c r="S50" i="38"/>
  <c r="N51" i="38"/>
  <c r="S51" i="38"/>
  <c r="S56" i="38"/>
  <c r="S85" i="38"/>
  <c r="N86" i="38"/>
  <c r="S86" i="38"/>
  <c r="S91" i="38"/>
  <c r="S13" i="38"/>
  <c r="S60" i="38"/>
  <c r="S59" i="38"/>
  <c r="S61" i="38"/>
  <c r="S63" i="38"/>
  <c r="S94" i="38"/>
  <c r="S96" i="38"/>
  <c r="S98" i="38"/>
  <c r="S14" i="38"/>
  <c r="S64" i="38"/>
  <c r="S99" i="38"/>
  <c r="S119" i="38"/>
  <c r="S134" i="38"/>
  <c r="S15" i="38"/>
  <c r="S16" i="38"/>
  <c r="S71" i="38"/>
  <c r="S107" i="38"/>
  <c r="S106" i="38"/>
  <c r="S18" i="38"/>
  <c r="S68" i="38"/>
  <c r="S74" i="38"/>
  <c r="S73" i="38"/>
  <c r="S109" i="38"/>
  <c r="S103" i="38"/>
  <c r="S108" i="38"/>
  <c r="S124" i="38"/>
  <c r="S123" i="38"/>
  <c r="S137" i="38"/>
  <c r="S19" i="38"/>
  <c r="Q263" i="38"/>
  <c r="Q195" i="38"/>
  <c r="R195" i="38"/>
  <c r="S239" i="38"/>
  <c r="S245" i="38"/>
  <c r="S75" i="38"/>
  <c r="S110" i="38"/>
  <c r="S125" i="38"/>
  <c r="S138" i="38"/>
  <c r="S20" i="38"/>
  <c r="S77" i="38"/>
  <c r="S76" i="38"/>
  <c r="S112" i="38"/>
  <c r="S111" i="38"/>
  <c r="S127" i="38"/>
  <c r="S126" i="38"/>
  <c r="S139" i="38"/>
  <c r="S21" i="38"/>
  <c r="S140" i="38"/>
  <c r="S22" i="38"/>
  <c r="S105" i="38"/>
  <c r="S104" i="38"/>
  <c r="S122" i="38"/>
  <c r="S121" i="38"/>
  <c r="S136" i="38"/>
  <c r="S115" i="38"/>
  <c r="S130" i="38"/>
  <c r="S24" i="38"/>
  <c r="S172" i="38"/>
  <c r="I177" i="38"/>
  <c r="J177" i="38"/>
  <c r="K172" i="38"/>
  <c r="K177" i="38"/>
  <c r="L177" i="38"/>
  <c r="N177" i="38"/>
  <c r="O177" i="38"/>
  <c r="P177" i="38"/>
  <c r="S176" i="38"/>
  <c r="S177" i="38"/>
  <c r="S179" i="38"/>
  <c r="S26" i="38"/>
  <c r="Q278" i="38"/>
  <c r="Q209" i="38"/>
  <c r="Q212" i="38"/>
  <c r="Q267" i="38"/>
  <c r="P160" i="38"/>
  <c r="Q160" i="38"/>
  <c r="Q38" i="38"/>
  <c r="Q271" i="38"/>
  <c r="Q272" i="38"/>
  <c r="P291" i="38"/>
  <c r="O291" i="38"/>
  <c r="N291" i="38"/>
  <c r="L16" i="38"/>
  <c r="L291" i="38"/>
  <c r="Q291" i="38"/>
  <c r="Q250" i="38"/>
  <c r="Q273" i="38"/>
  <c r="Q275" i="38"/>
  <c r="L192" i="38"/>
  <c r="L201" i="38"/>
  <c r="L234" i="38"/>
  <c r="N192" i="38"/>
  <c r="N201" i="38"/>
  <c r="N234" i="38"/>
  <c r="O192" i="38"/>
  <c r="O201" i="38"/>
  <c r="O234" i="38"/>
  <c r="P192" i="38"/>
  <c r="P201" i="38"/>
  <c r="P234" i="38"/>
  <c r="Q234" i="38"/>
  <c r="P218" i="38"/>
  <c r="Q218" i="38"/>
  <c r="Q220" i="38"/>
  <c r="Q221" i="38"/>
  <c r="G17" i="38"/>
  <c r="G232" i="38"/>
  <c r="L232" i="38"/>
  <c r="Q232" i="38"/>
  <c r="L23" i="38"/>
  <c r="Q204" i="38"/>
  <c r="Q205" i="38"/>
  <c r="Q206" i="38"/>
  <c r="Q207" i="38"/>
  <c r="Q208" i="38"/>
  <c r="Q213" i="38"/>
  <c r="Q214" i="38"/>
  <c r="Q215" i="38"/>
  <c r="L235" i="38"/>
  <c r="N235" i="38"/>
  <c r="O235" i="38"/>
  <c r="P235" i="38"/>
  <c r="Q235" i="38"/>
  <c r="Q194" i="38"/>
  <c r="P222" i="38"/>
  <c r="P211" i="38"/>
  <c r="P216" i="38"/>
  <c r="P223" i="38"/>
  <c r="Q196" i="38"/>
  <c r="Q199" i="38"/>
  <c r="Q200" i="38"/>
  <c r="L238" i="38"/>
  <c r="N238" i="38"/>
  <c r="O238" i="38"/>
  <c r="P238" i="38"/>
  <c r="Q238" i="38"/>
  <c r="Q197" i="38"/>
  <c r="Q246" i="38"/>
  <c r="Q247" i="38"/>
  <c r="Q248" i="38"/>
  <c r="Q249" i="38"/>
  <c r="Q189" i="38"/>
  <c r="Q253" i="38"/>
  <c r="Q191" i="38"/>
  <c r="Q255" i="38"/>
  <c r="Q257" i="38"/>
  <c r="Q258" i="38"/>
  <c r="Q259" i="38"/>
  <c r="S154" i="38"/>
  <c r="S155" i="38"/>
  <c r="S30" i="38"/>
  <c r="N153" i="38"/>
  <c r="O153" i="38"/>
  <c r="P153" i="38"/>
  <c r="S153" i="38"/>
  <c r="S34" i="38"/>
  <c r="S182" i="38"/>
  <c r="S181" i="38"/>
  <c r="S36" i="38"/>
  <c r="S161" i="38"/>
  <c r="S162" i="38"/>
  <c r="S164" i="38"/>
  <c r="S39" i="38"/>
  <c r="O48" i="38"/>
  <c r="T50" i="38"/>
  <c r="O51" i="38"/>
  <c r="T51" i="38"/>
  <c r="T56" i="38"/>
  <c r="O83" i="38"/>
  <c r="T85" i="38"/>
  <c r="O86" i="38"/>
  <c r="T86" i="38"/>
  <c r="T91" i="38"/>
  <c r="T13" i="38"/>
  <c r="T60" i="38"/>
  <c r="T59" i="38"/>
  <c r="T61" i="38"/>
  <c r="T63" i="38"/>
  <c r="T94" i="38"/>
  <c r="T96" i="38"/>
  <c r="T98" i="38"/>
  <c r="T14" i="38"/>
  <c r="T64" i="38"/>
  <c r="T99" i="38"/>
  <c r="T119" i="38"/>
  <c r="T134" i="38"/>
  <c r="T15" i="38"/>
  <c r="T16" i="38"/>
  <c r="T71" i="38"/>
  <c r="T107" i="38"/>
  <c r="T106" i="38"/>
  <c r="T18" i="38"/>
  <c r="T68" i="38"/>
  <c r="T74" i="38"/>
  <c r="T73" i="38"/>
  <c r="T109" i="38"/>
  <c r="T103" i="38"/>
  <c r="T108" i="38"/>
  <c r="T124" i="38"/>
  <c r="T123" i="38"/>
  <c r="T137" i="38"/>
  <c r="T19" i="38"/>
  <c r="S263" i="38"/>
  <c r="S195" i="38"/>
  <c r="T239" i="38"/>
  <c r="T245" i="38"/>
  <c r="T75" i="38"/>
  <c r="T110" i="38"/>
  <c r="T125" i="38"/>
  <c r="T138" i="38"/>
  <c r="T20" i="38"/>
  <c r="T77" i="38"/>
  <c r="T76" i="38"/>
  <c r="T112" i="38"/>
  <c r="T111" i="38"/>
  <c r="T127" i="38"/>
  <c r="T126" i="38"/>
  <c r="T139" i="38"/>
  <c r="T21" i="38"/>
  <c r="T140" i="38"/>
  <c r="T22" i="38"/>
  <c r="T105" i="38"/>
  <c r="T104" i="38"/>
  <c r="T122" i="38"/>
  <c r="T121" i="38"/>
  <c r="T136" i="38"/>
  <c r="T115" i="38"/>
  <c r="T130" i="38"/>
  <c r="T24" i="38"/>
  <c r="T172" i="38"/>
  <c r="T176" i="38"/>
  <c r="T177" i="38"/>
  <c r="T179" i="38"/>
  <c r="T26" i="38"/>
  <c r="R267" i="38"/>
  <c r="R268" i="38"/>
  <c r="R269" i="38"/>
  <c r="R270" i="38"/>
  <c r="R271" i="38"/>
  <c r="R272" i="38"/>
  <c r="R273" i="38"/>
  <c r="R274" i="38"/>
  <c r="R275" i="38"/>
  <c r="R263" i="38"/>
  <c r="R13" i="38"/>
  <c r="R14" i="38"/>
  <c r="R15" i="38"/>
  <c r="R16" i="38"/>
  <c r="R18" i="38"/>
  <c r="R19" i="38"/>
  <c r="R20" i="38"/>
  <c r="R21" i="38"/>
  <c r="R22" i="38"/>
  <c r="R24" i="38"/>
  <c r="R29" i="38"/>
  <c r="R30" i="38"/>
  <c r="R28" i="38"/>
  <c r="R245" i="38"/>
  <c r="R246" i="38"/>
  <c r="R247" i="38"/>
  <c r="R248" i="38"/>
  <c r="R249" i="38"/>
  <c r="R250" i="38"/>
  <c r="R251" i="38"/>
  <c r="R253" i="38"/>
  <c r="R255" i="38"/>
  <c r="R257" i="38"/>
  <c r="R258" i="38"/>
  <c r="R259" i="38"/>
  <c r="R276" i="38"/>
  <c r="S209" i="38"/>
  <c r="S212" i="38"/>
  <c r="S267" i="38"/>
  <c r="S43" i="38"/>
  <c r="S160" i="38"/>
  <c r="S38" i="38"/>
  <c r="S271" i="38"/>
  <c r="S272" i="38"/>
  <c r="S291" i="38"/>
  <c r="S250" i="38"/>
  <c r="S273" i="38"/>
  <c r="S275" i="38"/>
  <c r="S234" i="38"/>
  <c r="S218" i="38"/>
  <c r="S220" i="38"/>
  <c r="S221" i="38"/>
  <c r="I232" i="38"/>
  <c r="N232" i="38"/>
  <c r="S232" i="38"/>
  <c r="R204" i="38"/>
  <c r="S204" i="38"/>
  <c r="S205" i="38"/>
  <c r="S206" i="38"/>
  <c r="S207" i="38"/>
  <c r="S208" i="38"/>
  <c r="S213" i="38"/>
  <c r="S214" i="38"/>
  <c r="S215" i="38"/>
  <c r="S235" i="38"/>
  <c r="S194" i="38"/>
  <c r="S196" i="38"/>
  <c r="S199" i="38"/>
  <c r="S200" i="38"/>
  <c r="S238" i="38"/>
  <c r="S197" i="38"/>
  <c r="S246" i="38"/>
  <c r="S247" i="38"/>
  <c r="S248" i="38"/>
  <c r="S249" i="38"/>
  <c r="N228" i="38"/>
  <c r="S228" i="38"/>
  <c r="S189" i="38"/>
  <c r="S253" i="38"/>
  <c r="N230" i="38"/>
  <c r="S230" i="38"/>
  <c r="S191" i="38"/>
  <c r="S255" i="38"/>
  <c r="S257" i="38"/>
  <c r="S258" i="38"/>
  <c r="S259" i="38"/>
  <c r="T154" i="38"/>
  <c r="T155" i="38"/>
  <c r="T30" i="38"/>
  <c r="T153" i="38"/>
  <c r="T34" i="38"/>
  <c r="T182" i="38"/>
  <c r="T181" i="38"/>
  <c r="T36" i="38"/>
  <c r="T161" i="38"/>
  <c r="T162" i="38"/>
  <c r="T164" i="38"/>
  <c r="T39" i="38"/>
  <c r="P48" i="38"/>
  <c r="U50" i="38"/>
  <c r="P51" i="38"/>
  <c r="U51" i="38"/>
  <c r="U56" i="38"/>
  <c r="P83" i="38"/>
  <c r="U85" i="38"/>
  <c r="P86" i="38"/>
  <c r="U86" i="38"/>
  <c r="U91" i="38"/>
  <c r="U13" i="38"/>
  <c r="U60" i="38"/>
  <c r="U59" i="38"/>
  <c r="U61" i="38"/>
  <c r="U63" i="38"/>
  <c r="U94" i="38"/>
  <c r="U96" i="38"/>
  <c r="U98" i="38"/>
  <c r="U14" i="38"/>
  <c r="U64" i="38"/>
  <c r="U99" i="38"/>
  <c r="U119" i="38"/>
  <c r="U135" i="38"/>
  <c r="U134" i="38"/>
  <c r="U15" i="38"/>
  <c r="U16" i="38"/>
  <c r="U71" i="38"/>
  <c r="U107" i="38"/>
  <c r="U106" i="38"/>
  <c r="U18" i="38"/>
  <c r="U68" i="38"/>
  <c r="U74" i="38"/>
  <c r="U73" i="38"/>
  <c r="U109" i="38"/>
  <c r="U103" i="38"/>
  <c r="U108" i="38"/>
  <c r="U124" i="38"/>
  <c r="U123" i="38"/>
  <c r="U137" i="38"/>
  <c r="U19" i="38"/>
  <c r="T263" i="38"/>
  <c r="T195" i="38"/>
  <c r="U239" i="38"/>
  <c r="U245" i="38"/>
  <c r="U75" i="38"/>
  <c r="U110" i="38"/>
  <c r="U125" i="38"/>
  <c r="U138" i="38"/>
  <c r="U20" i="38"/>
  <c r="U77" i="38"/>
  <c r="U76" i="38"/>
  <c r="U112" i="38"/>
  <c r="U111" i="38"/>
  <c r="U127" i="38"/>
  <c r="U126" i="38"/>
  <c r="U139" i="38"/>
  <c r="U21" i="38"/>
  <c r="U140" i="38"/>
  <c r="U22" i="38"/>
  <c r="U105" i="38"/>
  <c r="U104" i="38"/>
  <c r="U122" i="38"/>
  <c r="U121" i="38"/>
  <c r="U136" i="38"/>
  <c r="U115" i="38"/>
  <c r="U130" i="38"/>
  <c r="U24" i="38"/>
  <c r="U172" i="38"/>
  <c r="U176" i="38"/>
  <c r="U177" i="38"/>
  <c r="U179" i="38"/>
  <c r="U26" i="38"/>
  <c r="T209" i="38"/>
  <c r="T212" i="38"/>
  <c r="T267" i="38"/>
  <c r="T43" i="38"/>
  <c r="T160" i="38"/>
  <c r="T38" i="38"/>
  <c r="T271" i="38"/>
  <c r="T272" i="38"/>
  <c r="T291" i="38"/>
  <c r="T250" i="38"/>
  <c r="T273" i="38"/>
  <c r="T275" i="38"/>
  <c r="T234" i="38"/>
  <c r="T218" i="38"/>
  <c r="T220" i="38"/>
  <c r="T221" i="38"/>
  <c r="J232" i="38"/>
  <c r="O232" i="38"/>
  <c r="T232" i="38"/>
  <c r="T204" i="38"/>
  <c r="T205" i="38"/>
  <c r="T206" i="38"/>
  <c r="T207" i="38"/>
  <c r="T208" i="38"/>
  <c r="T213" i="38"/>
  <c r="T214" i="38"/>
  <c r="T215" i="38"/>
  <c r="T235" i="38"/>
  <c r="T194" i="38"/>
  <c r="T196" i="38"/>
  <c r="T199" i="38"/>
  <c r="T200" i="38"/>
  <c r="T238" i="38"/>
  <c r="T197" i="38"/>
  <c r="T246" i="38"/>
  <c r="T247" i="38"/>
  <c r="T248" i="38"/>
  <c r="T249" i="38"/>
  <c r="O228" i="38"/>
  <c r="T228" i="38"/>
  <c r="T189" i="38"/>
  <c r="T253" i="38"/>
  <c r="O230" i="38"/>
  <c r="T230" i="38"/>
  <c r="T191" i="38"/>
  <c r="T255" i="38"/>
  <c r="T257" i="38"/>
  <c r="T258" i="38"/>
  <c r="T259" i="38"/>
  <c r="U154" i="38"/>
  <c r="U155" i="38"/>
  <c r="U30" i="38"/>
  <c r="U153" i="38"/>
  <c r="U34" i="38"/>
  <c r="U182" i="38"/>
  <c r="U181" i="38"/>
  <c r="U36" i="38"/>
  <c r="U161" i="38"/>
  <c r="U162" i="38"/>
  <c r="U164" i="38"/>
  <c r="U39" i="38"/>
  <c r="C302" i="38"/>
  <c r="C6" i="38"/>
  <c r="Q48" i="38"/>
  <c r="S49" i="38"/>
  <c r="S48" i="38"/>
  <c r="T49" i="38"/>
  <c r="T48" i="38"/>
  <c r="U49" i="38"/>
  <c r="U48" i="38"/>
  <c r="V49" i="38"/>
  <c r="V48" i="38"/>
  <c r="X49" i="38"/>
  <c r="X48" i="38"/>
  <c r="Y49" i="38"/>
  <c r="Y48" i="38"/>
  <c r="Z49" i="38"/>
  <c r="Z48" i="38"/>
  <c r="AA49" i="38"/>
  <c r="AA48" i="38"/>
  <c r="AC49" i="38"/>
  <c r="AC48" i="38"/>
  <c r="AD49" i="38"/>
  <c r="AD48" i="38"/>
  <c r="AE49" i="38"/>
  <c r="AE48" i="38"/>
  <c r="AF49" i="38"/>
  <c r="AF48" i="38"/>
  <c r="AH49" i="38"/>
  <c r="AH48" i="38"/>
  <c r="AI49" i="38"/>
  <c r="AI48" i="38"/>
  <c r="AJ49" i="38"/>
  <c r="AJ48" i="38"/>
  <c r="AK49" i="38"/>
  <c r="AK48" i="38"/>
  <c r="AM49" i="38"/>
  <c r="AM48" i="38"/>
  <c r="AM50" i="38"/>
  <c r="AC55" i="38"/>
  <c r="AD55" i="38"/>
  <c r="AE55" i="38"/>
  <c r="AF55" i="38"/>
  <c r="AH55" i="38"/>
  <c r="AI55" i="38"/>
  <c r="AJ55" i="38"/>
  <c r="AK55" i="38"/>
  <c r="AM55" i="38"/>
  <c r="Q83" i="38"/>
  <c r="S83" i="38"/>
  <c r="T83" i="38"/>
  <c r="U83" i="38"/>
  <c r="V83" i="38"/>
  <c r="X84" i="38"/>
  <c r="X83" i="38"/>
  <c r="Y84" i="38"/>
  <c r="Y83" i="38"/>
  <c r="Z84" i="38"/>
  <c r="Z83" i="38"/>
  <c r="AA84" i="38"/>
  <c r="AA83" i="38"/>
  <c r="AC84" i="38"/>
  <c r="AC83" i="38"/>
  <c r="AD84" i="38"/>
  <c r="AD83" i="38"/>
  <c r="AE84" i="38"/>
  <c r="AE83" i="38"/>
  <c r="AF84" i="38"/>
  <c r="AF83" i="38"/>
  <c r="AH84" i="38"/>
  <c r="AH83" i="38"/>
  <c r="AM85" i="38"/>
  <c r="X86" i="38"/>
  <c r="AC86" i="38"/>
  <c r="AH86" i="38"/>
  <c r="AM86" i="38"/>
  <c r="AC90" i="38"/>
  <c r="AD90" i="38"/>
  <c r="AE90" i="38"/>
  <c r="AF90" i="38"/>
  <c r="AH90" i="38"/>
  <c r="AI90" i="38"/>
  <c r="AJ90" i="38"/>
  <c r="AK90" i="38"/>
  <c r="AM90" i="38"/>
  <c r="AM91" i="38"/>
  <c r="AN49" i="38"/>
  <c r="AN48" i="38"/>
  <c r="AN50" i="38"/>
  <c r="AN55" i="38"/>
  <c r="AI84" i="38"/>
  <c r="AI83" i="38"/>
  <c r="AN85" i="38"/>
  <c r="Y86" i="38"/>
  <c r="AD86" i="38"/>
  <c r="AI86" i="38"/>
  <c r="AN86" i="38"/>
  <c r="AN90" i="38"/>
  <c r="AN91" i="38"/>
  <c r="AO49" i="38"/>
  <c r="AO48" i="38"/>
  <c r="AO50" i="38"/>
  <c r="Z51" i="38"/>
  <c r="AE51" i="38"/>
  <c r="AJ51" i="38"/>
  <c r="AO51" i="38"/>
  <c r="AO55" i="38"/>
  <c r="AO56" i="38"/>
  <c r="AJ84" i="38"/>
  <c r="AJ83" i="38"/>
  <c r="AO85" i="38"/>
  <c r="Z86" i="38"/>
  <c r="AE86" i="38"/>
  <c r="AJ86" i="38"/>
  <c r="AO86" i="38"/>
  <c r="AO90" i="38"/>
  <c r="AO91" i="38"/>
  <c r="AO13" i="38"/>
  <c r="AP49" i="38"/>
  <c r="AP48" i="38"/>
  <c r="AP50" i="38"/>
  <c r="V51" i="38"/>
  <c r="AA51" i="38"/>
  <c r="AP55" i="38"/>
  <c r="AK84" i="38"/>
  <c r="AK83" i="38"/>
  <c r="AP85" i="38"/>
  <c r="V86" i="38"/>
  <c r="AA86" i="38"/>
  <c r="AF86" i="38"/>
  <c r="AK86" i="38"/>
  <c r="AP86" i="38"/>
  <c r="AP90" i="38"/>
  <c r="AP91" i="38"/>
  <c r="V60" i="38"/>
  <c r="V59" i="38"/>
  <c r="X60" i="38"/>
  <c r="X59" i="38"/>
  <c r="Y60" i="38"/>
  <c r="Y59" i="38"/>
  <c r="Z60" i="38"/>
  <c r="Z59" i="38"/>
  <c r="AA60" i="38"/>
  <c r="AA59" i="38"/>
  <c r="AC60" i="38"/>
  <c r="AC59" i="38"/>
  <c r="AD60" i="38"/>
  <c r="AD59" i="38"/>
  <c r="AE60" i="38"/>
  <c r="AE59" i="38"/>
  <c r="AF60" i="38"/>
  <c r="AF59" i="38"/>
  <c r="AH60" i="38"/>
  <c r="AH59" i="38"/>
  <c r="AI60" i="38"/>
  <c r="AI59" i="38"/>
  <c r="AJ60" i="38"/>
  <c r="AJ59" i="38"/>
  <c r="AK60" i="38"/>
  <c r="AK59" i="38"/>
  <c r="AM60" i="38"/>
  <c r="AM59" i="38"/>
  <c r="AM61" i="38"/>
  <c r="X62" i="38"/>
  <c r="AC62" i="38"/>
  <c r="AH62" i="38"/>
  <c r="AM62" i="38"/>
  <c r="AM63" i="38"/>
  <c r="V94" i="38"/>
  <c r="X95" i="38"/>
  <c r="X94" i="38"/>
  <c r="Y95" i="38"/>
  <c r="Y94" i="38"/>
  <c r="Z95" i="38"/>
  <c r="Z94" i="38"/>
  <c r="AA95" i="38"/>
  <c r="AA94" i="38"/>
  <c r="AC95" i="38"/>
  <c r="AC94" i="38"/>
  <c r="AD95" i="38"/>
  <c r="AD94" i="38"/>
  <c r="AE95" i="38"/>
  <c r="AE94" i="38"/>
  <c r="AF95" i="38"/>
  <c r="AF94" i="38"/>
  <c r="AH95" i="38"/>
  <c r="AH94" i="38"/>
  <c r="AI95" i="38"/>
  <c r="AI94" i="38"/>
  <c r="AJ95" i="38"/>
  <c r="AJ94" i="38"/>
  <c r="AK95" i="38"/>
  <c r="AK94" i="38"/>
  <c r="AM95" i="38"/>
  <c r="AM94" i="38"/>
  <c r="AM96" i="38"/>
  <c r="X97" i="38"/>
  <c r="AC97" i="38"/>
  <c r="AH97" i="38"/>
  <c r="AM97" i="38"/>
  <c r="AM98" i="38"/>
  <c r="AM14" i="38"/>
  <c r="AN60" i="38"/>
  <c r="AN59" i="38"/>
  <c r="AN61" i="38"/>
  <c r="Y62" i="38"/>
  <c r="AD62" i="38"/>
  <c r="AI62" i="38"/>
  <c r="AN62" i="38"/>
  <c r="AN63" i="38"/>
  <c r="AN95" i="38"/>
  <c r="AN94" i="38"/>
  <c r="AN96" i="38"/>
  <c r="Y97" i="38"/>
  <c r="AD97" i="38"/>
  <c r="AI97" i="38"/>
  <c r="AN97" i="38"/>
  <c r="AN98" i="38"/>
  <c r="AN14" i="38"/>
  <c r="AO60" i="38"/>
  <c r="AO59" i="38"/>
  <c r="AO61" i="38"/>
  <c r="Z62" i="38"/>
  <c r="AE62" i="38"/>
  <c r="AJ62" i="38"/>
  <c r="AO62" i="38"/>
  <c r="AO63" i="38"/>
  <c r="AO95" i="38"/>
  <c r="AO94" i="38"/>
  <c r="AO96" i="38"/>
  <c r="Z97" i="38"/>
  <c r="AE97" i="38"/>
  <c r="AJ97" i="38"/>
  <c r="AO97" i="38"/>
  <c r="AO98" i="38"/>
  <c r="AO14" i="38"/>
  <c r="AP60" i="38"/>
  <c r="AP59" i="38"/>
  <c r="AP61" i="38"/>
  <c r="AA62" i="38"/>
  <c r="AF62" i="38"/>
  <c r="AK62" i="38"/>
  <c r="AP62" i="38"/>
  <c r="AP63" i="38"/>
  <c r="AP95" i="38"/>
  <c r="AP94" i="38"/>
  <c r="AP96" i="38"/>
  <c r="AA97" i="38"/>
  <c r="AF97" i="38"/>
  <c r="AK97" i="38"/>
  <c r="AP97" i="38"/>
  <c r="AP98" i="38"/>
  <c r="AP14" i="38"/>
  <c r="AQ14" i="38"/>
  <c r="X64" i="38"/>
  <c r="AC64" i="38"/>
  <c r="AH64" i="38"/>
  <c r="AM64" i="38"/>
  <c r="X99" i="38"/>
  <c r="AC99" i="38"/>
  <c r="AH99" i="38"/>
  <c r="AM99" i="38"/>
  <c r="X119" i="38"/>
  <c r="AC119" i="38"/>
  <c r="AH119" i="38"/>
  <c r="AM119" i="38"/>
  <c r="V135" i="38"/>
  <c r="X135" i="38"/>
  <c r="X134" i="38"/>
  <c r="Y135" i="38"/>
  <c r="Z135" i="38"/>
  <c r="AA135" i="38"/>
  <c r="AC135" i="38"/>
  <c r="AC134" i="38"/>
  <c r="AD135" i="38"/>
  <c r="AE135" i="38"/>
  <c r="AF135" i="38"/>
  <c r="AH135" i="38"/>
  <c r="AH134" i="38"/>
  <c r="AI135" i="38"/>
  <c r="AJ135" i="38"/>
  <c r="AK135" i="38"/>
  <c r="AM135" i="38"/>
  <c r="AM134" i="38"/>
  <c r="AM15" i="38"/>
  <c r="Y64" i="38"/>
  <c r="AD64" i="38"/>
  <c r="AI64" i="38"/>
  <c r="AN64" i="38"/>
  <c r="Y99" i="38"/>
  <c r="AD99" i="38"/>
  <c r="AI99" i="38"/>
  <c r="AN99" i="38"/>
  <c r="Y119" i="38"/>
  <c r="AD119" i="38"/>
  <c r="AI119" i="38"/>
  <c r="AN119" i="38"/>
  <c r="Y134" i="38"/>
  <c r="AD134" i="38"/>
  <c r="AI134" i="38"/>
  <c r="AN135" i="38"/>
  <c r="AN134" i="38"/>
  <c r="AN15" i="38"/>
  <c r="Z64" i="38"/>
  <c r="AE64" i="38"/>
  <c r="AJ64" i="38"/>
  <c r="AO64" i="38"/>
  <c r="Z99" i="38"/>
  <c r="AE99" i="38"/>
  <c r="AJ99" i="38"/>
  <c r="AO99" i="38"/>
  <c r="Z119" i="38"/>
  <c r="AE119" i="38"/>
  <c r="AJ119" i="38"/>
  <c r="AO119" i="38"/>
  <c r="Z134" i="38"/>
  <c r="AE134" i="38"/>
  <c r="AJ134" i="38"/>
  <c r="AO135" i="38"/>
  <c r="AO134" i="38"/>
  <c r="AO15" i="38"/>
  <c r="V64" i="38"/>
  <c r="AA64" i="38"/>
  <c r="AF64" i="38"/>
  <c r="AK64" i="38"/>
  <c r="AP64" i="38"/>
  <c r="V99" i="38"/>
  <c r="AA99" i="38"/>
  <c r="AF99" i="38"/>
  <c r="AK99" i="38"/>
  <c r="AP99" i="38"/>
  <c r="V119" i="38"/>
  <c r="AA119" i="38"/>
  <c r="AF119" i="38"/>
  <c r="AK119" i="38"/>
  <c r="AP119" i="38"/>
  <c r="V134" i="38"/>
  <c r="AA134" i="38"/>
  <c r="AF134" i="38"/>
  <c r="AK134" i="38"/>
  <c r="AP135" i="38"/>
  <c r="AP134" i="38"/>
  <c r="AP15" i="38"/>
  <c r="AQ15" i="38"/>
  <c r="X72" i="38"/>
  <c r="Y72" i="38"/>
  <c r="Z72" i="38"/>
  <c r="AA72" i="38"/>
  <c r="AC72" i="38"/>
  <c r="AD72" i="38"/>
  <c r="AE72" i="38"/>
  <c r="AF72" i="38"/>
  <c r="AH72" i="38"/>
  <c r="AI72" i="38"/>
  <c r="AJ72" i="38"/>
  <c r="AK72" i="38"/>
  <c r="AM72" i="38"/>
  <c r="V107" i="38"/>
  <c r="X107" i="38"/>
  <c r="Y107" i="38"/>
  <c r="Z107" i="38"/>
  <c r="AA107" i="38"/>
  <c r="AC107" i="38"/>
  <c r="AD107" i="38"/>
  <c r="AE107" i="38"/>
  <c r="AF107" i="38"/>
  <c r="AH107" i="38"/>
  <c r="AI107" i="38"/>
  <c r="AJ107" i="38"/>
  <c r="AK107" i="38"/>
  <c r="AM107" i="38"/>
  <c r="AM106" i="38"/>
  <c r="AN72" i="38"/>
  <c r="AN107" i="38"/>
  <c r="AN106" i="38"/>
  <c r="AO72" i="38"/>
  <c r="AO71" i="38"/>
  <c r="AO107" i="38"/>
  <c r="AO106" i="38"/>
  <c r="AO18" i="38"/>
  <c r="AP72" i="38"/>
  <c r="AP107" i="38"/>
  <c r="AP106" i="38"/>
  <c r="V74" i="38"/>
  <c r="X74" i="38"/>
  <c r="Y74" i="38"/>
  <c r="Z74" i="38"/>
  <c r="AA74" i="38"/>
  <c r="AC74" i="38"/>
  <c r="AD74" i="38"/>
  <c r="AE74" i="38"/>
  <c r="AF74" i="38"/>
  <c r="AH74" i="38"/>
  <c r="AI74" i="38"/>
  <c r="AJ74" i="38"/>
  <c r="AK74" i="38"/>
  <c r="AM74" i="38"/>
  <c r="V109" i="38"/>
  <c r="X109" i="38"/>
  <c r="Y109" i="38"/>
  <c r="Z109" i="38"/>
  <c r="AA109" i="38"/>
  <c r="AC109" i="38"/>
  <c r="AD109" i="38"/>
  <c r="AE109" i="38"/>
  <c r="AF109" i="38"/>
  <c r="AH109" i="38"/>
  <c r="AI109" i="38"/>
  <c r="AJ109" i="38"/>
  <c r="AK109" i="38"/>
  <c r="AM109" i="38"/>
  <c r="AM103" i="38"/>
  <c r="AM108" i="38"/>
  <c r="V124" i="38"/>
  <c r="X124" i="38"/>
  <c r="Y124" i="38"/>
  <c r="Z124" i="38"/>
  <c r="AA124" i="38"/>
  <c r="AC124" i="38"/>
  <c r="AD124" i="38"/>
  <c r="AE124" i="38"/>
  <c r="AF124" i="38"/>
  <c r="AH124" i="38"/>
  <c r="AI124" i="38"/>
  <c r="AJ124" i="38"/>
  <c r="AK124" i="38"/>
  <c r="AM124" i="38"/>
  <c r="AM123" i="38"/>
  <c r="V137" i="38"/>
  <c r="X137" i="38"/>
  <c r="Y137" i="38"/>
  <c r="Z137" i="38"/>
  <c r="AA137" i="38"/>
  <c r="AC137" i="38"/>
  <c r="AD137" i="38"/>
  <c r="AE137" i="38"/>
  <c r="AF137" i="38"/>
  <c r="AH137" i="38"/>
  <c r="AI137" i="38"/>
  <c r="AJ137" i="38"/>
  <c r="AK137" i="38"/>
  <c r="AM137" i="38"/>
  <c r="AN74" i="38"/>
  <c r="AN109" i="38"/>
  <c r="AN103" i="38"/>
  <c r="AN108" i="38"/>
  <c r="AN124" i="38"/>
  <c r="AN123" i="38"/>
  <c r="AN137" i="38"/>
  <c r="AO68" i="38"/>
  <c r="AO74" i="38"/>
  <c r="AO73" i="38"/>
  <c r="AO109" i="38"/>
  <c r="AO103" i="38"/>
  <c r="AO108" i="38"/>
  <c r="AO124" i="38"/>
  <c r="AO123" i="38"/>
  <c r="AO137" i="38"/>
  <c r="AO19" i="38"/>
  <c r="AP74" i="38"/>
  <c r="AP109" i="38"/>
  <c r="AP103" i="38"/>
  <c r="AP108" i="38"/>
  <c r="AP124" i="38"/>
  <c r="AP123" i="38"/>
  <c r="AP137" i="38"/>
  <c r="U263" i="38"/>
  <c r="U195" i="38"/>
  <c r="V239" i="38"/>
  <c r="V245" i="38"/>
  <c r="V75" i="38"/>
  <c r="V110" i="38"/>
  <c r="V125" i="38"/>
  <c r="V138" i="38"/>
  <c r="V50" i="38"/>
  <c r="V56" i="38"/>
  <c r="V85" i="38"/>
  <c r="V91" i="38"/>
  <c r="V13" i="38"/>
  <c r="V61" i="38"/>
  <c r="V63" i="38"/>
  <c r="V96" i="38"/>
  <c r="V98" i="38"/>
  <c r="V14" i="38"/>
  <c r="V15" i="38"/>
  <c r="V16" i="38"/>
  <c r="V263" i="38"/>
  <c r="V195" i="38"/>
  <c r="W195" i="38"/>
  <c r="X239" i="38"/>
  <c r="X245" i="38"/>
  <c r="X75" i="38"/>
  <c r="X110" i="38"/>
  <c r="X125" i="38"/>
  <c r="X138" i="38"/>
  <c r="X50" i="38"/>
  <c r="X85" i="38"/>
  <c r="X91" i="38"/>
  <c r="X61" i="38"/>
  <c r="X63" i="38"/>
  <c r="X96" i="38"/>
  <c r="X98" i="38"/>
  <c r="X14" i="38"/>
  <c r="X15" i="38"/>
  <c r="Y239" i="38"/>
  <c r="Y50" i="38"/>
  <c r="Y85" i="38"/>
  <c r="Y91" i="38"/>
  <c r="Y61" i="38"/>
  <c r="Y63" i="38"/>
  <c r="Y96" i="38"/>
  <c r="Y98" i="38"/>
  <c r="Y14" i="38"/>
  <c r="Y15" i="38"/>
  <c r="Z239" i="38"/>
  <c r="Z50" i="38"/>
  <c r="Z56" i="38"/>
  <c r="Z85" i="38"/>
  <c r="Z91" i="38"/>
  <c r="Z13" i="38"/>
  <c r="Z61" i="38"/>
  <c r="Z63" i="38"/>
  <c r="Z96" i="38"/>
  <c r="Z98" i="38"/>
  <c r="Z14" i="38"/>
  <c r="Z15" i="38"/>
  <c r="Z16" i="38"/>
  <c r="Z263" i="38"/>
  <c r="AA239" i="38"/>
  <c r="AA50" i="38"/>
  <c r="AA56" i="38"/>
  <c r="AA85" i="38"/>
  <c r="AA91" i="38"/>
  <c r="AA13" i="38"/>
  <c r="AA61" i="38"/>
  <c r="AA63" i="38"/>
  <c r="AA96" i="38"/>
  <c r="AA98" i="38"/>
  <c r="AA14" i="38"/>
  <c r="AA15" i="38"/>
  <c r="AA16" i="38"/>
  <c r="AA263" i="38"/>
  <c r="AC239" i="38"/>
  <c r="AC50" i="38"/>
  <c r="AC85" i="38"/>
  <c r="AC91" i="38"/>
  <c r="AC61" i="38"/>
  <c r="AC63" i="38"/>
  <c r="AC96" i="38"/>
  <c r="AC98" i="38"/>
  <c r="AC14" i="38"/>
  <c r="AC15" i="38"/>
  <c r="AD239" i="38"/>
  <c r="AD50" i="38"/>
  <c r="AD85" i="38"/>
  <c r="AD91" i="38"/>
  <c r="AD61" i="38"/>
  <c r="AD63" i="38"/>
  <c r="AD96" i="38"/>
  <c r="AD98" i="38"/>
  <c r="AD14" i="38"/>
  <c r="AD15" i="38"/>
  <c r="AE239" i="38"/>
  <c r="AE50" i="38"/>
  <c r="AE56" i="38"/>
  <c r="AE85" i="38"/>
  <c r="AE91" i="38"/>
  <c r="AE13" i="38"/>
  <c r="AE61" i="38"/>
  <c r="AE63" i="38"/>
  <c r="AE96" i="38"/>
  <c r="AE98" i="38"/>
  <c r="AE14" i="38"/>
  <c r="AE15" i="38"/>
  <c r="AE16" i="38"/>
  <c r="AE263" i="38"/>
  <c r="AF239" i="38"/>
  <c r="AF50" i="38"/>
  <c r="AF85" i="38"/>
  <c r="AF91" i="38"/>
  <c r="AF61" i="38"/>
  <c r="AF63" i="38"/>
  <c r="AF96" i="38"/>
  <c r="AF98" i="38"/>
  <c r="AF14" i="38"/>
  <c r="AF15" i="38"/>
  <c r="AH239" i="38"/>
  <c r="AH50" i="38"/>
  <c r="AH85" i="38"/>
  <c r="AH91" i="38"/>
  <c r="AH61" i="38"/>
  <c r="AH63" i="38"/>
  <c r="AH96" i="38"/>
  <c r="AH98" i="38"/>
  <c r="AH14" i="38"/>
  <c r="AH15" i="38"/>
  <c r="AH294" i="38"/>
  <c r="AI239" i="38"/>
  <c r="AI50" i="38"/>
  <c r="AI85" i="38"/>
  <c r="AI91" i="38"/>
  <c r="AI61" i="38"/>
  <c r="AI63" i="38"/>
  <c r="AI96" i="38"/>
  <c r="AI98" i="38"/>
  <c r="AI14" i="38"/>
  <c r="AI15" i="38"/>
  <c r="AI294" i="38"/>
  <c r="AJ239" i="38"/>
  <c r="AJ50" i="38"/>
  <c r="AJ56" i="38"/>
  <c r="AJ85" i="38"/>
  <c r="AJ91" i="38"/>
  <c r="AJ13" i="38"/>
  <c r="AJ61" i="38"/>
  <c r="AJ63" i="38"/>
  <c r="AJ96" i="38"/>
  <c r="AJ98" i="38"/>
  <c r="AJ14" i="38"/>
  <c r="AJ15" i="38"/>
  <c r="AJ16" i="38"/>
  <c r="AJ294" i="38"/>
  <c r="AJ263" i="38"/>
  <c r="AK239" i="38"/>
  <c r="AK50" i="38"/>
  <c r="AK85" i="38"/>
  <c r="AK91" i="38"/>
  <c r="AK61" i="38"/>
  <c r="AK63" i="38"/>
  <c r="AK96" i="38"/>
  <c r="AK98" i="38"/>
  <c r="AK14" i="38"/>
  <c r="AK15" i="38"/>
  <c r="AK294" i="38"/>
  <c r="AM239" i="38"/>
  <c r="AM294" i="38"/>
  <c r="AN239" i="38"/>
  <c r="AN294" i="38"/>
  <c r="AO239" i="38"/>
  <c r="AO16" i="38"/>
  <c r="AO294" i="38"/>
  <c r="AO263" i="38"/>
  <c r="AP239" i="38"/>
  <c r="R76" i="38"/>
  <c r="R68" i="38"/>
  <c r="R77" i="38"/>
  <c r="X77" i="38"/>
  <c r="Y77" i="38"/>
  <c r="Z77" i="38"/>
  <c r="AA77" i="38"/>
  <c r="Z68" i="38"/>
  <c r="Z76" i="38"/>
  <c r="AA68" i="38"/>
  <c r="AA76" i="38"/>
  <c r="V77" i="38"/>
  <c r="V68" i="38"/>
  <c r="V76" i="38"/>
  <c r="W76" i="38"/>
  <c r="W68" i="38"/>
  <c r="W77" i="38"/>
  <c r="AC77" i="38"/>
  <c r="AD77" i="38"/>
  <c r="AE77" i="38"/>
  <c r="AF77" i="38"/>
  <c r="AE68" i="38"/>
  <c r="AE76" i="38"/>
  <c r="V112" i="38"/>
  <c r="X112" i="38"/>
  <c r="Y112" i="38"/>
  <c r="Z112" i="38"/>
  <c r="AA112" i="38"/>
  <c r="AC112" i="38"/>
  <c r="AD112" i="38"/>
  <c r="AE112" i="38"/>
  <c r="AF112" i="38"/>
  <c r="AH112" i="38"/>
  <c r="AI112" i="38"/>
  <c r="AJ112" i="38"/>
  <c r="AK112" i="38"/>
  <c r="AM112" i="38"/>
  <c r="AM111" i="38"/>
  <c r="V127" i="38"/>
  <c r="X127" i="38"/>
  <c r="Y127" i="38"/>
  <c r="Z127" i="38"/>
  <c r="AA127" i="38"/>
  <c r="AC127" i="38"/>
  <c r="AD127" i="38"/>
  <c r="AE127" i="38"/>
  <c r="AF127" i="38"/>
  <c r="AH127" i="38"/>
  <c r="AI127" i="38"/>
  <c r="AJ127" i="38"/>
  <c r="AK127" i="38"/>
  <c r="AM127" i="38"/>
  <c r="AM126" i="38"/>
  <c r="V139" i="38"/>
  <c r="X139" i="38"/>
  <c r="Y139" i="38"/>
  <c r="Z139" i="38"/>
  <c r="AA139" i="38"/>
  <c r="AC139" i="38"/>
  <c r="AD139" i="38"/>
  <c r="AE139" i="38"/>
  <c r="AF139" i="38"/>
  <c r="AH139" i="38"/>
  <c r="AI139" i="38"/>
  <c r="AJ139" i="38"/>
  <c r="AK139" i="38"/>
  <c r="AM139" i="38"/>
  <c r="AN112" i="38"/>
  <c r="AN111" i="38"/>
  <c r="AN127" i="38"/>
  <c r="AN126" i="38"/>
  <c r="AN139" i="38"/>
  <c r="AO112" i="38"/>
  <c r="AO111" i="38"/>
  <c r="AO127" i="38"/>
  <c r="AO126" i="38"/>
  <c r="AO139" i="38"/>
  <c r="AP112" i="38"/>
  <c r="AP111" i="38"/>
  <c r="AP127" i="38"/>
  <c r="AP126" i="38"/>
  <c r="AP139" i="38"/>
  <c r="V140" i="38"/>
  <c r="X140" i="38"/>
  <c r="Y140" i="38"/>
  <c r="Z140" i="38"/>
  <c r="AA140" i="38"/>
  <c r="AC140" i="38"/>
  <c r="AD140" i="38"/>
  <c r="AE140" i="38"/>
  <c r="AF140" i="38"/>
  <c r="AH140" i="38"/>
  <c r="AI140" i="38"/>
  <c r="AJ140" i="38"/>
  <c r="AK140" i="38"/>
  <c r="AM140" i="38"/>
  <c r="AM22" i="38"/>
  <c r="AN140" i="38"/>
  <c r="AN22" i="38"/>
  <c r="AO140" i="38"/>
  <c r="AO22" i="38"/>
  <c r="AP140" i="38"/>
  <c r="AP22" i="38"/>
  <c r="AQ22" i="38"/>
  <c r="V105" i="38"/>
  <c r="X105" i="38"/>
  <c r="Y105" i="38"/>
  <c r="Z105" i="38"/>
  <c r="AA105" i="38"/>
  <c r="AC105" i="38"/>
  <c r="AD105" i="38"/>
  <c r="AE105" i="38"/>
  <c r="AF105" i="38"/>
  <c r="AH105" i="38"/>
  <c r="AI105" i="38"/>
  <c r="AJ105" i="38"/>
  <c r="AK105" i="38"/>
  <c r="AM105" i="38"/>
  <c r="AM104" i="38"/>
  <c r="V122" i="38"/>
  <c r="X122" i="38"/>
  <c r="Y122" i="38"/>
  <c r="Z122" i="38"/>
  <c r="AA122" i="38"/>
  <c r="AC122" i="38"/>
  <c r="AD122" i="38"/>
  <c r="AE122" i="38"/>
  <c r="AF122" i="38"/>
  <c r="AH122" i="38"/>
  <c r="AI122" i="38"/>
  <c r="AJ122" i="38"/>
  <c r="AK122" i="38"/>
  <c r="AM122" i="38"/>
  <c r="AM121" i="38"/>
  <c r="V136" i="38"/>
  <c r="X136" i="38"/>
  <c r="Y136" i="38"/>
  <c r="Z136" i="38"/>
  <c r="AA136" i="38"/>
  <c r="AC136" i="38"/>
  <c r="AD136" i="38"/>
  <c r="AE136" i="38"/>
  <c r="AF136" i="38"/>
  <c r="AH136" i="38"/>
  <c r="AI136" i="38"/>
  <c r="AJ136" i="38"/>
  <c r="AK136" i="38"/>
  <c r="AM136" i="38"/>
  <c r="AN105" i="38"/>
  <c r="AN104" i="38"/>
  <c r="AN122" i="38"/>
  <c r="AN121" i="38"/>
  <c r="AN136" i="38"/>
  <c r="AO105" i="38"/>
  <c r="AO104" i="38"/>
  <c r="AO122" i="38"/>
  <c r="AO121" i="38"/>
  <c r="AO136" i="38"/>
  <c r="AP105" i="38"/>
  <c r="AP104" i="38"/>
  <c r="AP122" i="38"/>
  <c r="AP121" i="38"/>
  <c r="AP136" i="38"/>
  <c r="V115" i="38"/>
  <c r="X115" i="38"/>
  <c r="Y115" i="38"/>
  <c r="Z115" i="38"/>
  <c r="AA115" i="38"/>
  <c r="AC115" i="38"/>
  <c r="AD115" i="38"/>
  <c r="AE115" i="38"/>
  <c r="AF115" i="38"/>
  <c r="AH115" i="38"/>
  <c r="AI115" i="38"/>
  <c r="AJ115" i="38"/>
  <c r="AK115" i="38"/>
  <c r="AM115" i="38"/>
  <c r="V130" i="38"/>
  <c r="X130" i="38"/>
  <c r="Y130" i="38"/>
  <c r="Z130" i="38"/>
  <c r="AA130" i="38"/>
  <c r="AC130" i="38"/>
  <c r="AD130" i="38"/>
  <c r="AE130" i="38"/>
  <c r="AF130" i="38"/>
  <c r="AH130" i="38"/>
  <c r="AI130" i="38"/>
  <c r="AJ130" i="38"/>
  <c r="AK130" i="38"/>
  <c r="AM130" i="38"/>
  <c r="AM24" i="38"/>
  <c r="AN115" i="38"/>
  <c r="AN130" i="38"/>
  <c r="AN24" i="38"/>
  <c r="AO115" i="38"/>
  <c r="AO130" i="38"/>
  <c r="AO24" i="38"/>
  <c r="AP115" i="38"/>
  <c r="AP130" i="38"/>
  <c r="AP24" i="38"/>
  <c r="AQ24" i="38"/>
  <c r="U209" i="38"/>
  <c r="U212" i="38"/>
  <c r="U267" i="38"/>
  <c r="V209" i="38"/>
  <c r="V212" i="38"/>
  <c r="V267" i="38"/>
  <c r="W267" i="38"/>
  <c r="W268" i="38"/>
  <c r="W269" i="38"/>
  <c r="W270" i="38"/>
  <c r="U43" i="38"/>
  <c r="U160" i="38"/>
  <c r="U38" i="38"/>
  <c r="U271" i="38"/>
  <c r="V43" i="38"/>
  <c r="V160" i="38"/>
  <c r="V162" i="38"/>
  <c r="V164" i="38"/>
  <c r="V38" i="38"/>
  <c r="V271" i="38"/>
  <c r="W271" i="38"/>
  <c r="U272" i="38"/>
  <c r="V272" i="38"/>
  <c r="W272" i="38"/>
  <c r="U291" i="38"/>
  <c r="U250" i="38"/>
  <c r="U273" i="38"/>
  <c r="V291" i="38"/>
  <c r="V250" i="38"/>
  <c r="V273" i="38"/>
  <c r="W273" i="38"/>
  <c r="W274" i="38"/>
  <c r="W275" i="38"/>
  <c r="U234" i="38"/>
  <c r="U218" i="38"/>
  <c r="U220" i="38"/>
  <c r="U221" i="38"/>
  <c r="K232" i="38"/>
  <c r="P232" i="38"/>
  <c r="U232" i="38"/>
  <c r="U204" i="38"/>
  <c r="U205" i="38"/>
  <c r="U206" i="38"/>
  <c r="U207" i="38"/>
  <c r="U208" i="38"/>
  <c r="U213" i="38"/>
  <c r="U214" i="38"/>
  <c r="U215" i="38"/>
  <c r="U235" i="38"/>
  <c r="V234" i="38"/>
  <c r="V218" i="38"/>
  <c r="V71" i="38"/>
  <c r="V106" i="38"/>
  <c r="V18" i="38"/>
  <c r="V73" i="38"/>
  <c r="V103" i="38"/>
  <c r="V108" i="38"/>
  <c r="V123" i="38"/>
  <c r="V19" i="38"/>
  <c r="V20" i="38"/>
  <c r="V111" i="38"/>
  <c r="V126" i="38"/>
  <c r="V21" i="38"/>
  <c r="V22" i="38"/>
  <c r="V104" i="38"/>
  <c r="V121" i="38"/>
  <c r="V24" i="38"/>
  <c r="U275" i="38"/>
  <c r="U194" i="38"/>
  <c r="U196" i="38"/>
  <c r="U199" i="38"/>
  <c r="U200" i="38"/>
  <c r="U238" i="38"/>
  <c r="U197" i="38"/>
  <c r="U246" i="38"/>
  <c r="U247" i="38"/>
  <c r="U248" i="38"/>
  <c r="U249" i="38"/>
  <c r="P228" i="38"/>
  <c r="U228" i="38"/>
  <c r="U189" i="38"/>
  <c r="U253" i="38"/>
  <c r="P230" i="38"/>
  <c r="U230" i="38"/>
  <c r="U191" i="38"/>
  <c r="U255" i="38"/>
  <c r="U257" i="38"/>
  <c r="U258" i="38"/>
  <c r="U259" i="38"/>
  <c r="V154" i="38"/>
  <c r="V155" i="38"/>
  <c r="V30" i="38"/>
  <c r="V153" i="38"/>
  <c r="V220" i="38"/>
  <c r="V221" i="38"/>
  <c r="V232" i="38"/>
  <c r="V205" i="38"/>
  <c r="V206" i="38"/>
  <c r="V207" i="38"/>
  <c r="V208" i="38"/>
  <c r="V213" i="38"/>
  <c r="V214" i="38"/>
  <c r="V215" i="38"/>
  <c r="V235" i="38"/>
  <c r="W263" i="38"/>
  <c r="V194" i="38"/>
  <c r="V196" i="38"/>
  <c r="V199" i="38"/>
  <c r="V200" i="38"/>
  <c r="W13" i="38"/>
  <c r="W14" i="38"/>
  <c r="W15" i="38"/>
  <c r="W16" i="38"/>
  <c r="W18" i="38"/>
  <c r="W19" i="38"/>
  <c r="W20" i="38"/>
  <c r="W21" i="38"/>
  <c r="W22" i="38"/>
  <c r="W24" i="38"/>
  <c r="W30" i="38"/>
  <c r="W28" i="38"/>
  <c r="W245" i="38"/>
  <c r="V238" i="38"/>
  <c r="V197" i="38"/>
  <c r="V246" i="38"/>
  <c r="W246" i="38"/>
  <c r="V247" i="38"/>
  <c r="W247" i="38"/>
  <c r="V248" i="38"/>
  <c r="W248" i="38"/>
  <c r="V249" i="38"/>
  <c r="W249" i="38"/>
  <c r="W250" i="38"/>
  <c r="W251" i="38"/>
  <c r="V228" i="38"/>
  <c r="V189" i="38"/>
  <c r="V253" i="38"/>
  <c r="W253" i="38"/>
  <c r="V230" i="38"/>
  <c r="V191" i="38"/>
  <c r="V255" i="38"/>
  <c r="W255" i="38"/>
  <c r="V257" i="38"/>
  <c r="W257" i="38"/>
  <c r="V258" i="38"/>
  <c r="W258" i="38"/>
  <c r="W276" i="38"/>
  <c r="X209" i="38"/>
  <c r="X212" i="38"/>
  <c r="X267" i="38"/>
  <c r="Y209" i="38"/>
  <c r="Y212" i="38"/>
  <c r="Y267" i="38"/>
  <c r="Z209" i="38"/>
  <c r="Z212" i="38"/>
  <c r="Z267" i="38"/>
  <c r="AA209" i="38"/>
  <c r="AA212" i="38"/>
  <c r="AA267" i="38"/>
  <c r="AB267" i="38"/>
  <c r="AB268" i="38"/>
  <c r="AB269" i="38"/>
  <c r="AB270" i="38"/>
  <c r="X43" i="38"/>
  <c r="X160" i="38"/>
  <c r="X162" i="38"/>
  <c r="X164" i="38"/>
  <c r="X38" i="38"/>
  <c r="X271" i="38"/>
  <c r="Y43" i="38"/>
  <c r="Y160" i="38"/>
  <c r="Y162" i="38"/>
  <c r="Y164" i="38"/>
  <c r="Y38" i="38"/>
  <c r="Y271" i="38"/>
  <c r="Z43" i="38"/>
  <c r="Z160" i="38"/>
  <c r="Z162" i="38"/>
  <c r="Z164" i="38"/>
  <c r="Z38" i="38"/>
  <c r="Z271" i="38"/>
  <c r="AA43" i="38"/>
  <c r="AA160" i="38"/>
  <c r="AA162" i="38"/>
  <c r="AA164" i="38"/>
  <c r="AA38" i="38"/>
  <c r="AA271" i="38"/>
  <c r="AB271" i="38"/>
  <c r="X272" i="38"/>
  <c r="Y272" i="38"/>
  <c r="Z272" i="38"/>
  <c r="AA272" i="38"/>
  <c r="AB272" i="38"/>
  <c r="X291" i="38"/>
  <c r="Y291" i="38"/>
  <c r="Z291" i="38"/>
  <c r="Z250" i="38"/>
  <c r="AA291" i="38"/>
  <c r="AA250" i="38"/>
  <c r="AB274" i="38"/>
  <c r="X234" i="38"/>
  <c r="X106" i="38"/>
  <c r="X103" i="38"/>
  <c r="X108" i="38"/>
  <c r="X123" i="38"/>
  <c r="X20" i="38"/>
  <c r="X111" i="38"/>
  <c r="X126" i="38"/>
  <c r="X22" i="38"/>
  <c r="X104" i="38"/>
  <c r="X121" i="38"/>
  <c r="X24" i="38"/>
  <c r="V275" i="38"/>
  <c r="X154" i="38"/>
  <c r="X155" i="38"/>
  <c r="X30" i="38"/>
  <c r="X153" i="38"/>
  <c r="X220" i="38"/>
  <c r="X221" i="38"/>
  <c r="X232" i="38"/>
  <c r="X205" i="38"/>
  <c r="X206" i="38"/>
  <c r="X207" i="38"/>
  <c r="X208" i="38"/>
  <c r="X213" i="38"/>
  <c r="X214" i="38"/>
  <c r="X215" i="38"/>
  <c r="X235" i="38"/>
  <c r="Y234" i="38"/>
  <c r="Y106" i="38"/>
  <c r="Y103" i="38"/>
  <c r="Y108" i="38"/>
  <c r="Y123" i="38"/>
  <c r="Y111" i="38"/>
  <c r="Y126" i="38"/>
  <c r="Y22" i="38"/>
  <c r="Y104" i="38"/>
  <c r="Y121" i="38"/>
  <c r="Y24" i="38"/>
  <c r="X194" i="38"/>
  <c r="X196" i="38"/>
  <c r="X199" i="38"/>
  <c r="X200" i="38"/>
  <c r="X238" i="38"/>
  <c r="X197" i="38"/>
  <c r="X246" i="38"/>
  <c r="X247" i="38"/>
  <c r="X248" i="38"/>
  <c r="X249" i="38"/>
  <c r="X228" i="38"/>
  <c r="X230" i="38"/>
  <c r="X191" i="38"/>
  <c r="X255" i="38"/>
  <c r="X257" i="38"/>
  <c r="X258" i="38"/>
  <c r="Y154" i="38"/>
  <c r="Y155" i="38"/>
  <c r="Y30" i="38"/>
  <c r="Y153" i="38"/>
  <c r="Y220" i="38"/>
  <c r="Y221" i="38"/>
  <c r="Y232" i="38"/>
  <c r="Y205" i="38"/>
  <c r="Y206" i="38"/>
  <c r="Y207" i="38"/>
  <c r="Y208" i="38"/>
  <c r="Y213" i="38"/>
  <c r="Y214" i="38"/>
  <c r="Y215" i="38"/>
  <c r="Y235" i="38"/>
  <c r="Z234" i="38"/>
  <c r="Z71" i="38"/>
  <c r="Z106" i="38"/>
  <c r="Z18" i="38"/>
  <c r="Z73" i="38"/>
  <c r="Z103" i="38"/>
  <c r="Z108" i="38"/>
  <c r="Z123" i="38"/>
  <c r="Z19" i="38"/>
  <c r="Z111" i="38"/>
  <c r="Z126" i="38"/>
  <c r="Z21" i="38"/>
  <c r="Z22" i="38"/>
  <c r="Z104" i="38"/>
  <c r="Z121" i="38"/>
  <c r="Z24" i="38"/>
  <c r="Y194" i="38"/>
  <c r="Y196" i="38"/>
  <c r="Y199" i="38"/>
  <c r="Y200" i="38"/>
  <c r="Y238" i="38"/>
  <c r="Y197" i="38"/>
  <c r="Y246" i="38"/>
  <c r="Y247" i="38"/>
  <c r="Y248" i="38"/>
  <c r="Y249" i="38"/>
  <c r="Y228" i="38"/>
  <c r="Y230" i="38"/>
  <c r="Y191" i="38"/>
  <c r="Y255" i="38"/>
  <c r="Y257" i="38"/>
  <c r="Y258" i="38"/>
  <c r="Z154" i="38"/>
  <c r="Z155" i="38"/>
  <c r="Z30" i="38"/>
  <c r="Z153" i="38"/>
  <c r="Z220" i="38"/>
  <c r="Z221" i="38"/>
  <c r="Z232" i="38"/>
  <c r="Z205" i="38"/>
  <c r="Z206" i="38"/>
  <c r="Z207" i="38"/>
  <c r="Z208" i="38"/>
  <c r="Z213" i="38"/>
  <c r="Z214" i="38"/>
  <c r="Z215" i="38"/>
  <c r="Z235" i="38"/>
  <c r="AA234" i="38"/>
  <c r="AA71" i="38"/>
  <c r="AA106" i="38"/>
  <c r="AA18" i="38"/>
  <c r="AA73" i="38"/>
  <c r="AA103" i="38"/>
  <c r="AA108" i="38"/>
  <c r="AA123" i="38"/>
  <c r="AA19" i="38"/>
  <c r="AA111" i="38"/>
  <c r="AA126" i="38"/>
  <c r="AA21" i="38"/>
  <c r="AA22" i="38"/>
  <c r="AA104" i="38"/>
  <c r="AA121" i="38"/>
  <c r="AA24" i="38"/>
  <c r="Z194" i="38"/>
  <c r="Z196" i="38"/>
  <c r="Z199" i="38"/>
  <c r="Z200" i="38"/>
  <c r="Z238" i="38"/>
  <c r="Z197" i="38"/>
  <c r="Z246" i="38"/>
  <c r="Z247" i="38"/>
  <c r="Z248" i="38"/>
  <c r="Z249" i="38"/>
  <c r="Z228" i="38"/>
  <c r="Z189" i="38"/>
  <c r="Z230" i="38"/>
  <c r="Z191" i="38"/>
  <c r="Z255" i="38"/>
  <c r="Z257" i="38"/>
  <c r="Z258" i="38"/>
  <c r="AA154" i="38"/>
  <c r="AA155" i="38"/>
  <c r="AA30" i="38"/>
  <c r="AA153" i="38"/>
  <c r="AA220" i="38"/>
  <c r="AA221" i="38"/>
  <c r="AA232" i="38"/>
  <c r="AA205" i="38"/>
  <c r="AA206" i="38"/>
  <c r="AA207" i="38"/>
  <c r="AA208" i="38"/>
  <c r="AA213" i="38"/>
  <c r="AA214" i="38"/>
  <c r="AA215" i="38"/>
  <c r="AA235" i="38"/>
  <c r="AA194" i="38"/>
  <c r="AA196" i="38"/>
  <c r="AA199" i="38"/>
  <c r="AA200" i="38"/>
  <c r="AB14" i="38"/>
  <c r="AB15" i="38"/>
  <c r="AB22" i="38"/>
  <c r="AB24" i="38"/>
  <c r="AB30" i="38"/>
  <c r="AB28" i="38"/>
  <c r="AA238" i="38"/>
  <c r="AA197" i="38"/>
  <c r="AA246" i="38"/>
  <c r="AB246" i="38"/>
  <c r="AA247" i="38"/>
  <c r="AB247" i="38"/>
  <c r="AA248" i="38"/>
  <c r="AB248" i="38"/>
  <c r="AA249" i="38"/>
  <c r="AB249" i="38"/>
  <c r="AB251" i="38"/>
  <c r="AA228" i="38"/>
  <c r="AA189" i="38"/>
  <c r="AA253" i="38"/>
  <c r="AA230" i="38"/>
  <c r="AA191" i="38"/>
  <c r="AA255" i="38"/>
  <c r="AB255" i="38"/>
  <c r="AA257" i="38"/>
  <c r="AB257" i="38"/>
  <c r="AA258" i="38"/>
  <c r="AB258" i="38"/>
  <c r="AB276" i="38"/>
  <c r="AC209" i="38"/>
  <c r="AC212" i="38"/>
  <c r="AC267" i="38"/>
  <c r="AD209" i="38"/>
  <c r="AD212" i="38"/>
  <c r="AD267" i="38"/>
  <c r="AE209" i="38"/>
  <c r="AE212" i="38"/>
  <c r="AE267" i="38"/>
  <c r="AF209" i="38"/>
  <c r="AF212" i="38"/>
  <c r="AF267" i="38"/>
  <c r="AG267" i="38"/>
  <c r="AG268" i="38"/>
  <c r="AG269" i="38"/>
  <c r="AG270" i="38"/>
  <c r="AC43" i="38"/>
  <c r="AC160" i="38"/>
  <c r="AC162" i="38"/>
  <c r="AC164" i="38"/>
  <c r="AC38" i="38"/>
  <c r="AC271" i="38"/>
  <c r="AD43" i="38"/>
  <c r="AD160" i="38"/>
  <c r="AD162" i="38"/>
  <c r="AD164" i="38"/>
  <c r="AD38" i="38"/>
  <c r="AD271" i="38"/>
  <c r="AE43" i="38"/>
  <c r="AE160" i="38"/>
  <c r="AE162" i="38"/>
  <c r="AE164" i="38"/>
  <c r="AE38" i="38"/>
  <c r="AE271" i="38"/>
  <c r="AF43" i="38"/>
  <c r="AF160" i="38"/>
  <c r="AF162" i="38"/>
  <c r="AF164" i="38"/>
  <c r="AF38" i="38"/>
  <c r="AF271" i="38"/>
  <c r="AG271" i="38"/>
  <c r="AC272" i="38"/>
  <c r="AD272" i="38"/>
  <c r="AE272" i="38"/>
  <c r="AF272" i="38"/>
  <c r="AG272" i="38"/>
  <c r="AC291" i="38"/>
  <c r="AD291" i="38"/>
  <c r="AE291" i="38"/>
  <c r="AE250" i="38"/>
  <c r="AF291" i="38"/>
  <c r="AG274" i="38"/>
  <c r="AC234" i="38"/>
  <c r="AC106" i="38"/>
  <c r="AC103" i="38"/>
  <c r="AC108" i="38"/>
  <c r="AC123" i="38"/>
  <c r="AC111" i="38"/>
  <c r="AC126" i="38"/>
  <c r="AC22" i="38"/>
  <c r="AC104" i="38"/>
  <c r="AC121" i="38"/>
  <c r="AC24" i="38"/>
  <c r="AC154" i="38"/>
  <c r="AC155" i="38"/>
  <c r="AC30" i="38"/>
  <c r="AC153" i="38"/>
  <c r="AC220" i="38"/>
  <c r="AC221" i="38"/>
  <c r="AC232" i="38"/>
  <c r="AC205" i="38"/>
  <c r="AC206" i="38"/>
  <c r="AC207" i="38"/>
  <c r="AC208" i="38"/>
  <c r="AC213" i="38"/>
  <c r="AC214" i="38"/>
  <c r="AC215" i="38"/>
  <c r="AC235" i="38"/>
  <c r="AD234" i="38"/>
  <c r="AD106" i="38"/>
  <c r="AD103" i="38"/>
  <c r="AD108" i="38"/>
  <c r="AD123" i="38"/>
  <c r="AD111" i="38"/>
  <c r="AD126" i="38"/>
  <c r="AD22" i="38"/>
  <c r="AD104" i="38"/>
  <c r="AD121" i="38"/>
  <c r="AD24" i="38"/>
  <c r="AC194" i="38"/>
  <c r="AC196" i="38"/>
  <c r="AC199" i="38"/>
  <c r="AC200" i="38"/>
  <c r="AC238" i="38"/>
  <c r="AC197" i="38"/>
  <c r="AC246" i="38"/>
  <c r="AC247" i="38"/>
  <c r="AC248" i="38"/>
  <c r="AC249" i="38"/>
  <c r="AC228" i="38"/>
  <c r="AC230" i="38"/>
  <c r="AC191" i="38"/>
  <c r="AC255" i="38"/>
  <c r="AC257" i="38"/>
  <c r="AC258" i="38"/>
  <c r="AD154" i="38"/>
  <c r="AD155" i="38"/>
  <c r="AD30" i="38"/>
  <c r="AD153" i="38"/>
  <c r="AD220" i="38"/>
  <c r="AD221" i="38"/>
  <c r="AD232" i="38"/>
  <c r="AD205" i="38"/>
  <c r="AD206" i="38"/>
  <c r="AD207" i="38"/>
  <c r="AD208" i="38"/>
  <c r="AD213" i="38"/>
  <c r="AD214" i="38"/>
  <c r="AD215" i="38"/>
  <c r="AD235" i="38"/>
  <c r="AE234" i="38"/>
  <c r="AE71" i="38"/>
  <c r="AE106" i="38"/>
  <c r="AE18" i="38"/>
  <c r="AE73" i="38"/>
  <c r="AE103" i="38"/>
  <c r="AE108" i="38"/>
  <c r="AE123" i="38"/>
  <c r="AE19" i="38"/>
  <c r="AE111" i="38"/>
  <c r="AE126" i="38"/>
  <c r="AE21" i="38"/>
  <c r="AE22" i="38"/>
  <c r="AE104" i="38"/>
  <c r="AE121" i="38"/>
  <c r="AE24" i="38"/>
  <c r="AD194" i="38"/>
  <c r="AD196" i="38"/>
  <c r="AD199" i="38"/>
  <c r="AD200" i="38"/>
  <c r="AD238" i="38"/>
  <c r="AD197" i="38"/>
  <c r="AD246" i="38"/>
  <c r="AD247" i="38"/>
  <c r="AD248" i="38"/>
  <c r="AD249" i="38"/>
  <c r="AD228" i="38"/>
  <c r="AD230" i="38"/>
  <c r="AD191" i="38"/>
  <c r="AD255" i="38"/>
  <c r="AD257" i="38"/>
  <c r="AD258" i="38"/>
  <c r="AE154" i="38"/>
  <c r="AE155" i="38"/>
  <c r="AE30" i="38"/>
  <c r="AE153" i="38"/>
  <c r="AE220" i="38"/>
  <c r="AE221" i="38"/>
  <c r="AE232" i="38"/>
  <c r="AE205" i="38"/>
  <c r="AE206" i="38"/>
  <c r="AE207" i="38"/>
  <c r="AE208" i="38"/>
  <c r="AE213" i="38"/>
  <c r="AE214" i="38"/>
  <c r="AE215" i="38"/>
  <c r="AE235" i="38"/>
  <c r="AF234" i="38"/>
  <c r="AF106" i="38"/>
  <c r="AF103" i="38"/>
  <c r="AF108" i="38"/>
  <c r="AF123" i="38"/>
  <c r="AF111" i="38"/>
  <c r="AF126" i="38"/>
  <c r="AF22" i="38"/>
  <c r="AF104" i="38"/>
  <c r="AF121" i="38"/>
  <c r="AF24" i="38"/>
  <c r="AE194" i="38"/>
  <c r="AE196" i="38"/>
  <c r="AE199" i="38"/>
  <c r="AE200" i="38"/>
  <c r="AE238" i="38"/>
  <c r="AE197" i="38"/>
  <c r="AE246" i="38"/>
  <c r="AE247" i="38"/>
  <c r="AE248" i="38"/>
  <c r="AE249" i="38"/>
  <c r="AE228" i="38"/>
  <c r="AE189" i="38"/>
  <c r="AE230" i="38"/>
  <c r="AE191" i="38"/>
  <c r="AE255" i="38"/>
  <c r="AE257" i="38"/>
  <c r="AE258" i="38"/>
  <c r="AF154" i="38"/>
  <c r="AF155" i="38"/>
  <c r="AF30" i="38"/>
  <c r="AF153" i="38"/>
  <c r="AF220" i="38"/>
  <c r="AF221" i="38"/>
  <c r="AF232" i="38"/>
  <c r="AF205" i="38"/>
  <c r="AF206" i="38"/>
  <c r="AF207" i="38"/>
  <c r="AF208" i="38"/>
  <c r="AF213" i="38"/>
  <c r="AF214" i="38"/>
  <c r="AF215" i="38"/>
  <c r="AF235" i="38"/>
  <c r="AF194" i="38"/>
  <c r="AF196" i="38"/>
  <c r="AF199" i="38"/>
  <c r="AF200" i="38"/>
  <c r="AG14" i="38"/>
  <c r="AG15" i="38"/>
  <c r="AG22" i="38"/>
  <c r="AG24" i="38"/>
  <c r="AG30" i="38"/>
  <c r="AG28" i="38"/>
  <c r="AF238" i="38"/>
  <c r="AF197" i="38"/>
  <c r="AF246" i="38"/>
  <c r="AG246" i="38"/>
  <c r="AF247" i="38"/>
  <c r="AG247" i="38"/>
  <c r="AF248" i="38"/>
  <c r="AG248" i="38"/>
  <c r="AF249" i="38"/>
  <c r="AG249" i="38"/>
  <c r="AG251" i="38"/>
  <c r="AF228" i="38"/>
  <c r="AF230" i="38"/>
  <c r="AF191" i="38"/>
  <c r="AF255" i="38"/>
  <c r="AG255" i="38"/>
  <c r="AF257" i="38"/>
  <c r="AG257" i="38"/>
  <c r="AF258" i="38"/>
  <c r="AG258" i="38"/>
  <c r="AG276" i="38"/>
  <c r="AH209" i="38"/>
  <c r="AH212" i="38"/>
  <c r="AH267" i="38"/>
  <c r="AH43" i="38"/>
  <c r="AH160" i="38"/>
  <c r="AH162" i="38"/>
  <c r="AH164" i="38"/>
  <c r="AH38" i="38"/>
  <c r="AH271" i="38"/>
  <c r="AH272" i="38"/>
  <c r="AH291" i="38"/>
  <c r="AH234" i="38"/>
  <c r="AH106" i="38"/>
  <c r="AH103" i="38"/>
  <c r="AH108" i="38"/>
  <c r="AH123" i="38"/>
  <c r="AH111" i="38"/>
  <c r="AH126" i="38"/>
  <c r="AH22" i="38"/>
  <c r="AH104" i="38"/>
  <c r="AH121" i="38"/>
  <c r="AH24" i="38"/>
  <c r="AH154" i="38"/>
  <c r="AH155" i="38"/>
  <c r="AH30" i="38"/>
  <c r="AH153" i="38"/>
  <c r="AH220" i="38"/>
  <c r="AH221" i="38"/>
  <c r="AH232" i="38"/>
  <c r="AH205" i="38"/>
  <c r="AH206" i="38"/>
  <c r="AH207" i="38"/>
  <c r="AH208" i="38"/>
  <c r="AH213" i="38"/>
  <c r="AH214" i="38"/>
  <c r="AH215" i="38"/>
  <c r="AH235" i="38"/>
  <c r="AH194" i="38"/>
  <c r="AH196" i="38"/>
  <c r="AH199" i="38"/>
  <c r="AH200" i="38"/>
  <c r="AH238" i="38"/>
  <c r="AH197" i="38"/>
  <c r="AH246" i="38"/>
  <c r="AH247" i="38"/>
  <c r="AH248" i="38"/>
  <c r="AH249" i="38"/>
  <c r="AH228" i="38"/>
  <c r="AH230" i="38"/>
  <c r="AH191" i="38"/>
  <c r="AH255" i="38"/>
  <c r="AH257" i="38"/>
  <c r="AH258" i="38"/>
  <c r="AI209" i="38"/>
  <c r="AI212" i="38"/>
  <c r="AI267" i="38"/>
  <c r="AI43" i="38"/>
  <c r="AI160" i="38"/>
  <c r="AI162" i="38"/>
  <c r="AI164" i="38"/>
  <c r="AI38" i="38"/>
  <c r="AI271" i="38"/>
  <c r="AI272" i="38"/>
  <c r="AI291" i="38"/>
  <c r="AI234" i="38"/>
  <c r="AI106" i="38"/>
  <c r="AI103" i="38"/>
  <c r="AI108" i="38"/>
  <c r="AI123" i="38"/>
  <c r="AI111" i="38"/>
  <c r="AI126" i="38"/>
  <c r="AI22" i="38"/>
  <c r="AI104" i="38"/>
  <c r="AI121" i="38"/>
  <c r="AI24" i="38"/>
  <c r="AI154" i="38"/>
  <c r="AI155" i="38"/>
  <c r="AI30" i="38"/>
  <c r="AI153" i="38"/>
  <c r="AI220" i="38"/>
  <c r="AI221" i="38"/>
  <c r="AI232" i="38"/>
  <c r="AI205" i="38"/>
  <c r="AI206" i="38"/>
  <c r="AI207" i="38"/>
  <c r="AI208" i="38"/>
  <c r="AI213" i="38"/>
  <c r="AI214" i="38"/>
  <c r="AI215" i="38"/>
  <c r="AI235" i="38"/>
  <c r="AI194" i="38"/>
  <c r="AI196" i="38"/>
  <c r="AI199" i="38"/>
  <c r="AI200" i="38"/>
  <c r="AI238" i="38"/>
  <c r="AI197" i="38"/>
  <c r="AI246" i="38"/>
  <c r="AI247" i="38"/>
  <c r="AI248" i="38"/>
  <c r="AI249" i="38"/>
  <c r="AI228" i="38"/>
  <c r="AI230" i="38"/>
  <c r="AI191" i="38"/>
  <c r="AI255" i="38"/>
  <c r="AI257" i="38"/>
  <c r="AI258" i="38"/>
  <c r="AJ209" i="38"/>
  <c r="AJ212" i="38"/>
  <c r="AJ267" i="38"/>
  <c r="AJ43" i="38"/>
  <c r="AJ160" i="38"/>
  <c r="AJ162" i="38"/>
  <c r="AJ164" i="38"/>
  <c r="AJ38" i="38"/>
  <c r="AJ271" i="38"/>
  <c r="AJ272" i="38"/>
  <c r="AJ291" i="38"/>
  <c r="AJ250" i="38"/>
  <c r="AJ234" i="38"/>
  <c r="AJ71" i="38"/>
  <c r="AJ106" i="38"/>
  <c r="AJ18" i="38"/>
  <c r="AJ68" i="38"/>
  <c r="AJ73" i="38"/>
  <c r="AJ103" i="38"/>
  <c r="AJ108" i="38"/>
  <c r="AJ123" i="38"/>
  <c r="AJ19" i="38"/>
  <c r="AJ111" i="38"/>
  <c r="AJ126" i="38"/>
  <c r="AJ22" i="38"/>
  <c r="AJ104" i="38"/>
  <c r="AJ121" i="38"/>
  <c r="AJ24" i="38"/>
  <c r="AJ154" i="38"/>
  <c r="AJ155" i="38"/>
  <c r="AJ30" i="38"/>
  <c r="AJ153" i="38"/>
  <c r="AJ220" i="38"/>
  <c r="AJ221" i="38"/>
  <c r="AJ232" i="38"/>
  <c r="AJ205" i="38"/>
  <c r="AJ206" i="38"/>
  <c r="AJ207" i="38"/>
  <c r="AJ208" i="38"/>
  <c r="AJ213" i="38"/>
  <c r="AJ214" i="38"/>
  <c r="AJ215" i="38"/>
  <c r="AJ235" i="38"/>
  <c r="AJ194" i="38"/>
  <c r="AJ196" i="38"/>
  <c r="AJ199" i="38"/>
  <c r="AJ200" i="38"/>
  <c r="AJ238" i="38"/>
  <c r="AJ197" i="38"/>
  <c r="AJ246" i="38"/>
  <c r="AJ247" i="38"/>
  <c r="AJ248" i="38"/>
  <c r="AJ249" i="38"/>
  <c r="AJ228" i="38"/>
  <c r="AJ189" i="38"/>
  <c r="AJ230" i="38"/>
  <c r="AJ191" i="38"/>
  <c r="AJ255" i="38"/>
  <c r="AJ257" i="38"/>
  <c r="AJ258" i="38"/>
  <c r="AK209" i="38"/>
  <c r="AK212" i="38"/>
  <c r="AK267" i="38"/>
  <c r="AK43" i="38"/>
  <c r="AK160" i="38"/>
  <c r="AK162" i="38"/>
  <c r="AK164" i="38"/>
  <c r="AK38" i="38"/>
  <c r="AK271" i="38"/>
  <c r="AK272" i="38"/>
  <c r="AK291" i="38"/>
  <c r="AK234" i="38"/>
  <c r="AK106" i="38"/>
  <c r="AK103" i="38"/>
  <c r="AK108" i="38"/>
  <c r="AK123" i="38"/>
  <c r="AK111" i="38"/>
  <c r="AK126" i="38"/>
  <c r="AK22" i="38"/>
  <c r="AK104" i="38"/>
  <c r="AK121" i="38"/>
  <c r="AK24" i="38"/>
  <c r="AK154" i="38"/>
  <c r="AK155" i="38"/>
  <c r="AK30" i="38"/>
  <c r="AK153" i="38"/>
  <c r="AK220" i="38"/>
  <c r="AK221" i="38"/>
  <c r="AK232" i="38"/>
  <c r="AK205" i="38"/>
  <c r="AK206" i="38"/>
  <c r="AK207" i="38"/>
  <c r="AK208" i="38"/>
  <c r="AK213" i="38"/>
  <c r="AK214" i="38"/>
  <c r="AK215" i="38"/>
  <c r="AK235" i="38"/>
  <c r="AK194" i="38"/>
  <c r="AK196" i="38"/>
  <c r="AK199" i="38"/>
  <c r="AK200" i="38"/>
  <c r="AK238" i="38"/>
  <c r="AK197" i="38"/>
  <c r="AK246" i="38"/>
  <c r="AK247" i="38"/>
  <c r="AK248" i="38"/>
  <c r="AK249" i="38"/>
  <c r="AK228" i="38"/>
  <c r="AK230" i="38"/>
  <c r="AK191" i="38"/>
  <c r="AK255" i="38"/>
  <c r="AK257" i="38"/>
  <c r="AK258" i="38"/>
  <c r="AM154" i="38"/>
  <c r="AL267" i="38"/>
  <c r="AL268" i="38"/>
  <c r="AL269" i="38"/>
  <c r="AL270" i="38"/>
  <c r="AL271" i="38"/>
  <c r="AL272" i="38"/>
  <c r="AL274" i="38"/>
  <c r="AL14" i="38"/>
  <c r="AL15" i="38"/>
  <c r="AL22" i="38"/>
  <c r="AL24" i="38"/>
  <c r="AL30" i="38"/>
  <c r="AL28" i="38"/>
  <c r="AL246" i="38"/>
  <c r="AL247" i="38"/>
  <c r="AL248" i="38"/>
  <c r="AL249" i="38"/>
  <c r="AL251" i="38"/>
  <c r="AL255" i="38"/>
  <c r="AL257" i="38"/>
  <c r="AL258" i="38"/>
  <c r="AL276" i="38"/>
  <c r="AM209" i="38"/>
  <c r="AM212" i="38"/>
  <c r="AM267" i="38"/>
  <c r="AM43" i="38"/>
  <c r="AM160" i="38"/>
  <c r="AM162" i="38"/>
  <c r="AM164" i="38"/>
  <c r="AM38" i="38"/>
  <c r="AM271" i="38"/>
  <c r="AM272" i="38"/>
  <c r="AM291" i="38"/>
  <c r="AM234" i="38"/>
  <c r="AM155" i="38"/>
  <c r="AM30" i="38"/>
  <c r="AM153" i="38"/>
  <c r="AM220" i="38"/>
  <c r="AM221" i="38"/>
  <c r="AM232" i="38"/>
  <c r="AM205" i="38"/>
  <c r="AM206" i="38"/>
  <c r="AM207" i="38"/>
  <c r="AM208" i="38"/>
  <c r="AM213" i="38"/>
  <c r="AM214" i="38"/>
  <c r="AM215" i="38"/>
  <c r="AM235" i="38"/>
  <c r="AM194" i="38"/>
  <c r="AM196" i="38"/>
  <c r="AM199" i="38"/>
  <c r="AM200" i="38"/>
  <c r="AM238" i="38"/>
  <c r="AM197" i="38"/>
  <c r="AM246" i="38"/>
  <c r="AM247" i="38"/>
  <c r="AM248" i="38"/>
  <c r="AM249" i="38"/>
  <c r="AM228" i="38"/>
  <c r="AM230" i="38"/>
  <c r="AM191" i="38"/>
  <c r="AM255" i="38"/>
  <c r="AM257" i="38"/>
  <c r="AM258" i="38"/>
  <c r="AN154" i="38"/>
  <c r="AN209" i="38"/>
  <c r="AN212" i="38"/>
  <c r="AN267" i="38"/>
  <c r="AN43" i="38"/>
  <c r="AN160" i="38"/>
  <c r="AN162" i="38"/>
  <c r="AN164" i="38"/>
  <c r="AN38" i="38"/>
  <c r="AN271" i="38"/>
  <c r="AN272" i="38"/>
  <c r="AN291" i="38"/>
  <c r="AN234" i="38"/>
  <c r="AN155" i="38"/>
  <c r="AN30" i="38"/>
  <c r="AN153" i="38"/>
  <c r="AN220" i="38"/>
  <c r="AN221" i="38"/>
  <c r="AN232" i="38"/>
  <c r="AN205" i="38"/>
  <c r="AN206" i="38"/>
  <c r="AN207" i="38"/>
  <c r="AN208" i="38"/>
  <c r="AN213" i="38"/>
  <c r="AN214" i="38"/>
  <c r="AN215" i="38"/>
  <c r="AN235" i="38"/>
  <c r="AN194" i="38"/>
  <c r="AN196" i="38"/>
  <c r="AN199" i="38"/>
  <c r="AN200" i="38"/>
  <c r="AN238" i="38"/>
  <c r="AN197" i="38"/>
  <c r="AN246" i="38"/>
  <c r="AN247" i="38"/>
  <c r="AN248" i="38"/>
  <c r="AN249" i="38"/>
  <c r="AN228" i="38"/>
  <c r="AN230" i="38"/>
  <c r="AN191" i="38"/>
  <c r="AN255" i="38"/>
  <c r="AN257" i="38"/>
  <c r="AN258" i="38"/>
  <c r="AO154" i="38"/>
  <c r="AO209" i="38"/>
  <c r="AO212" i="38"/>
  <c r="AO267" i="38"/>
  <c r="AO43" i="38"/>
  <c r="AO160" i="38"/>
  <c r="AO162" i="38"/>
  <c r="AO164" i="38"/>
  <c r="AO38" i="38"/>
  <c r="AO271" i="38"/>
  <c r="AO272" i="38"/>
  <c r="AO291" i="38"/>
  <c r="AO250" i="38"/>
  <c r="AO234" i="38"/>
  <c r="AO155" i="38"/>
  <c r="AO30" i="38"/>
  <c r="AO153" i="38"/>
  <c r="AO220" i="38"/>
  <c r="AO221" i="38"/>
  <c r="AO232" i="38"/>
  <c r="AO205" i="38"/>
  <c r="AO206" i="38"/>
  <c r="AO207" i="38"/>
  <c r="AO208" i="38"/>
  <c r="AO213" i="38"/>
  <c r="AO214" i="38"/>
  <c r="AO215" i="38"/>
  <c r="AO235" i="38"/>
  <c r="AO194" i="38"/>
  <c r="AO196" i="38"/>
  <c r="AO199" i="38"/>
  <c r="AO200" i="38"/>
  <c r="AO238" i="38"/>
  <c r="AO197" i="38"/>
  <c r="AO246" i="38"/>
  <c r="AO247" i="38"/>
  <c r="AO248" i="38"/>
  <c r="AO249" i="38"/>
  <c r="AO228" i="38"/>
  <c r="AO189" i="38"/>
  <c r="AO230" i="38"/>
  <c r="AO191" i="38"/>
  <c r="AO255" i="38"/>
  <c r="AO257" i="38"/>
  <c r="AO258" i="38"/>
  <c r="AP154" i="38"/>
  <c r="AP155" i="38"/>
  <c r="AP30" i="38"/>
  <c r="AQ30" i="38"/>
  <c r="AQ28" i="38"/>
  <c r="AP153" i="38"/>
  <c r="AP238" i="38"/>
  <c r="AP208" i="38"/>
  <c r="AP214" i="38"/>
  <c r="AP197" i="38"/>
  <c r="AP246" i="38"/>
  <c r="AQ246" i="38"/>
  <c r="AP247" i="38"/>
  <c r="AQ247" i="38"/>
  <c r="AP248" i="38"/>
  <c r="AQ248" i="38"/>
  <c r="AP249" i="38"/>
  <c r="AQ249" i="38"/>
  <c r="AP291" i="38"/>
  <c r="AQ251" i="38"/>
  <c r="AP228" i="38"/>
  <c r="AP230" i="38"/>
  <c r="AP191" i="38"/>
  <c r="AP255" i="38"/>
  <c r="AQ255" i="38"/>
  <c r="AP232" i="38"/>
  <c r="AP257" i="38"/>
  <c r="AQ257" i="38"/>
  <c r="AP206" i="38"/>
  <c r="AP258" i="38"/>
  <c r="AQ258" i="38"/>
  <c r="AP215" i="38"/>
  <c r="AP207" i="38"/>
  <c r="AP205" i="38"/>
  <c r="C316" i="38"/>
  <c r="AP209" i="38"/>
  <c r="AQ209" i="38"/>
  <c r="AP212" i="38"/>
  <c r="AQ212" i="38"/>
  <c r="C307" i="38"/>
  <c r="C324" i="38"/>
  <c r="C326" i="38"/>
  <c r="W281" i="38"/>
  <c r="AB281" i="38"/>
  <c r="AG281" i="38"/>
  <c r="AL281" i="38"/>
  <c r="AP294" i="38"/>
  <c r="AQ281" i="38"/>
  <c r="C327" i="38"/>
  <c r="P284" i="38"/>
  <c r="P285" i="38"/>
  <c r="P286" i="38"/>
  <c r="C328" i="38"/>
  <c r="C329" i="38"/>
  <c r="C7" i="38"/>
  <c r="C8" i="38"/>
  <c r="C334" i="38"/>
  <c r="C332" i="38"/>
  <c r="C333" i="38"/>
  <c r="C336" i="38"/>
  <c r="C335" i="38"/>
  <c r="C303" i="38"/>
  <c r="AB209" i="38"/>
  <c r="AB212" i="38"/>
  <c r="AB297" i="38"/>
  <c r="X172" i="38"/>
  <c r="V172" i="38"/>
  <c r="V176" i="38"/>
  <c r="V177" i="38"/>
  <c r="X176" i="38"/>
  <c r="X177" i="38"/>
  <c r="X179" i="38"/>
  <c r="X26" i="38"/>
  <c r="Y172" i="38"/>
  <c r="Y176" i="38"/>
  <c r="Y177" i="38"/>
  <c r="Y179" i="38"/>
  <c r="Y26" i="38"/>
  <c r="Z172" i="38"/>
  <c r="Z176" i="38"/>
  <c r="Z177" i="38"/>
  <c r="Z179" i="38"/>
  <c r="Z26" i="38"/>
  <c r="AA172" i="38"/>
  <c r="AA176" i="38"/>
  <c r="AA177" i="38"/>
  <c r="AA179" i="38"/>
  <c r="AA26" i="38"/>
  <c r="AB26" i="38"/>
  <c r="AL209" i="38"/>
  <c r="AL212" i="38"/>
  <c r="AG209" i="38"/>
  <c r="AG212" i="38"/>
  <c r="W209" i="38"/>
  <c r="W212" i="38"/>
  <c r="R209" i="38"/>
  <c r="R212" i="38"/>
  <c r="M209" i="38"/>
  <c r="M212" i="38"/>
  <c r="M295" i="38"/>
  <c r="H209" i="38"/>
  <c r="H212" i="38"/>
  <c r="H295" i="38"/>
  <c r="W294" i="38"/>
  <c r="R294" i="38"/>
  <c r="P294" i="38"/>
  <c r="O294" i="38"/>
  <c r="N294" i="38"/>
  <c r="M294" i="38"/>
  <c r="L294" i="38"/>
  <c r="K294" i="38"/>
  <c r="J294" i="38"/>
  <c r="I294" i="38"/>
  <c r="H294" i="38"/>
  <c r="G13" i="38"/>
  <c r="G14" i="38"/>
  <c r="G15" i="38"/>
  <c r="G16" i="38"/>
  <c r="G294" i="38"/>
  <c r="F16" i="38"/>
  <c r="F294" i="38"/>
  <c r="E16" i="38"/>
  <c r="E294" i="38"/>
  <c r="D16" i="38"/>
  <c r="D294" i="38"/>
  <c r="P293" i="38"/>
  <c r="O293" i="38"/>
  <c r="N293" i="38"/>
  <c r="M293" i="38"/>
  <c r="G18" i="38"/>
  <c r="G19" i="38"/>
  <c r="G20" i="38"/>
  <c r="G21" i="38"/>
  <c r="G22" i="38"/>
  <c r="G23" i="38"/>
  <c r="G24" i="38"/>
  <c r="G25" i="38"/>
  <c r="G29" i="38"/>
  <c r="G30" i="38"/>
  <c r="G28" i="38"/>
  <c r="G31" i="38"/>
  <c r="G32" i="38"/>
  <c r="G33" i="38"/>
  <c r="G244" i="38"/>
  <c r="G260" i="38"/>
  <c r="L293" i="38"/>
  <c r="F23" i="38"/>
  <c r="F25" i="38"/>
  <c r="F31" i="38"/>
  <c r="F33" i="38"/>
  <c r="F244" i="38"/>
  <c r="F260" i="38"/>
  <c r="K293" i="38"/>
  <c r="E23" i="38"/>
  <c r="E25" i="38"/>
  <c r="E31" i="38"/>
  <c r="E33" i="38"/>
  <c r="E244" i="38"/>
  <c r="E260" i="38"/>
  <c r="J293" i="38"/>
  <c r="D23" i="38"/>
  <c r="D25" i="38"/>
  <c r="D31" i="38"/>
  <c r="D33" i="38"/>
  <c r="D244" i="38"/>
  <c r="D260" i="38"/>
  <c r="I293" i="38"/>
  <c r="P292" i="38"/>
  <c r="O292" i="38"/>
  <c r="N292" i="38"/>
  <c r="L292" i="38"/>
  <c r="K292" i="38"/>
  <c r="J292" i="38"/>
  <c r="I292" i="38"/>
  <c r="H292" i="38"/>
  <c r="G292" i="38"/>
  <c r="F292" i="38"/>
  <c r="E292" i="38"/>
  <c r="D292" i="38"/>
  <c r="K291" i="38"/>
  <c r="J291" i="38"/>
  <c r="I291" i="38"/>
  <c r="H291" i="38"/>
  <c r="G291" i="38"/>
  <c r="F291" i="38"/>
  <c r="E291" i="38"/>
  <c r="D291" i="38"/>
  <c r="AP267" i="38"/>
  <c r="AP43" i="38"/>
  <c r="AP160" i="38"/>
  <c r="AP162" i="38"/>
  <c r="AP164" i="38"/>
  <c r="AP38" i="38"/>
  <c r="AP271" i="38"/>
  <c r="AP272" i="38"/>
  <c r="AP234" i="38"/>
  <c r="AP220" i="38"/>
  <c r="AP221" i="38"/>
  <c r="AP213" i="38"/>
  <c r="AP235" i="38"/>
  <c r="AP194" i="38"/>
  <c r="AP196" i="38"/>
  <c r="AP199" i="38"/>
  <c r="AP200" i="38"/>
  <c r="AQ285" i="38"/>
  <c r="V34" i="38"/>
  <c r="X34" i="38"/>
  <c r="Y34" i="38"/>
  <c r="Z34" i="38"/>
  <c r="AA34" i="38"/>
  <c r="AC34" i="38"/>
  <c r="AD34" i="38"/>
  <c r="AE34" i="38"/>
  <c r="AF34" i="38"/>
  <c r="AH34" i="38"/>
  <c r="AI34" i="38"/>
  <c r="AJ34" i="38"/>
  <c r="AK34" i="38"/>
  <c r="AM34" i="38"/>
  <c r="AN34" i="38"/>
  <c r="AO34" i="38"/>
  <c r="AP34" i="38"/>
  <c r="AQ34" i="38"/>
  <c r="V161" i="38"/>
  <c r="V39" i="38"/>
  <c r="X161" i="38"/>
  <c r="X39" i="38"/>
  <c r="Y161" i="38"/>
  <c r="Y39" i="38"/>
  <c r="Z161" i="38"/>
  <c r="Z39" i="38"/>
  <c r="AA161" i="38"/>
  <c r="AA39" i="38"/>
  <c r="AC161" i="38"/>
  <c r="AC39" i="38"/>
  <c r="AD161" i="38"/>
  <c r="AD39" i="38"/>
  <c r="AE161" i="38"/>
  <c r="AE39" i="38"/>
  <c r="AF161" i="38"/>
  <c r="AF39" i="38"/>
  <c r="AH161" i="38"/>
  <c r="AH39" i="38"/>
  <c r="AI161" i="38"/>
  <c r="AI39" i="38"/>
  <c r="AJ161" i="38"/>
  <c r="AJ39" i="38"/>
  <c r="AK161" i="38"/>
  <c r="AK39" i="38"/>
  <c r="AM161" i="38"/>
  <c r="AM39" i="38"/>
  <c r="AN161" i="38"/>
  <c r="AN39" i="38"/>
  <c r="AO161" i="38"/>
  <c r="AO39" i="38"/>
  <c r="AP161" i="38"/>
  <c r="AP39" i="38"/>
  <c r="AP285" i="38"/>
  <c r="AO285" i="38"/>
  <c r="AN285" i="38"/>
  <c r="AM285" i="38"/>
  <c r="AL285" i="38"/>
  <c r="AL34" i="38"/>
  <c r="AK285" i="38"/>
  <c r="AJ285" i="38"/>
  <c r="AI285" i="38"/>
  <c r="AH285" i="38"/>
  <c r="AG285" i="38"/>
  <c r="AG34" i="38"/>
  <c r="AF285" i="38"/>
  <c r="AE285" i="38"/>
  <c r="AD285" i="38"/>
  <c r="AC285" i="38"/>
  <c r="AB285" i="38"/>
  <c r="AB34" i="38"/>
  <c r="AA285" i="38"/>
  <c r="Z285" i="38"/>
  <c r="Y285" i="38"/>
  <c r="X285" i="38"/>
  <c r="W285" i="38"/>
  <c r="W34" i="38"/>
  <c r="V285" i="38"/>
  <c r="U285" i="38"/>
  <c r="T285" i="38"/>
  <c r="S285" i="38"/>
  <c r="R285" i="38"/>
  <c r="N35" i="38"/>
  <c r="R34" i="38"/>
  <c r="O35" i="38"/>
  <c r="P35" i="38"/>
  <c r="Q285" i="38"/>
  <c r="O284" i="38"/>
  <c r="O285" i="38"/>
  <c r="O286" i="38"/>
  <c r="N284" i="38"/>
  <c r="N285" i="38"/>
  <c r="N286" i="38"/>
  <c r="M187" i="38"/>
  <c r="M188" i="38"/>
  <c r="M193" i="38"/>
  <c r="M284" i="38"/>
  <c r="M285" i="38"/>
  <c r="I35" i="38"/>
  <c r="M34" i="38"/>
  <c r="M35" i="38"/>
  <c r="J35" i="38"/>
  <c r="K35" i="38"/>
  <c r="L25" i="38"/>
  <c r="L31" i="38"/>
  <c r="L33" i="38"/>
  <c r="L35" i="38"/>
  <c r="M39" i="38"/>
  <c r="M286" i="38"/>
  <c r="L284" i="38"/>
  <c r="L285" i="38"/>
  <c r="L286" i="38"/>
  <c r="K284" i="38"/>
  <c r="K285" i="38"/>
  <c r="K286" i="38"/>
  <c r="J187" i="38"/>
  <c r="J284" i="38"/>
  <c r="J209" i="38"/>
  <c r="J285" i="38"/>
  <c r="J286" i="38"/>
  <c r="I187" i="38"/>
  <c r="I284" i="38"/>
  <c r="I209" i="38"/>
  <c r="I285" i="38"/>
  <c r="I286" i="38"/>
  <c r="D275" i="38"/>
  <c r="D265" i="38"/>
  <c r="D277" i="38"/>
  <c r="D279" i="38"/>
  <c r="E278" i="38"/>
  <c r="E275" i="38"/>
  <c r="E265" i="38"/>
  <c r="E277" i="38"/>
  <c r="E279" i="38"/>
  <c r="F278" i="38"/>
  <c r="F275" i="38"/>
  <c r="F265" i="38"/>
  <c r="F277" i="38"/>
  <c r="F279" i="38"/>
  <c r="G278" i="38"/>
  <c r="G275" i="38"/>
  <c r="G265" i="38"/>
  <c r="G277" i="38"/>
  <c r="G279" i="38"/>
  <c r="G187" i="38"/>
  <c r="H187" i="38"/>
  <c r="H188" i="38"/>
  <c r="H193" i="38"/>
  <c r="H284" i="38"/>
  <c r="H285" i="38"/>
  <c r="H286" i="38"/>
  <c r="G284" i="38"/>
  <c r="G285" i="38"/>
  <c r="G286" i="38"/>
  <c r="F187" i="38"/>
  <c r="F284" i="38"/>
  <c r="F285" i="38"/>
  <c r="F286" i="38"/>
  <c r="E187" i="38"/>
  <c r="E284" i="38"/>
  <c r="E209" i="38"/>
  <c r="E285" i="38"/>
  <c r="E286" i="38"/>
  <c r="D187" i="38"/>
  <c r="D284" i="38"/>
  <c r="D285" i="38"/>
  <c r="D286" i="38"/>
  <c r="M282" i="38"/>
  <c r="D280" i="38"/>
  <c r="E280" i="38"/>
  <c r="F280" i="38"/>
  <c r="G280" i="38"/>
  <c r="H280" i="38"/>
  <c r="H282" i="38"/>
  <c r="AQ267" i="38"/>
  <c r="AQ268" i="38"/>
  <c r="AQ269" i="38"/>
  <c r="AQ270" i="38"/>
  <c r="AQ271" i="38"/>
  <c r="AQ272" i="38"/>
  <c r="AQ274" i="38"/>
  <c r="AQ276" i="38"/>
  <c r="R278" i="38"/>
  <c r="M278" i="38"/>
  <c r="H278" i="38"/>
  <c r="K239" i="38"/>
  <c r="J239" i="38"/>
  <c r="I239" i="38"/>
  <c r="H195" i="38"/>
  <c r="H239" i="38"/>
  <c r="G239" i="38"/>
  <c r="F239" i="38"/>
  <c r="E239" i="38"/>
  <c r="K238" i="38"/>
  <c r="J238" i="38"/>
  <c r="I238" i="38"/>
  <c r="H197" i="38"/>
  <c r="H208" i="38"/>
  <c r="H214" i="38"/>
  <c r="H238" i="38"/>
  <c r="G238" i="38"/>
  <c r="F238" i="38"/>
  <c r="E238" i="38"/>
  <c r="D238" i="38"/>
  <c r="AP237" i="38"/>
  <c r="AO237" i="38"/>
  <c r="AN237" i="38"/>
  <c r="AM237" i="38"/>
  <c r="AK237" i="38"/>
  <c r="AJ237" i="38"/>
  <c r="AI237" i="38"/>
  <c r="AH237" i="38"/>
  <c r="AF237" i="38"/>
  <c r="AE237" i="38"/>
  <c r="AD237" i="38"/>
  <c r="AC237" i="38"/>
  <c r="AA237" i="38"/>
  <c r="Z237" i="38"/>
  <c r="Y237" i="38"/>
  <c r="X237" i="38"/>
  <c r="W237" i="38"/>
  <c r="V237" i="38"/>
  <c r="U237" i="38"/>
  <c r="T237" i="38"/>
  <c r="S237" i="38"/>
  <c r="Q237" i="38"/>
  <c r="P237" i="38"/>
  <c r="O237" i="38"/>
  <c r="N237" i="38"/>
  <c r="L237" i="38"/>
  <c r="K237" i="38"/>
  <c r="J237" i="38"/>
  <c r="I237" i="38"/>
  <c r="G237" i="38"/>
  <c r="F237" i="38"/>
  <c r="E237" i="38"/>
  <c r="D237" i="38"/>
  <c r="W218" i="38"/>
  <c r="W220" i="38"/>
  <c r="W221" i="38"/>
  <c r="P236" i="38"/>
  <c r="O218" i="38"/>
  <c r="O222" i="38"/>
  <c r="O236" i="38"/>
  <c r="N218" i="38"/>
  <c r="N222" i="38"/>
  <c r="N236" i="38"/>
  <c r="L218" i="38"/>
  <c r="L222" i="38"/>
  <c r="L236" i="38"/>
  <c r="K218" i="38"/>
  <c r="K222" i="38"/>
  <c r="K236" i="38"/>
  <c r="J218" i="38"/>
  <c r="J222" i="38"/>
  <c r="J236" i="38"/>
  <c r="I218" i="38"/>
  <c r="I222" i="38"/>
  <c r="I236" i="38"/>
  <c r="G218" i="38"/>
  <c r="G222" i="38"/>
  <c r="G236" i="38"/>
  <c r="F218" i="38"/>
  <c r="F222" i="38"/>
  <c r="F236" i="38"/>
  <c r="E218" i="38"/>
  <c r="E222" i="38"/>
  <c r="E236" i="38"/>
  <c r="D218" i="38"/>
  <c r="D222" i="38"/>
  <c r="D236" i="38"/>
  <c r="K235" i="38"/>
  <c r="J235" i="38"/>
  <c r="I235" i="38"/>
  <c r="H235" i="38"/>
  <c r="G235" i="38"/>
  <c r="F235" i="38"/>
  <c r="E235" i="38"/>
  <c r="D235" i="38"/>
  <c r="K192" i="38"/>
  <c r="K201" i="38"/>
  <c r="K234" i="38"/>
  <c r="J192" i="38"/>
  <c r="J201" i="38"/>
  <c r="J234" i="38"/>
  <c r="I192" i="38"/>
  <c r="I201" i="38"/>
  <c r="I234" i="38"/>
  <c r="H189" i="38"/>
  <c r="H190" i="38"/>
  <c r="H191" i="38"/>
  <c r="H192" i="38"/>
  <c r="H194" i="38"/>
  <c r="H196" i="38"/>
  <c r="H198" i="38"/>
  <c r="H199" i="38"/>
  <c r="H200" i="38"/>
  <c r="H201" i="38"/>
  <c r="H234" i="38"/>
  <c r="G192" i="38"/>
  <c r="G201" i="38"/>
  <c r="G234" i="38"/>
  <c r="F192" i="38"/>
  <c r="F201" i="38"/>
  <c r="F234" i="38"/>
  <c r="E192" i="38"/>
  <c r="E201" i="38"/>
  <c r="E234" i="38"/>
  <c r="D192" i="38"/>
  <c r="D201" i="38"/>
  <c r="D234" i="38"/>
  <c r="AP227" i="38"/>
  <c r="AP233" i="38"/>
  <c r="AO227" i="38"/>
  <c r="AO233" i="38"/>
  <c r="AN227" i="38"/>
  <c r="AN233" i="38"/>
  <c r="AM227" i="38"/>
  <c r="AM233" i="38"/>
  <c r="AK227" i="38"/>
  <c r="AK233" i="38"/>
  <c r="AJ227" i="38"/>
  <c r="AJ233" i="38"/>
  <c r="AI227" i="38"/>
  <c r="AI233" i="38"/>
  <c r="AH227" i="38"/>
  <c r="AH233" i="38"/>
  <c r="AF227" i="38"/>
  <c r="AF233" i="38"/>
  <c r="AE227" i="38"/>
  <c r="AE233" i="38"/>
  <c r="AD227" i="38"/>
  <c r="AD233" i="38"/>
  <c r="AC227" i="38"/>
  <c r="AC233" i="38"/>
  <c r="AA227" i="38"/>
  <c r="AA233" i="38"/>
  <c r="Z227" i="38"/>
  <c r="Z233" i="38"/>
  <c r="Y227" i="38"/>
  <c r="Y233" i="38"/>
  <c r="X227" i="38"/>
  <c r="X233" i="38"/>
  <c r="V227" i="38"/>
  <c r="V233" i="38"/>
  <c r="U227" i="38"/>
  <c r="U233" i="38"/>
  <c r="T227" i="38"/>
  <c r="T233" i="38"/>
  <c r="S227" i="38"/>
  <c r="S233" i="38"/>
  <c r="Q227" i="38"/>
  <c r="Q233" i="38"/>
  <c r="P227" i="38"/>
  <c r="P233" i="38"/>
  <c r="O227" i="38"/>
  <c r="O233" i="38"/>
  <c r="N227" i="38"/>
  <c r="N233" i="38"/>
  <c r="L227" i="38"/>
  <c r="L233" i="38"/>
  <c r="K227" i="38"/>
  <c r="K233" i="38"/>
  <c r="J227" i="38"/>
  <c r="J233" i="38"/>
  <c r="I227" i="38"/>
  <c r="I233" i="38"/>
  <c r="G227" i="38"/>
  <c r="G233" i="38"/>
  <c r="F227" i="38"/>
  <c r="F232" i="38"/>
  <c r="F233" i="38"/>
  <c r="E227" i="38"/>
  <c r="E232" i="38"/>
  <c r="E233" i="38"/>
  <c r="D227" i="38"/>
  <c r="D232" i="38"/>
  <c r="D233" i="38"/>
  <c r="AP231" i="38"/>
  <c r="AO231" i="38"/>
  <c r="AN231" i="38"/>
  <c r="AM231" i="38"/>
  <c r="AK231" i="38"/>
  <c r="AJ231" i="38"/>
  <c r="AI231" i="38"/>
  <c r="AH231" i="38"/>
  <c r="AF231" i="38"/>
  <c r="AE231" i="38"/>
  <c r="AD231" i="38"/>
  <c r="AC231" i="38"/>
  <c r="AA231" i="38"/>
  <c r="Z231" i="38"/>
  <c r="Y231" i="38"/>
  <c r="X231" i="38"/>
  <c r="V231" i="38"/>
  <c r="U231" i="38"/>
  <c r="T231" i="38"/>
  <c r="S231" i="38"/>
  <c r="Q231" i="38"/>
  <c r="P231" i="38"/>
  <c r="O231" i="38"/>
  <c r="N231" i="38"/>
  <c r="L230" i="38"/>
  <c r="L231" i="38"/>
  <c r="K230" i="38"/>
  <c r="K231" i="38"/>
  <c r="J230" i="38"/>
  <c r="J231" i="38"/>
  <c r="I230" i="38"/>
  <c r="I231" i="38"/>
  <c r="G230" i="38"/>
  <c r="G231" i="38"/>
  <c r="F230" i="38"/>
  <c r="F231" i="38"/>
  <c r="E230" i="38"/>
  <c r="E231" i="38"/>
  <c r="D230" i="38"/>
  <c r="D231" i="38"/>
  <c r="AP229" i="38"/>
  <c r="AO229" i="38"/>
  <c r="AN229" i="38"/>
  <c r="AM229" i="38"/>
  <c r="AK229" i="38"/>
  <c r="AJ229" i="38"/>
  <c r="AI229" i="38"/>
  <c r="AH229" i="38"/>
  <c r="AF229" i="38"/>
  <c r="AE229" i="38"/>
  <c r="AD229" i="38"/>
  <c r="AC229" i="38"/>
  <c r="AA229" i="38"/>
  <c r="Z229" i="38"/>
  <c r="Y229" i="38"/>
  <c r="X229" i="38"/>
  <c r="V229" i="38"/>
  <c r="U229" i="38"/>
  <c r="T229" i="38"/>
  <c r="S229" i="38"/>
  <c r="Q229" i="38"/>
  <c r="P229" i="38"/>
  <c r="O229" i="38"/>
  <c r="N229" i="38"/>
  <c r="L228" i="38"/>
  <c r="L229" i="38"/>
  <c r="K228" i="38"/>
  <c r="K229" i="38"/>
  <c r="J228" i="38"/>
  <c r="J229" i="38"/>
  <c r="I228" i="38"/>
  <c r="I229" i="38"/>
  <c r="G228" i="38"/>
  <c r="G229" i="38"/>
  <c r="F228" i="38"/>
  <c r="F229" i="38"/>
  <c r="E228" i="38"/>
  <c r="E229" i="38"/>
  <c r="D228" i="38"/>
  <c r="D229" i="38"/>
  <c r="AQ220" i="38"/>
  <c r="AQ221" i="38"/>
  <c r="AQ205" i="38"/>
  <c r="AQ206" i="38"/>
  <c r="AQ207" i="38"/>
  <c r="AQ208" i="38"/>
  <c r="AQ213" i="38"/>
  <c r="AQ214" i="38"/>
  <c r="AQ215" i="38"/>
  <c r="AQ191" i="38"/>
  <c r="AQ194" i="38"/>
  <c r="AQ196" i="38"/>
  <c r="AQ197" i="38"/>
  <c r="AQ199" i="38"/>
  <c r="AQ200" i="38"/>
  <c r="AL220" i="38"/>
  <c r="AL221" i="38"/>
  <c r="AL205" i="38"/>
  <c r="AL206" i="38"/>
  <c r="AL207" i="38"/>
  <c r="AL208" i="38"/>
  <c r="AL213" i="38"/>
  <c r="AL214" i="38"/>
  <c r="AL215" i="38"/>
  <c r="AL191" i="38"/>
  <c r="AL194" i="38"/>
  <c r="AL196" i="38"/>
  <c r="AL197" i="38"/>
  <c r="AL199" i="38"/>
  <c r="AL200" i="38"/>
  <c r="AG220" i="38"/>
  <c r="AG221" i="38"/>
  <c r="AG205" i="38"/>
  <c r="AG206" i="38"/>
  <c r="AG207" i="38"/>
  <c r="AG208" i="38"/>
  <c r="AG213" i="38"/>
  <c r="AG214" i="38"/>
  <c r="AG215" i="38"/>
  <c r="AG191" i="38"/>
  <c r="AG194" i="38"/>
  <c r="AG196" i="38"/>
  <c r="AG197" i="38"/>
  <c r="AG199" i="38"/>
  <c r="AG200" i="38"/>
  <c r="AB220" i="38"/>
  <c r="AB221" i="38"/>
  <c r="AB205" i="38"/>
  <c r="AB206" i="38"/>
  <c r="AB207" i="38"/>
  <c r="AB208" i="38"/>
  <c r="AB213" i="38"/>
  <c r="AB214" i="38"/>
  <c r="AB215" i="38"/>
  <c r="AB189" i="38"/>
  <c r="AB191" i="38"/>
  <c r="AB194" i="38"/>
  <c r="AB196" i="38"/>
  <c r="AB197" i="38"/>
  <c r="AB199" i="38"/>
  <c r="AB200" i="38"/>
  <c r="W205" i="38"/>
  <c r="W206" i="38"/>
  <c r="W207" i="38"/>
  <c r="W208" i="38"/>
  <c r="W213" i="38"/>
  <c r="W214" i="38"/>
  <c r="W215" i="38"/>
  <c r="W189" i="38"/>
  <c r="W191" i="38"/>
  <c r="W194" i="38"/>
  <c r="W196" i="38"/>
  <c r="W197" i="38"/>
  <c r="W199" i="38"/>
  <c r="W200" i="38"/>
  <c r="R218" i="38"/>
  <c r="R220" i="38"/>
  <c r="R221" i="38"/>
  <c r="R205" i="38"/>
  <c r="R206" i="38"/>
  <c r="R207" i="38"/>
  <c r="R208" i="38"/>
  <c r="R213" i="38"/>
  <c r="R214" i="38"/>
  <c r="R215" i="38"/>
  <c r="R189" i="38"/>
  <c r="R191" i="38"/>
  <c r="R194" i="38"/>
  <c r="R196" i="38"/>
  <c r="R197" i="38"/>
  <c r="R199" i="38"/>
  <c r="R200" i="38"/>
  <c r="P224" i="38"/>
  <c r="O211" i="38"/>
  <c r="O216" i="38"/>
  <c r="O223" i="38"/>
  <c r="O224" i="38"/>
  <c r="N211" i="38"/>
  <c r="N216" i="38"/>
  <c r="N223" i="38"/>
  <c r="N224" i="38"/>
  <c r="M218" i="38"/>
  <c r="M219" i="38"/>
  <c r="M220" i="38"/>
  <c r="M221" i="38"/>
  <c r="M222" i="38"/>
  <c r="M203" i="38"/>
  <c r="M204" i="38"/>
  <c r="M205" i="38"/>
  <c r="M206" i="38"/>
  <c r="M207" i="38"/>
  <c r="M208" i="38"/>
  <c r="M211" i="38"/>
  <c r="M213" i="38"/>
  <c r="M214" i="38"/>
  <c r="M215" i="38"/>
  <c r="M216" i="38"/>
  <c r="M223" i="38"/>
  <c r="M189" i="38"/>
  <c r="M190" i="38"/>
  <c r="M191" i="38"/>
  <c r="M192" i="38"/>
  <c r="M194" i="38"/>
  <c r="M195" i="38"/>
  <c r="M196" i="38"/>
  <c r="M197" i="38"/>
  <c r="M198" i="38"/>
  <c r="M199" i="38"/>
  <c r="M200" i="38"/>
  <c r="M201" i="38"/>
  <c r="M224" i="38"/>
  <c r="L211" i="38"/>
  <c r="L216" i="38"/>
  <c r="L223" i="38"/>
  <c r="L224" i="38"/>
  <c r="K211" i="38"/>
  <c r="K216" i="38"/>
  <c r="K223" i="38"/>
  <c r="K224" i="38"/>
  <c r="J211" i="38"/>
  <c r="J216" i="38"/>
  <c r="J223" i="38"/>
  <c r="J224" i="38"/>
  <c r="I211" i="38"/>
  <c r="I216" i="38"/>
  <c r="I223" i="38"/>
  <c r="I224" i="38"/>
  <c r="H218" i="38"/>
  <c r="H219" i="38"/>
  <c r="H220" i="38"/>
  <c r="H221" i="38"/>
  <c r="H222" i="38"/>
  <c r="H203" i="38"/>
  <c r="H204" i="38"/>
  <c r="H205" i="38"/>
  <c r="H206" i="38"/>
  <c r="H207" i="38"/>
  <c r="H210" i="38"/>
  <c r="H211" i="38"/>
  <c r="H213" i="38"/>
  <c r="H215" i="38"/>
  <c r="H216" i="38"/>
  <c r="H223" i="38"/>
  <c r="H224" i="38"/>
  <c r="G211" i="38"/>
  <c r="G216" i="38"/>
  <c r="G223" i="38"/>
  <c r="G224" i="38"/>
  <c r="F211" i="38"/>
  <c r="F216" i="38"/>
  <c r="F223" i="38"/>
  <c r="F224" i="38"/>
  <c r="E211" i="38"/>
  <c r="E216" i="38"/>
  <c r="E223" i="38"/>
  <c r="E224" i="38"/>
  <c r="D211" i="38"/>
  <c r="D216" i="38"/>
  <c r="D223" i="38"/>
  <c r="D224" i="38"/>
  <c r="AQ210" i="38"/>
  <c r="AL210" i="38"/>
  <c r="AG210" i="38"/>
  <c r="AB210" i="38"/>
  <c r="W210" i="38"/>
  <c r="R210" i="38"/>
  <c r="M210" i="38"/>
  <c r="AQ95" i="38"/>
  <c r="AM84" i="38"/>
  <c r="AN84" i="38"/>
  <c r="AO84" i="38"/>
  <c r="AP84" i="38"/>
  <c r="AQ84" i="38"/>
  <c r="AQ102" i="38"/>
  <c r="AQ60" i="38"/>
  <c r="AQ49" i="38"/>
  <c r="AQ67" i="38"/>
  <c r="AH101" i="38"/>
  <c r="AI101" i="38"/>
  <c r="AJ101" i="38"/>
  <c r="AK101" i="38"/>
  <c r="AH66" i="38"/>
  <c r="AI66" i="38"/>
  <c r="AJ66" i="38"/>
  <c r="AK66" i="38"/>
  <c r="AQ183" i="38"/>
  <c r="AL95" i="38"/>
  <c r="AL84" i="38"/>
  <c r="AL102" i="38"/>
  <c r="AL60" i="38"/>
  <c r="AL49" i="38"/>
  <c r="AL67" i="38"/>
  <c r="AC101" i="38"/>
  <c r="AD101" i="38"/>
  <c r="AE101" i="38"/>
  <c r="AF101" i="38"/>
  <c r="AC66" i="38"/>
  <c r="AD66" i="38"/>
  <c r="AE66" i="38"/>
  <c r="AF66" i="38"/>
  <c r="AL183" i="38"/>
  <c r="AG95" i="38"/>
  <c r="AG84" i="38"/>
  <c r="AG102" i="38"/>
  <c r="AG60" i="38"/>
  <c r="AG49" i="38"/>
  <c r="AG67" i="38"/>
  <c r="X101" i="38"/>
  <c r="Y101" i="38"/>
  <c r="Z101" i="38"/>
  <c r="AA101" i="38"/>
  <c r="X66" i="38"/>
  <c r="Y66" i="38"/>
  <c r="Z66" i="38"/>
  <c r="AA66" i="38"/>
  <c r="AG183" i="38"/>
  <c r="AB95" i="38"/>
  <c r="AB84" i="38"/>
  <c r="AB102" i="38"/>
  <c r="AB60" i="38"/>
  <c r="AB49" i="38"/>
  <c r="AB67" i="38"/>
  <c r="S101" i="38"/>
  <c r="T101" i="38"/>
  <c r="U101" i="38"/>
  <c r="V101" i="38"/>
  <c r="S66" i="38"/>
  <c r="T66" i="38"/>
  <c r="U66" i="38"/>
  <c r="V66" i="38"/>
  <c r="AB183" i="38"/>
  <c r="V182" i="38"/>
  <c r="X182" i="38"/>
  <c r="Y182" i="38"/>
  <c r="Z182" i="38"/>
  <c r="AA182" i="38"/>
  <c r="AC182" i="38"/>
  <c r="AD182" i="38"/>
  <c r="AE182" i="38"/>
  <c r="AF182" i="38"/>
  <c r="AH182" i="38"/>
  <c r="AI182" i="38"/>
  <c r="AJ182" i="38"/>
  <c r="AK182" i="38"/>
  <c r="AM182" i="38"/>
  <c r="AN182" i="38"/>
  <c r="AO182" i="38"/>
  <c r="AP182" i="38"/>
  <c r="P181" i="38"/>
  <c r="P179" i="38"/>
  <c r="P182" i="38"/>
  <c r="O181" i="38"/>
  <c r="O179" i="38"/>
  <c r="O182" i="38"/>
  <c r="N181" i="38"/>
  <c r="N179" i="38"/>
  <c r="N182" i="38"/>
  <c r="L179" i="38"/>
  <c r="L182" i="38"/>
  <c r="K181" i="38"/>
  <c r="K179" i="38"/>
  <c r="K182" i="38"/>
  <c r="J179" i="38"/>
  <c r="J182" i="38"/>
  <c r="I179" i="38"/>
  <c r="I182" i="38"/>
  <c r="G172" i="38"/>
  <c r="G174" i="38"/>
  <c r="G177" i="38"/>
  <c r="G179" i="38"/>
  <c r="G182" i="38"/>
  <c r="F177" i="38"/>
  <c r="F179" i="38"/>
  <c r="F182" i="38"/>
  <c r="E177" i="38"/>
  <c r="E179" i="38"/>
  <c r="E182" i="38"/>
  <c r="D172" i="38"/>
  <c r="D173" i="38"/>
  <c r="D174" i="38"/>
  <c r="D177" i="38"/>
  <c r="D179" i="38"/>
  <c r="D182" i="38"/>
  <c r="AP172" i="38"/>
  <c r="AF172" i="38"/>
  <c r="AC172" i="38"/>
  <c r="AC176" i="38"/>
  <c r="AC177" i="38"/>
  <c r="AD172" i="38"/>
  <c r="AD176" i="38"/>
  <c r="AD177" i="38"/>
  <c r="AE172" i="38"/>
  <c r="AE176" i="38"/>
  <c r="AE177" i="38"/>
  <c r="AF176" i="38"/>
  <c r="AF177" i="38"/>
  <c r="AH172" i="38"/>
  <c r="AH176" i="38"/>
  <c r="AH177" i="38"/>
  <c r="AI172" i="38"/>
  <c r="AI176" i="38"/>
  <c r="AI177" i="38"/>
  <c r="AJ172" i="38"/>
  <c r="AJ176" i="38"/>
  <c r="AJ177" i="38"/>
  <c r="AK172" i="38"/>
  <c r="AK176" i="38"/>
  <c r="AK177" i="38"/>
  <c r="AM172" i="38"/>
  <c r="AM176" i="38"/>
  <c r="AM177" i="38"/>
  <c r="AN172" i="38"/>
  <c r="AN176" i="38"/>
  <c r="AN177" i="38"/>
  <c r="AO172" i="38"/>
  <c r="AO176" i="38"/>
  <c r="AO177" i="38"/>
  <c r="AP176" i="38"/>
  <c r="AP177" i="38"/>
  <c r="AP179" i="38"/>
  <c r="AP181" i="38"/>
  <c r="AO179" i="38"/>
  <c r="AO181" i="38"/>
  <c r="AN179" i="38"/>
  <c r="AN181" i="38"/>
  <c r="AM179" i="38"/>
  <c r="AM181" i="38"/>
  <c r="AK179" i="38"/>
  <c r="AK181" i="38"/>
  <c r="AJ179" i="38"/>
  <c r="AJ181" i="38"/>
  <c r="AI179" i="38"/>
  <c r="AI181" i="38"/>
  <c r="AH179" i="38"/>
  <c r="AH181" i="38"/>
  <c r="AF179" i="38"/>
  <c r="AF181" i="38"/>
  <c r="AE179" i="38"/>
  <c r="AE181" i="38"/>
  <c r="AD179" i="38"/>
  <c r="AD181" i="38"/>
  <c r="AC179" i="38"/>
  <c r="AC181" i="38"/>
  <c r="AA181" i="38"/>
  <c r="Z181" i="38"/>
  <c r="Y181" i="38"/>
  <c r="X181" i="38"/>
  <c r="V179" i="38"/>
  <c r="V181" i="38"/>
  <c r="F180" i="38"/>
  <c r="E180" i="38"/>
  <c r="H172" i="38"/>
  <c r="H173" i="38"/>
  <c r="H174" i="38"/>
  <c r="H175" i="38"/>
  <c r="H176" i="38"/>
  <c r="H177" i="38"/>
  <c r="F170" i="38"/>
  <c r="E170" i="38"/>
  <c r="E167" i="38"/>
  <c r="D166" i="38"/>
  <c r="D167" i="38"/>
  <c r="AQ164" i="38"/>
  <c r="AL164" i="38"/>
  <c r="AG164" i="38"/>
  <c r="AB164" i="38"/>
  <c r="W164" i="38"/>
  <c r="N164" i="38"/>
  <c r="O164" i="38"/>
  <c r="R164" i="38"/>
  <c r="I164" i="38"/>
  <c r="J164" i="38"/>
  <c r="K164" i="38"/>
  <c r="L164" i="38"/>
  <c r="M164" i="38"/>
  <c r="E164" i="38"/>
  <c r="F163" i="38"/>
  <c r="F164" i="38"/>
  <c r="G164" i="38"/>
  <c r="H164" i="38"/>
  <c r="AQ163" i="38"/>
  <c r="AL163" i="38"/>
  <c r="AG163" i="38"/>
  <c r="AB163" i="38"/>
  <c r="W163" i="38"/>
  <c r="R163" i="38"/>
  <c r="M163" i="38"/>
  <c r="H163" i="38"/>
  <c r="P162" i="38"/>
  <c r="O161" i="38"/>
  <c r="L161" i="38"/>
  <c r="K161" i="38"/>
  <c r="J161" i="38"/>
  <c r="I161" i="38"/>
  <c r="G161" i="38"/>
  <c r="F161" i="38"/>
  <c r="E161" i="38"/>
  <c r="O160" i="38"/>
  <c r="L160" i="38"/>
  <c r="K160" i="38"/>
  <c r="J160" i="38"/>
  <c r="I160" i="38"/>
  <c r="G160" i="38"/>
  <c r="F160" i="38"/>
  <c r="E160" i="38"/>
  <c r="P158" i="38"/>
  <c r="O158" i="38"/>
  <c r="N158" i="38"/>
  <c r="M158" i="38"/>
  <c r="L158" i="38"/>
  <c r="K158" i="38"/>
  <c r="J158" i="38"/>
  <c r="I158" i="38"/>
  <c r="P157" i="38"/>
  <c r="O157" i="38"/>
  <c r="N157" i="38"/>
  <c r="M157" i="38"/>
  <c r="L157" i="38"/>
  <c r="K157" i="38"/>
  <c r="J157" i="38"/>
  <c r="I157" i="38"/>
  <c r="AM26" i="38"/>
  <c r="AN26" i="38"/>
  <c r="AO26" i="38"/>
  <c r="AP26" i="38"/>
  <c r="AQ26" i="38"/>
  <c r="AM36" i="38"/>
  <c r="AN36" i="38"/>
  <c r="AO36" i="38"/>
  <c r="AP36" i="38"/>
  <c r="AQ36" i="38"/>
  <c r="AH26" i="38"/>
  <c r="AI26" i="38"/>
  <c r="AJ26" i="38"/>
  <c r="AK26" i="38"/>
  <c r="AL26" i="38"/>
  <c r="AH36" i="38"/>
  <c r="AI36" i="38"/>
  <c r="AJ36" i="38"/>
  <c r="AK36" i="38"/>
  <c r="AL36" i="38"/>
  <c r="AC26" i="38"/>
  <c r="AD26" i="38"/>
  <c r="AE26" i="38"/>
  <c r="AF26" i="38"/>
  <c r="AG26" i="38"/>
  <c r="AC36" i="38"/>
  <c r="AD36" i="38"/>
  <c r="AE36" i="38"/>
  <c r="AF36" i="38"/>
  <c r="AG36" i="38"/>
  <c r="X36" i="38"/>
  <c r="Y36" i="38"/>
  <c r="Z36" i="38"/>
  <c r="AA36" i="38"/>
  <c r="AB36" i="38"/>
  <c r="V26" i="38"/>
  <c r="W26" i="38"/>
  <c r="V36" i="38"/>
  <c r="W36" i="38"/>
  <c r="N26" i="38"/>
  <c r="O26" i="38"/>
  <c r="P26" i="38"/>
  <c r="R26" i="38"/>
  <c r="N36" i="38"/>
  <c r="O36" i="38"/>
  <c r="P36" i="38"/>
  <c r="R36" i="38"/>
  <c r="P27" i="38"/>
  <c r="P37" i="38"/>
  <c r="P42" i="38"/>
  <c r="O27" i="38"/>
  <c r="O37" i="38"/>
  <c r="O42" i="38"/>
  <c r="N27" i="38"/>
  <c r="N37" i="38"/>
  <c r="N42" i="38"/>
  <c r="I26" i="38"/>
  <c r="J26" i="38"/>
  <c r="K26" i="38"/>
  <c r="L26" i="38"/>
  <c r="M26" i="38"/>
  <c r="M27" i="38"/>
  <c r="I36" i="38"/>
  <c r="J36" i="38"/>
  <c r="K36" i="38"/>
  <c r="L36" i="38"/>
  <c r="M36" i="38"/>
  <c r="M37" i="38"/>
  <c r="M42" i="38"/>
  <c r="L27" i="38"/>
  <c r="L37" i="38"/>
  <c r="L42" i="38"/>
  <c r="K27" i="38"/>
  <c r="K37" i="38"/>
  <c r="K42" i="38"/>
  <c r="P156" i="38"/>
  <c r="J27" i="38"/>
  <c r="J37" i="38"/>
  <c r="J42" i="38"/>
  <c r="O156" i="38"/>
  <c r="I27" i="38"/>
  <c r="I37" i="38"/>
  <c r="I42" i="38"/>
  <c r="N156" i="38"/>
  <c r="D26" i="38"/>
  <c r="E26" i="38"/>
  <c r="F26" i="38"/>
  <c r="G26" i="38"/>
  <c r="H26" i="38"/>
  <c r="H27" i="38"/>
  <c r="D36" i="38"/>
  <c r="E36" i="38"/>
  <c r="F36" i="38"/>
  <c r="G36" i="38"/>
  <c r="H36" i="38"/>
  <c r="H37" i="38"/>
  <c r="H42" i="38"/>
  <c r="M156" i="38"/>
  <c r="G27" i="38"/>
  <c r="G34" i="38"/>
  <c r="G37" i="38"/>
  <c r="G42" i="38"/>
  <c r="L156" i="38"/>
  <c r="F27" i="38"/>
  <c r="F37" i="38"/>
  <c r="F42" i="38"/>
  <c r="K156" i="38"/>
  <c r="E27" i="38"/>
  <c r="E37" i="38"/>
  <c r="E42" i="38"/>
  <c r="J156" i="38"/>
  <c r="D27" i="38"/>
  <c r="D37" i="38"/>
  <c r="D42" i="38"/>
  <c r="I156" i="38"/>
  <c r="AQ155" i="38"/>
  <c r="AL155" i="38"/>
  <c r="AG155" i="38"/>
  <c r="AB155" i="38"/>
  <c r="W155" i="38"/>
  <c r="R155" i="38"/>
  <c r="M155" i="38"/>
  <c r="K155" i="38"/>
  <c r="J155" i="38"/>
  <c r="I155" i="38"/>
  <c r="G155" i="38"/>
  <c r="F155" i="38"/>
  <c r="E155" i="38"/>
  <c r="M154" i="38"/>
  <c r="K154" i="38"/>
  <c r="J154" i="38"/>
  <c r="I154" i="38"/>
  <c r="G154" i="38"/>
  <c r="F154" i="38"/>
  <c r="E154" i="38"/>
  <c r="M153" i="38"/>
  <c r="K153" i="38"/>
  <c r="J153" i="38"/>
  <c r="I153" i="38"/>
  <c r="H153" i="38"/>
  <c r="G153" i="38"/>
  <c r="F153" i="38"/>
  <c r="E153" i="38"/>
  <c r="D153" i="38"/>
  <c r="P152" i="38"/>
  <c r="O152" i="38"/>
  <c r="N152" i="38"/>
  <c r="M152" i="38"/>
  <c r="L152" i="38"/>
  <c r="K152" i="38"/>
  <c r="J152" i="38"/>
  <c r="I152" i="38"/>
  <c r="H152" i="38"/>
  <c r="G152" i="38"/>
  <c r="F152" i="38"/>
  <c r="E152" i="38"/>
  <c r="D152" i="38"/>
  <c r="P151" i="38"/>
  <c r="O151" i="38"/>
  <c r="N151" i="38"/>
  <c r="M151" i="38"/>
  <c r="L151" i="38"/>
  <c r="K151" i="38"/>
  <c r="J151" i="38"/>
  <c r="I151" i="38"/>
  <c r="H151" i="38"/>
  <c r="G151" i="38"/>
  <c r="F151" i="38"/>
  <c r="E151" i="38"/>
  <c r="D151" i="38"/>
  <c r="AO150" i="38"/>
  <c r="AJ150" i="38"/>
  <c r="AE150" i="38"/>
  <c r="AA150" i="38"/>
  <c r="Z150" i="38"/>
  <c r="W150" i="38"/>
  <c r="V150" i="38"/>
  <c r="U150" i="38"/>
  <c r="T150" i="38"/>
  <c r="S150" i="38"/>
  <c r="R150" i="38"/>
  <c r="Q150" i="38"/>
  <c r="P150" i="38"/>
  <c r="O150" i="38"/>
  <c r="N150" i="38"/>
  <c r="M150" i="38"/>
  <c r="L150" i="38"/>
  <c r="K150" i="38"/>
  <c r="J150" i="38"/>
  <c r="I150" i="38"/>
  <c r="X114" i="38"/>
  <c r="X116" i="38"/>
  <c r="X129" i="38"/>
  <c r="X131" i="38"/>
  <c r="X141" i="38"/>
  <c r="X142" i="38"/>
  <c r="V114" i="38"/>
  <c r="V116" i="38"/>
  <c r="V129" i="38"/>
  <c r="V131" i="38"/>
  <c r="V141" i="38"/>
  <c r="V142" i="38"/>
  <c r="U114" i="38"/>
  <c r="U116" i="38"/>
  <c r="U129" i="38"/>
  <c r="U131" i="38"/>
  <c r="U141" i="38"/>
  <c r="U142" i="38"/>
  <c r="T114" i="38"/>
  <c r="T116" i="38"/>
  <c r="T129" i="38"/>
  <c r="T131" i="38"/>
  <c r="T141" i="38"/>
  <c r="T142" i="38"/>
  <c r="S114" i="38"/>
  <c r="S116" i="38"/>
  <c r="S129" i="38"/>
  <c r="S131" i="38"/>
  <c r="S141" i="38"/>
  <c r="S142" i="38"/>
  <c r="Q114" i="38"/>
  <c r="Q116" i="38"/>
  <c r="Q129" i="38"/>
  <c r="Q131" i="38"/>
  <c r="Q141" i="38"/>
  <c r="Q142" i="38"/>
  <c r="P79" i="38"/>
  <c r="P80" i="38"/>
  <c r="P114" i="38"/>
  <c r="P116" i="38"/>
  <c r="P129" i="38"/>
  <c r="P131" i="38"/>
  <c r="P141" i="38"/>
  <c r="P142" i="38"/>
  <c r="P148" i="38"/>
  <c r="O79" i="38"/>
  <c r="O80" i="38"/>
  <c r="O114" i="38"/>
  <c r="O116" i="38"/>
  <c r="O129" i="38"/>
  <c r="O131" i="38"/>
  <c r="O141" i="38"/>
  <c r="O142" i="38"/>
  <c r="O148" i="38"/>
  <c r="N79" i="38"/>
  <c r="N80" i="38"/>
  <c r="N114" i="38"/>
  <c r="N116" i="38"/>
  <c r="N129" i="38"/>
  <c r="N131" i="38"/>
  <c r="N141" i="38"/>
  <c r="N142" i="38"/>
  <c r="N148" i="38"/>
  <c r="L79" i="38"/>
  <c r="L80" i="38"/>
  <c r="L103" i="38"/>
  <c r="L114" i="38"/>
  <c r="L116" i="38"/>
  <c r="L129" i="38"/>
  <c r="L131" i="38"/>
  <c r="L141" i="38"/>
  <c r="L142" i="38"/>
  <c r="L148" i="38"/>
  <c r="K79" i="38"/>
  <c r="K80" i="38"/>
  <c r="K103" i="38"/>
  <c r="K114" i="38"/>
  <c r="K116" i="38"/>
  <c r="K129" i="38"/>
  <c r="K131" i="38"/>
  <c r="K141" i="38"/>
  <c r="K142" i="38"/>
  <c r="K148" i="38"/>
  <c r="J79" i="38"/>
  <c r="J80" i="38"/>
  <c r="J103" i="38"/>
  <c r="J114" i="38"/>
  <c r="J116" i="38"/>
  <c r="J129" i="38"/>
  <c r="J131" i="38"/>
  <c r="J141" i="38"/>
  <c r="J142" i="38"/>
  <c r="J148" i="38"/>
  <c r="I79" i="38"/>
  <c r="I80" i="38"/>
  <c r="I103" i="38"/>
  <c r="I114" i="38"/>
  <c r="I116" i="38"/>
  <c r="I129" i="38"/>
  <c r="I131" i="38"/>
  <c r="I141" i="38"/>
  <c r="I142" i="38"/>
  <c r="I148" i="38"/>
  <c r="G79" i="38"/>
  <c r="G80" i="38"/>
  <c r="G103" i="38"/>
  <c r="G114" i="38"/>
  <c r="G116" i="38"/>
  <c r="G129" i="38"/>
  <c r="G131" i="38"/>
  <c r="G137" i="38"/>
  <c r="G141" i="38"/>
  <c r="G142" i="38"/>
  <c r="G148" i="38"/>
  <c r="F79" i="38"/>
  <c r="F80" i="38"/>
  <c r="F103" i="38"/>
  <c r="F114" i="38"/>
  <c r="F116" i="38"/>
  <c r="F129" i="38"/>
  <c r="F131" i="38"/>
  <c r="F141" i="38"/>
  <c r="F142" i="38"/>
  <c r="F148" i="38"/>
  <c r="E79" i="38"/>
  <c r="E80" i="38"/>
  <c r="E103" i="38"/>
  <c r="E114" i="38"/>
  <c r="E116" i="38"/>
  <c r="E129" i="38"/>
  <c r="E131" i="38"/>
  <c r="E141" i="38"/>
  <c r="E142" i="38"/>
  <c r="E148" i="38"/>
  <c r="D79" i="38"/>
  <c r="D80" i="38"/>
  <c r="D103" i="38"/>
  <c r="D114" i="38"/>
  <c r="D116" i="38"/>
  <c r="D129" i="38"/>
  <c r="D131" i="38"/>
  <c r="D141" i="38"/>
  <c r="D142" i="38"/>
  <c r="D148" i="38"/>
  <c r="AP147" i="38"/>
  <c r="AO147" i="38"/>
  <c r="AN147" i="38"/>
  <c r="AM147" i="38"/>
  <c r="AK147" i="38"/>
  <c r="AJ147" i="38"/>
  <c r="AI147" i="38"/>
  <c r="AH147" i="38"/>
  <c r="AF147" i="38"/>
  <c r="AE147" i="38"/>
  <c r="AD147" i="38"/>
  <c r="AC147" i="38"/>
  <c r="AA147" i="38"/>
  <c r="Z147" i="38"/>
  <c r="Y147" i="38"/>
  <c r="X147" i="38"/>
  <c r="V147" i="38"/>
  <c r="U147" i="38"/>
  <c r="T147" i="38"/>
  <c r="S147" i="38"/>
  <c r="Q147" i="38"/>
  <c r="P147" i="38"/>
  <c r="O147" i="38"/>
  <c r="N147" i="38"/>
  <c r="L147" i="38"/>
  <c r="K147" i="38"/>
  <c r="J147" i="38"/>
  <c r="I147" i="38"/>
  <c r="G147" i="38"/>
  <c r="F147" i="38"/>
  <c r="E147" i="38"/>
  <c r="D147" i="38"/>
  <c r="AP146" i="38"/>
  <c r="AO146" i="38"/>
  <c r="AN146" i="38"/>
  <c r="AM146" i="38"/>
  <c r="AK146" i="38"/>
  <c r="AJ146" i="38"/>
  <c r="AI146" i="38"/>
  <c r="AH146" i="38"/>
  <c r="AF146" i="38"/>
  <c r="AE146" i="38"/>
  <c r="AD146" i="38"/>
  <c r="AC146" i="38"/>
  <c r="AA146" i="38"/>
  <c r="Z146" i="38"/>
  <c r="Y146" i="38"/>
  <c r="X146" i="38"/>
  <c r="V146" i="38"/>
  <c r="U146" i="38"/>
  <c r="T146" i="38"/>
  <c r="S146" i="38"/>
  <c r="Q146" i="38"/>
  <c r="P146" i="38"/>
  <c r="O146" i="38"/>
  <c r="N146" i="38"/>
  <c r="L146" i="38"/>
  <c r="K146" i="38"/>
  <c r="J146" i="38"/>
  <c r="I146" i="38"/>
  <c r="G146" i="38"/>
  <c r="F146" i="38"/>
  <c r="E146" i="38"/>
  <c r="D146" i="38"/>
  <c r="AP145" i="38"/>
  <c r="AO145" i="38"/>
  <c r="AN145" i="38"/>
  <c r="AM145" i="38"/>
  <c r="AK145" i="38"/>
  <c r="AJ145" i="38"/>
  <c r="AI145" i="38"/>
  <c r="AH145" i="38"/>
  <c r="AF145" i="38"/>
  <c r="AE145" i="38"/>
  <c r="AD145" i="38"/>
  <c r="AC145" i="38"/>
  <c r="AA145" i="38"/>
  <c r="Z145" i="38"/>
  <c r="Y145" i="38"/>
  <c r="X145" i="38"/>
  <c r="V145" i="38"/>
  <c r="U145" i="38"/>
  <c r="T145" i="38"/>
  <c r="S145" i="38"/>
  <c r="Q145" i="38"/>
  <c r="P145" i="38"/>
  <c r="O145" i="38"/>
  <c r="N145" i="38"/>
  <c r="L145" i="38"/>
  <c r="K145" i="38"/>
  <c r="J145" i="38"/>
  <c r="I145" i="38"/>
  <c r="G145" i="38"/>
  <c r="F145" i="38"/>
  <c r="E145" i="38"/>
  <c r="D145" i="38"/>
  <c r="AO144" i="38"/>
  <c r="AJ144" i="38"/>
  <c r="AE144" i="38"/>
  <c r="AA144" i="38"/>
  <c r="Z144" i="38"/>
  <c r="V144" i="38"/>
  <c r="U144" i="38"/>
  <c r="T144" i="38"/>
  <c r="S144" i="38"/>
  <c r="Q144" i="38"/>
  <c r="P144" i="38"/>
  <c r="O144" i="38"/>
  <c r="N144" i="38"/>
  <c r="L144" i="38"/>
  <c r="K144" i="38"/>
  <c r="J144" i="38"/>
  <c r="I144" i="38"/>
  <c r="G144" i="38"/>
  <c r="F144" i="38"/>
  <c r="E144" i="38"/>
  <c r="D144" i="38"/>
  <c r="AQ134" i="38"/>
  <c r="AQ136" i="38"/>
  <c r="AQ137" i="38"/>
  <c r="AQ139" i="38"/>
  <c r="AQ140" i="38"/>
  <c r="AL134" i="38"/>
  <c r="AL136" i="38"/>
  <c r="AL137" i="38"/>
  <c r="AL139" i="38"/>
  <c r="AL140" i="38"/>
  <c r="AG134" i="38"/>
  <c r="AG136" i="38"/>
  <c r="AG137" i="38"/>
  <c r="AG139" i="38"/>
  <c r="AG140" i="38"/>
  <c r="AB134" i="38"/>
  <c r="AB136" i="38"/>
  <c r="AB137" i="38"/>
  <c r="AB139" i="38"/>
  <c r="AB140" i="38"/>
  <c r="W134" i="38"/>
  <c r="W136" i="38"/>
  <c r="W137" i="38"/>
  <c r="W138" i="38"/>
  <c r="W139" i="38"/>
  <c r="W140" i="38"/>
  <c r="W141" i="38"/>
  <c r="W142" i="38"/>
  <c r="R134" i="38"/>
  <c r="R136" i="38"/>
  <c r="R137" i="38"/>
  <c r="R138" i="38"/>
  <c r="R139" i="38"/>
  <c r="R140" i="38"/>
  <c r="R141" i="38"/>
  <c r="R142" i="38"/>
  <c r="M134" i="38"/>
  <c r="M136" i="38"/>
  <c r="M137" i="38"/>
  <c r="M138" i="38"/>
  <c r="M139" i="38"/>
  <c r="M140" i="38"/>
  <c r="M141" i="38"/>
  <c r="M142" i="38"/>
  <c r="AQ135" i="38"/>
  <c r="AL135" i="38"/>
  <c r="AG135" i="38"/>
  <c r="AB135" i="38"/>
  <c r="W135" i="38"/>
  <c r="R135" i="38"/>
  <c r="N135" i="38"/>
  <c r="H134" i="38"/>
  <c r="M135" i="38"/>
  <c r="L135" i="38"/>
  <c r="K135" i="38"/>
  <c r="J135" i="38"/>
  <c r="I135" i="38"/>
  <c r="AQ119" i="38"/>
  <c r="AQ121" i="38"/>
  <c r="AQ123" i="38"/>
  <c r="AQ126" i="38"/>
  <c r="AQ128" i="38"/>
  <c r="AQ130" i="38"/>
  <c r="AL119" i="38"/>
  <c r="AL121" i="38"/>
  <c r="AL123" i="38"/>
  <c r="AL126" i="38"/>
  <c r="AL128" i="38"/>
  <c r="AL130" i="38"/>
  <c r="AG119" i="38"/>
  <c r="AG121" i="38"/>
  <c r="AG123" i="38"/>
  <c r="AG126" i="38"/>
  <c r="AG128" i="38"/>
  <c r="AG130" i="38"/>
  <c r="AB119" i="38"/>
  <c r="AB121" i="38"/>
  <c r="AB123" i="38"/>
  <c r="AB126" i="38"/>
  <c r="AB128" i="38"/>
  <c r="AB130" i="38"/>
  <c r="X132" i="38"/>
  <c r="W119" i="38"/>
  <c r="W121" i="38"/>
  <c r="W123" i="38"/>
  <c r="W125" i="38"/>
  <c r="W126" i="38"/>
  <c r="W128" i="38"/>
  <c r="W129" i="38"/>
  <c r="W130" i="38"/>
  <c r="W131" i="38"/>
  <c r="W132" i="38"/>
  <c r="V132" i="38"/>
  <c r="U132" i="38"/>
  <c r="T132" i="38"/>
  <c r="S132" i="38"/>
  <c r="R119" i="38"/>
  <c r="R121" i="38"/>
  <c r="R123" i="38"/>
  <c r="R125" i="38"/>
  <c r="R126" i="38"/>
  <c r="R128" i="38"/>
  <c r="R129" i="38"/>
  <c r="R130" i="38"/>
  <c r="R131" i="38"/>
  <c r="R132" i="38"/>
  <c r="Q132" i="38"/>
  <c r="P132" i="38"/>
  <c r="O132" i="38"/>
  <c r="N132" i="38"/>
  <c r="M119" i="38"/>
  <c r="M121" i="38"/>
  <c r="M123" i="38"/>
  <c r="M125" i="38"/>
  <c r="M126" i="38"/>
  <c r="M128" i="38"/>
  <c r="M129" i="38"/>
  <c r="M130" i="38"/>
  <c r="M131" i="38"/>
  <c r="M132" i="38"/>
  <c r="L132" i="38"/>
  <c r="K132" i="38"/>
  <c r="J132" i="38"/>
  <c r="I132" i="38"/>
  <c r="H119" i="38"/>
  <c r="H121" i="38"/>
  <c r="H123" i="38"/>
  <c r="H125" i="38"/>
  <c r="H126" i="38"/>
  <c r="H128" i="38"/>
  <c r="H129" i="38"/>
  <c r="H130" i="38"/>
  <c r="H131" i="38"/>
  <c r="H132" i="38"/>
  <c r="G132" i="38"/>
  <c r="F132" i="38"/>
  <c r="E132" i="38"/>
  <c r="D132" i="38"/>
  <c r="AQ127" i="38"/>
  <c r="AL127" i="38"/>
  <c r="AG127" i="38"/>
  <c r="AB127" i="38"/>
  <c r="W127" i="38"/>
  <c r="R127" i="38"/>
  <c r="O127" i="38"/>
  <c r="N127" i="38"/>
  <c r="M127" i="38"/>
  <c r="L127" i="38"/>
  <c r="K127" i="38"/>
  <c r="J127" i="38"/>
  <c r="I127" i="38"/>
  <c r="H127" i="38"/>
  <c r="G127" i="38"/>
  <c r="F127" i="38"/>
  <c r="E127" i="38"/>
  <c r="D127" i="38"/>
  <c r="AQ124" i="38"/>
  <c r="AL124" i="38"/>
  <c r="AG124" i="38"/>
  <c r="AB124" i="38"/>
  <c r="W124" i="38"/>
  <c r="R124" i="38"/>
  <c r="P124" i="38"/>
  <c r="O124" i="38"/>
  <c r="N124" i="38"/>
  <c r="M124" i="38"/>
  <c r="L124" i="38"/>
  <c r="K124" i="38"/>
  <c r="J124" i="38"/>
  <c r="I124" i="38"/>
  <c r="H124" i="38"/>
  <c r="G124" i="38"/>
  <c r="F124" i="38"/>
  <c r="E124" i="38"/>
  <c r="D124" i="38"/>
  <c r="AQ122" i="38"/>
  <c r="AL122" i="38"/>
  <c r="AG122" i="38"/>
  <c r="AB122" i="38"/>
  <c r="W122" i="38"/>
  <c r="R122" i="38"/>
  <c r="O122" i="38"/>
  <c r="N122" i="38"/>
  <c r="M122" i="38"/>
  <c r="L122" i="38"/>
  <c r="K122" i="38"/>
  <c r="J122" i="38"/>
  <c r="I122" i="38"/>
  <c r="H122" i="38"/>
  <c r="G122" i="38"/>
  <c r="F122" i="38"/>
  <c r="E122" i="38"/>
  <c r="D122" i="38"/>
  <c r="AQ120" i="38"/>
  <c r="AL120" i="38"/>
  <c r="AG120" i="38"/>
  <c r="AB120" i="38"/>
  <c r="W120" i="38"/>
  <c r="R120" i="38"/>
  <c r="P120" i="38"/>
  <c r="O120" i="38"/>
  <c r="N120" i="38"/>
  <c r="M120" i="38"/>
  <c r="L120" i="38"/>
  <c r="K120" i="38"/>
  <c r="J120" i="38"/>
  <c r="I120" i="38"/>
  <c r="AQ103" i="38"/>
  <c r="AL103" i="38"/>
  <c r="AG103" i="38"/>
  <c r="AB103" i="38"/>
  <c r="X117" i="38"/>
  <c r="W116" i="38"/>
  <c r="W103" i="38"/>
  <c r="W117" i="38"/>
  <c r="V117" i="38"/>
  <c r="U117" i="38"/>
  <c r="T117" i="38"/>
  <c r="S117" i="38"/>
  <c r="R116" i="38"/>
  <c r="R103" i="38"/>
  <c r="R117" i="38"/>
  <c r="Q117" i="38"/>
  <c r="P117" i="38"/>
  <c r="O117" i="38"/>
  <c r="N117" i="38"/>
  <c r="M116" i="38"/>
  <c r="M103" i="38"/>
  <c r="M117" i="38"/>
  <c r="L117" i="38"/>
  <c r="K117" i="38"/>
  <c r="J117" i="38"/>
  <c r="I117" i="38"/>
  <c r="H116" i="38"/>
  <c r="H103" i="38"/>
  <c r="H117" i="38"/>
  <c r="G117" i="38"/>
  <c r="F117" i="38"/>
  <c r="E117" i="38"/>
  <c r="D117" i="38"/>
  <c r="AQ115" i="38"/>
  <c r="AL115" i="38"/>
  <c r="AG115" i="38"/>
  <c r="AB115" i="38"/>
  <c r="W115" i="38"/>
  <c r="R115" i="38"/>
  <c r="M115" i="38"/>
  <c r="H115" i="38"/>
  <c r="AQ104" i="38"/>
  <c r="AQ106" i="38"/>
  <c r="AQ108" i="38"/>
  <c r="AQ111" i="38"/>
  <c r="AQ113" i="38"/>
  <c r="AL104" i="38"/>
  <c r="AL106" i="38"/>
  <c r="AL108" i="38"/>
  <c r="AL111" i="38"/>
  <c r="AL113" i="38"/>
  <c r="AG104" i="38"/>
  <c r="AG106" i="38"/>
  <c r="AG108" i="38"/>
  <c r="AG111" i="38"/>
  <c r="AG113" i="38"/>
  <c r="AB104" i="38"/>
  <c r="AB106" i="38"/>
  <c r="AB108" i="38"/>
  <c r="AB111" i="38"/>
  <c r="AB113" i="38"/>
  <c r="W104" i="38"/>
  <c r="W106" i="38"/>
  <c r="W108" i="38"/>
  <c r="W110" i="38"/>
  <c r="W111" i="38"/>
  <c r="W113" i="38"/>
  <c r="W114" i="38"/>
  <c r="R104" i="38"/>
  <c r="R106" i="38"/>
  <c r="R108" i="38"/>
  <c r="R110" i="38"/>
  <c r="R111" i="38"/>
  <c r="R113" i="38"/>
  <c r="R114" i="38"/>
  <c r="M104" i="38"/>
  <c r="M106" i="38"/>
  <c r="M108" i="38"/>
  <c r="M110" i="38"/>
  <c r="M111" i="38"/>
  <c r="M113" i="38"/>
  <c r="M114" i="38"/>
  <c r="H104" i="38"/>
  <c r="H106" i="38"/>
  <c r="H108" i="38"/>
  <c r="H110" i="38"/>
  <c r="H111" i="38"/>
  <c r="H113" i="38"/>
  <c r="H114" i="38"/>
  <c r="AQ112" i="38"/>
  <c r="AL112" i="38"/>
  <c r="AG112" i="38"/>
  <c r="AB112" i="38"/>
  <c r="W112" i="38"/>
  <c r="R112" i="38"/>
  <c r="M112" i="38"/>
  <c r="L112" i="38"/>
  <c r="K112" i="38"/>
  <c r="J112" i="38"/>
  <c r="I112" i="38"/>
  <c r="H112" i="38"/>
  <c r="G112" i="38"/>
  <c r="F112" i="38"/>
  <c r="E112" i="38"/>
  <c r="D112" i="38"/>
  <c r="AQ109" i="38"/>
  <c r="AL109" i="38"/>
  <c r="AG109" i="38"/>
  <c r="AB109" i="38"/>
  <c r="W109" i="38"/>
  <c r="R109" i="38"/>
  <c r="M109" i="38"/>
  <c r="L109" i="38"/>
  <c r="K109" i="38"/>
  <c r="J109" i="38"/>
  <c r="I109" i="38"/>
  <c r="H109" i="38"/>
  <c r="G109" i="38"/>
  <c r="F109" i="38"/>
  <c r="E109" i="38"/>
  <c r="D109" i="38"/>
  <c r="AQ91" i="38"/>
  <c r="AQ107" i="38"/>
  <c r="AL91" i="38"/>
  <c r="AL107" i="38"/>
  <c r="AG91" i="38"/>
  <c r="AG107" i="38"/>
  <c r="AB91" i="38"/>
  <c r="AB107" i="38"/>
  <c r="W91" i="38"/>
  <c r="W107" i="38"/>
  <c r="R91" i="38"/>
  <c r="R107" i="38"/>
  <c r="M91" i="38"/>
  <c r="M107" i="38"/>
  <c r="L107" i="38"/>
  <c r="K107" i="38"/>
  <c r="J107" i="38"/>
  <c r="I107" i="38"/>
  <c r="H91" i="38"/>
  <c r="H107" i="38"/>
  <c r="G107" i="38"/>
  <c r="F107" i="38"/>
  <c r="E107" i="38"/>
  <c r="D107" i="38"/>
  <c r="AQ105" i="38"/>
  <c r="AL105" i="38"/>
  <c r="AG105" i="38"/>
  <c r="AB105" i="38"/>
  <c r="W105" i="38"/>
  <c r="R105" i="38"/>
  <c r="M105" i="38"/>
  <c r="L105" i="38"/>
  <c r="K105" i="38"/>
  <c r="J105" i="38"/>
  <c r="I105" i="38"/>
  <c r="H105" i="38"/>
  <c r="G105" i="38"/>
  <c r="F105" i="38"/>
  <c r="E105" i="38"/>
  <c r="D105" i="38"/>
  <c r="AP102" i="38"/>
  <c r="AO102" i="38"/>
  <c r="AN102" i="38"/>
  <c r="AM102" i="38"/>
  <c r="AK102" i="38"/>
  <c r="AJ102" i="38"/>
  <c r="AI102" i="38"/>
  <c r="AH102" i="38"/>
  <c r="AF102" i="38"/>
  <c r="AE102" i="38"/>
  <c r="AD102" i="38"/>
  <c r="AC102" i="38"/>
  <c r="AA102" i="38"/>
  <c r="Z102" i="38"/>
  <c r="Y102" i="38"/>
  <c r="X102" i="38"/>
  <c r="W95" i="38"/>
  <c r="W84" i="38"/>
  <c r="W102" i="38"/>
  <c r="V102" i="38"/>
  <c r="U102" i="38"/>
  <c r="T102" i="38"/>
  <c r="S102" i="38"/>
  <c r="R95" i="38"/>
  <c r="R84" i="38"/>
  <c r="R102" i="38"/>
  <c r="Q102" i="38"/>
  <c r="P102" i="38"/>
  <c r="O102" i="38"/>
  <c r="N102" i="38"/>
  <c r="I95" i="38"/>
  <c r="J95" i="38"/>
  <c r="K95" i="38"/>
  <c r="L95" i="38"/>
  <c r="M95" i="38"/>
  <c r="I84" i="38"/>
  <c r="J84" i="38"/>
  <c r="K84" i="38"/>
  <c r="L84" i="38"/>
  <c r="M84" i="38"/>
  <c r="M102" i="38"/>
  <c r="L102" i="38"/>
  <c r="K102" i="38"/>
  <c r="J102" i="38"/>
  <c r="I102" i="38"/>
  <c r="D95" i="38"/>
  <c r="E95" i="38"/>
  <c r="F95" i="38"/>
  <c r="G95" i="38"/>
  <c r="H95" i="38"/>
  <c r="D84" i="38"/>
  <c r="E84" i="38"/>
  <c r="F84" i="38"/>
  <c r="G84" i="38"/>
  <c r="H84" i="38"/>
  <c r="H102" i="38"/>
  <c r="G102" i="38"/>
  <c r="F102" i="38"/>
  <c r="E102" i="38"/>
  <c r="D102" i="38"/>
  <c r="AQ101" i="38"/>
  <c r="AM83" i="38"/>
  <c r="AN83" i="38"/>
  <c r="AO83" i="38"/>
  <c r="AP83" i="38"/>
  <c r="AP101" i="38"/>
  <c r="AO101" i="38"/>
  <c r="AN101" i="38"/>
  <c r="AM101" i="38"/>
  <c r="AL101" i="38"/>
  <c r="AG101" i="38"/>
  <c r="AB101" i="38"/>
  <c r="N101" i="38"/>
  <c r="O101" i="38"/>
  <c r="P101" i="38"/>
  <c r="Q101" i="38"/>
  <c r="W101" i="38"/>
  <c r="L101" i="38"/>
  <c r="K101" i="38"/>
  <c r="J101" i="38"/>
  <c r="I101" i="38"/>
  <c r="G101" i="38"/>
  <c r="F101" i="38"/>
  <c r="E101" i="38"/>
  <c r="D101" i="38"/>
  <c r="P100" i="38"/>
  <c r="O100" i="38"/>
  <c r="N100" i="38"/>
  <c r="L100" i="38"/>
  <c r="K100" i="38"/>
  <c r="J100" i="38"/>
  <c r="I100" i="38"/>
  <c r="AQ99" i="38"/>
  <c r="AL99" i="38"/>
  <c r="AG99" i="38"/>
  <c r="AB99" i="38"/>
  <c r="W99" i="38"/>
  <c r="R99" i="38"/>
  <c r="M99" i="38"/>
  <c r="H99" i="38"/>
  <c r="AQ98" i="38"/>
  <c r="AL98" i="38"/>
  <c r="AG98" i="38"/>
  <c r="AB98" i="38"/>
  <c r="W98" i="38"/>
  <c r="R98" i="38"/>
  <c r="M98" i="38"/>
  <c r="H98" i="38"/>
  <c r="P96" i="38"/>
  <c r="P97" i="38"/>
  <c r="O96" i="38"/>
  <c r="O97" i="38"/>
  <c r="N96" i="38"/>
  <c r="N97" i="38"/>
  <c r="L96" i="38"/>
  <c r="L97" i="38"/>
  <c r="K96" i="38"/>
  <c r="K97" i="38"/>
  <c r="J96" i="38"/>
  <c r="J97" i="38"/>
  <c r="I96" i="38"/>
  <c r="I97" i="38"/>
  <c r="G96" i="38"/>
  <c r="G97" i="38"/>
  <c r="F96" i="38"/>
  <c r="F97" i="38"/>
  <c r="E96" i="38"/>
  <c r="E97" i="38"/>
  <c r="D96" i="38"/>
  <c r="D97" i="38"/>
  <c r="AQ94" i="38"/>
  <c r="AL94" i="38"/>
  <c r="AG94" i="38"/>
  <c r="AB94" i="38"/>
  <c r="W94" i="38"/>
  <c r="R94" i="38"/>
  <c r="M94" i="38"/>
  <c r="H94" i="38"/>
  <c r="AP93" i="38"/>
  <c r="AO93" i="38"/>
  <c r="AN93" i="38"/>
  <c r="AM93" i="38"/>
  <c r="AK93" i="38"/>
  <c r="AJ93" i="38"/>
  <c r="AI93" i="38"/>
  <c r="AH93" i="38"/>
  <c r="AF93" i="38"/>
  <c r="AE93" i="38"/>
  <c r="AD93" i="38"/>
  <c r="AC93" i="38"/>
  <c r="AA93" i="38"/>
  <c r="Z93" i="38"/>
  <c r="Y93" i="38"/>
  <c r="X93" i="38"/>
  <c r="V93" i="38"/>
  <c r="U93" i="38"/>
  <c r="T93" i="38"/>
  <c r="S93" i="38"/>
  <c r="Q93" i="38"/>
  <c r="P85" i="38"/>
  <c r="P93" i="38"/>
  <c r="O85" i="38"/>
  <c r="O93" i="38"/>
  <c r="N85" i="38"/>
  <c r="N93" i="38"/>
  <c r="L85" i="38"/>
  <c r="L93" i="38"/>
  <c r="K85" i="38"/>
  <c r="K93" i="38"/>
  <c r="J85" i="38"/>
  <c r="J93" i="38"/>
  <c r="I85" i="38"/>
  <c r="I93" i="38"/>
  <c r="G93" i="38"/>
  <c r="F93" i="38"/>
  <c r="E93" i="38"/>
  <c r="D93" i="38"/>
  <c r="AP92" i="38"/>
  <c r="AO92" i="38"/>
  <c r="AN92" i="38"/>
  <c r="AM92" i="38"/>
  <c r="AK92" i="38"/>
  <c r="AJ92" i="38"/>
  <c r="AI92" i="38"/>
  <c r="AH92" i="38"/>
  <c r="AF92" i="38"/>
  <c r="AE92" i="38"/>
  <c r="AD92" i="38"/>
  <c r="AC92" i="38"/>
  <c r="AA92" i="38"/>
  <c r="Z92" i="38"/>
  <c r="Y92" i="38"/>
  <c r="X92" i="38"/>
  <c r="V92" i="38"/>
  <c r="U92" i="38"/>
  <c r="T92" i="38"/>
  <c r="S92" i="38"/>
  <c r="Q92" i="38"/>
  <c r="P92" i="38"/>
  <c r="O92" i="38"/>
  <c r="N92" i="38"/>
  <c r="L92" i="38"/>
  <c r="K92" i="38"/>
  <c r="J92" i="38"/>
  <c r="I92" i="38"/>
  <c r="G92" i="38"/>
  <c r="F92" i="38"/>
  <c r="E92" i="38"/>
  <c r="D92" i="38"/>
  <c r="AQ83" i="38"/>
  <c r="AL83" i="38"/>
  <c r="AG83" i="38"/>
  <c r="AB83" i="38"/>
  <c r="W83" i="38"/>
  <c r="R83" i="38"/>
  <c r="M83" i="38"/>
  <c r="H83" i="38"/>
  <c r="P81" i="38"/>
  <c r="O81" i="38"/>
  <c r="N81" i="38"/>
  <c r="M80" i="38"/>
  <c r="M68" i="38"/>
  <c r="M81" i="38"/>
  <c r="L81" i="38"/>
  <c r="K81" i="38"/>
  <c r="J81" i="38"/>
  <c r="I81" i="38"/>
  <c r="H80" i="38"/>
  <c r="H68" i="38"/>
  <c r="H81" i="38"/>
  <c r="G81" i="38"/>
  <c r="F81" i="38"/>
  <c r="E81" i="38"/>
  <c r="D81" i="38"/>
  <c r="AQ78" i="38"/>
  <c r="AL78" i="38"/>
  <c r="AG78" i="38"/>
  <c r="AB78" i="38"/>
  <c r="W71" i="38"/>
  <c r="W73" i="38"/>
  <c r="W75" i="38"/>
  <c r="W78" i="38"/>
  <c r="R71" i="38"/>
  <c r="R73" i="38"/>
  <c r="R75" i="38"/>
  <c r="R78" i="38"/>
  <c r="M79" i="38"/>
  <c r="H79" i="38"/>
  <c r="W74" i="38"/>
  <c r="R74" i="38"/>
  <c r="O74" i="38"/>
  <c r="N74" i="38"/>
  <c r="L74" i="38"/>
  <c r="K74" i="38"/>
  <c r="J74" i="38"/>
  <c r="I74" i="38"/>
  <c r="G74" i="38"/>
  <c r="F74" i="38"/>
  <c r="E74" i="38"/>
  <c r="D74" i="38"/>
  <c r="W56" i="38"/>
  <c r="W72" i="38"/>
  <c r="R56" i="38"/>
  <c r="R72" i="38"/>
  <c r="P72" i="38"/>
  <c r="O72" i="38"/>
  <c r="N72" i="38"/>
  <c r="L72" i="38"/>
  <c r="K72" i="38"/>
  <c r="J72" i="38"/>
  <c r="I72" i="38"/>
  <c r="AP67" i="38"/>
  <c r="AO67" i="38"/>
  <c r="AN67" i="38"/>
  <c r="AM67" i="38"/>
  <c r="AK67" i="38"/>
  <c r="AJ67" i="38"/>
  <c r="AI67" i="38"/>
  <c r="AH67" i="38"/>
  <c r="AF67" i="38"/>
  <c r="AE67" i="38"/>
  <c r="AD67" i="38"/>
  <c r="AC67" i="38"/>
  <c r="AA67" i="38"/>
  <c r="Z67" i="38"/>
  <c r="Y67" i="38"/>
  <c r="X67" i="38"/>
  <c r="W60" i="38"/>
  <c r="W49" i="38"/>
  <c r="W67" i="38"/>
  <c r="V67" i="38"/>
  <c r="U67" i="38"/>
  <c r="T67" i="38"/>
  <c r="S67" i="38"/>
  <c r="R60" i="38"/>
  <c r="R49" i="38"/>
  <c r="R67" i="38"/>
  <c r="Q67" i="38"/>
  <c r="P67" i="38"/>
  <c r="O67" i="38"/>
  <c r="N67" i="38"/>
  <c r="I60" i="38"/>
  <c r="J60" i="38"/>
  <c r="K60" i="38"/>
  <c r="L60" i="38"/>
  <c r="M60" i="38"/>
  <c r="I49" i="38"/>
  <c r="J49" i="38"/>
  <c r="K49" i="38"/>
  <c r="L49" i="38"/>
  <c r="M49" i="38"/>
  <c r="M67" i="38"/>
  <c r="L67" i="38"/>
  <c r="K67" i="38"/>
  <c r="J67" i="38"/>
  <c r="I67" i="38"/>
  <c r="D60" i="38"/>
  <c r="E60" i="38"/>
  <c r="F60" i="38"/>
  <c r="G60" i="38"/>
  <c r="H60" i="38"/>
  <c r="D49" i="38"/>
  <c r="E49" i="38"/>
  <c r="F49" i="38"/>
  <c r="G49" i="38"/>
  <c r="H49" i="38"/>
  <c r="H67" i="38"/>
  <c r="G67" i="38"/>
  <c r="F67" i="38"/>
  <c r="E67" i="38"/>
  <c r="D67" i="38"/>
  <c r="AQ66" i="38"/>
  <c r="AP66" i="38"/>
  <c r="AO66" i="38"/>
  <c r="AN66" i="38"/>
  <c r="AM66" i="38"/>
  <c r="AL66" i="38"/>
  <c r="AG66" i="38"/>
  <c r="AB66" i="38"/>
  <c r="N66" i="38"/>
  <c r="O66" i="38"/>
  <c r="P66" i="38"/>
  <c r="Q66" i="38"/>
  <c r="W66" i="38"/>
  <c r="L66" i="38"/>
  <c r="K66" i="38"/>
  <c r="J66" i="38"/>
  <c r="I66" i="38"/>
  <c r="G66" i="38"/>
  <c r="F66" i="38"/>
  <c r="E66" i="38"/>
  <c r="D66" i="38"/>
  <c r="P65" i="38"/>
  <c r="O65" i="38"/>
  <c r="N65" i="38"/>
  <c r="L65" i="38"/>
  <c r="K65" i="38"/>
  <c r="J65" i="38"/>
  <c r="I65" i="38"/>
  <c r="AQ64" i="38"/>
  <c r="AL64" i="38"/>
  <c r="AG64" i="38"/>
  <c r="AB64" i="38"/>
  <c r="W64" i="38"/>
  <c r="R64" i="38"/>
  <c r="AQ63" i="38"/>
  <c r="AL63" i="38"/>
  <c r="AG63" i="38"/>
  <c r="AB63" i="38"/>
  <c r="W63" i="38"/>
  <c r="R63" i="38"/>
  <c r="P61" i="38"/>
  <c r="P62" i="38"/>
  <c r="O61" i="38"/>
  <c r="O62" i="38"/>
  <c r="N61" i="38"/>
  <c r="N62" i="38"/>
  <c r="L61" i="38"/>
  <c r="L62" i="38"/>
  <c r="K61" i="38"/>
  <c r="K62" i="38"/>
  <c r="J61" i="38"/>
  <c r="J62" i="38"/>
  <c r="I61" i="38"/>
  <c r="I62" i="38"/>
  <c r="G61" i="38"/>
  <c r="G62" i="38"/>
  <c r="F61" i="38"/>
  <c r="F62" i="38"/>
  <c r="E61" i="38"/>
  <c r="E62" i="38"/>
  <c r="D61" i="38"/>
  <c r="D62" i="38"/>
  <c r="AQ59" i="38"/>
  <c r="AL59" i="38"/>
  <c r="AG59" i="38"/>
  <c r="AB59" i="38"/>
  <c r="W59" i="38"/>
  <c r="R59" i="38"/>
  <c r="AO58" i="38"/>
  <c r="AJ58" i="38"/>
  <c r="AE58" i="38"/>
  <c r="AA58" i="38"/>
  <c r="Z58" i="38"/>
  <c r="V58" i="38"/>
  <c r="U58" i="38"/>
  <c r="T58" i="38"/>
  <c r="S58" i="38"/>
  <c r="Q58" i="38"/>
  <c r="P50" i="38"/>
  <c r="P58" i="38"/>
  <c r="O50" i="38"/>
  <c r="O58" i="38"/>
  <c r="N50" i="38"/>
  <c r="N58" i="38"/>
  <c r="L50" i="38"/>
  <c r="L58" i="38"/>
  <c r="K50" i="38"/>
  <c r="K58" i="38"/>
  <c r="J50" i="38"/>
  <c r="J58" i="38"/>
  <c r="I50" i="38"/>
  <c r="I58" i="38"/>
  <c r="G58" i="38"/>
  <c r="F58" i="38"/>
  <c r="E58" i="38"/>
  <c r="D58" i="38"/>
  <c r="AO57" i="38"/>
  <c r="AJ57" i="38"/>
  <c r="AE57" i="38"/>
  <c r="AA57" i="38"/>
  <c r="Z57" i="38"/>
  <c r="V57" i="38"/>
  <c r="U57" i="38"/>
  <c r="T57" i="38"/>
  <c r="S57" i="38"/>
  <c r="Q57" i="38"/>
  <c r="P57" i="38"/>
  <c r="O57" i="38"/>
  <c r="N57" i="38"/>
  <c r="L57" i="38"/>
  <c r="K57" i="38"/>
  <c r="J57" i="38"/>
  <c r="I57" i="38"/>
  <c r="G57" i="38"/>
  <c r="F57" i="38"/>
  <c r="E57" i="38"/>
  <c r="D57" i="38"/>
  <c r="M56" i="38"/>
  <c r="H56" i="38"/>
  <c r="AQ48" i="38"/>
  <c r="AL48" i="38"/>
  <c r="AG48" i="38"/>
  <c r="AB48" i="38"/>
  <c r="W48" i="38"/>
  <c r="R48" i="38"/>
  <c r="AQ43" i="38"/>
  <c r="AL43" i="38"/>
  <c r="AG43" i="38"/>
  <c r="AB43" i="38"/>
  <c r="W43" i="38"/>
  <c r="L43" i="38"/>
  <c r="N43" i="38"/>
  <c r="R43" i="38"/>
  <c r="M43" i="38"/>
  <c r="M41" i="38"/>
  <c r="M44" i="38"/>
  <c r="H43" i="38"/>
  <c r="H35" i="38"/>
  <c r="H41" i="38"/>
  <c r="H44" i="38"/>
  <c r="P41" i="38"/>
  <c r="O41" i="38"/>
  <c r="N41" i="38"/>
  <c r="L41" i="38"/>
  <c r="K41" i="38"/>
  <c r="J41" i="38"/>
  <c r="I41" i="38"/>
  <c r="G35" i="38"/>
  <c r="G41" i="38"/>
  <c r="F35" i="38"/>
  <c r="F41" i="38"/>
  <c r="E35" i="38"/>
  <c r="E41" i="38"/>
  <c r="D35" i="38"/>
  <c r="D41" i="38"/>
  <c r="P40" i="38"/>
  <c r="O40" i="38"/>
  <c r="N40" i="38"/>
  <c r="M38" i="38"/>
  <c r="M40" i="38"/>
  <c r="L40" i="38"/>
  <c r="K40" i="38"/>
  <c r="J40" i="38"/>
  <c r="I40" i="38"/>
  <c r="H40" i="38"/>
  <c r="G40" i="38"/>
  <c r="F40" i="38"/>
  <c r="E40" i="38"/>
  <c r="D40" i="38"/>
  <c r="C9" i="38"/>
  <c r="V43" i="33"/>
  <c r="E16" i="29"/>
  <c r="E17" i="29"/>
  <c r="F5" i="29"/>
  <c r="G5" i="29"/>
  <c r="F6" i="29"/>
  <c r="G6" i="29"/>
  <c r="F7" i="29"/>
  <c r="G7" i="29"/>
  <c r="F8" i="29"/>
  <c r="G8" i="29"/>
  <c r="F9" i="29"/>
  <c r="G9" i="29"/>
  <c r="F10" i="29"/>
  <c r="G10" i="29"/>
  <c r="F11" i="29"/>
  <c r="G11" i="29"/>
  <c r="F12" i="29"/>
  <c r="G12" i="29"/>
  <c r="F13" i="29"/>
  <c r="G13" i="29"/>
  <c r="F14" i="29"/>
  <c r="G14" i="29"/>
  <c r="F15" i="29"/>
  <c r="G15" i="29"/>
  <c r="F16" i="29"/>
  <c r="G16" i="29"/>
  <c r="G18" i="29"/>
  <c r="G19" i="29"/>
  <c r="G20" i="29"/>
  <c r="C318" i="33"/>
  <c r="C324" i="33"/>
  <c r="Q271" i="33"/>
  <c r="R271" i="33"/>
  <c r="R275" i="33"/>
  <c r="Q219" i="33"/>
  <c r="Q222" i="33"/>
  <c r="Q223" i="33"/>
  <c r="Q188" i="33"/>
  <c r="Q193" i="33"/>
  <c r="Q262" i="33"/>
  <c r="R262" i="33"/>
  <c r="Q198" i="33"/>
  <c r="Q264" i="33"/>
  <c r="R264" i="33"/>
  <c r="R265" i="33"/>
  <c r="R277" i="33"/>
  <c r="R279" i="33"/>
  <c r="S278" i="33"/>
  <c r="S43" i="33"/>
  <c r="S271" i="33"/>
  <c r="T43" i="33"/>
  <c r="T271" i="33"/>
  <c r="U43" i="33"/>
  <c r="U271" i="33"/>
  <c r="V271" i="33"/>
  <c r="W271" i="33"/>
  <c r="W275" i="33"/>
  <c r="Q275" i="33"/>
  <c r="Q265" i="33"/>
  <c r="Q277" i="33"/>
  <c r="Q279" i="33"/>
  <c r="Q187" i="33"/>
  <c r="S29" i="33"/>
  <c r="S31" i="33"/>
  <c r="S32" i="33"/>
  <c r="S33" i="33"/>
  <c r="S244" i="33"/>
  <c r="S219" i="33"/>
  <c r="S222" i="33"/>
  <c r="S223" i="33"/>
  <c r="S188" i="33"/>
  <c r="S193" i="33"/>
  <c r="S262" i="33"/>
  <c r="S275" i="33"/>
  <c r="S198" i="33"/>
  <c r="S264" i="33"/>
  <c r="S265" i="33"/>
  <c r="S260" i="33"/>
  <c r="S277" i="33"/>
  <c r="S279" i="33"/>
  <c r="S187" i="33"/>
  <c r="T29" i="33"/>
  <c r="T31" i="33"/>
  <c r="T32" i="33"/>
  <c r="T33" i="33"/>
  <c r="T244" i="33"/>
  <c r="T219" i="33"/>
  <c r="T222" i="33"/>
  <c r="T223" i="33"/>
  <c r="T188" i="33"/>
  <c r="T193" i="33"/>
  <c r="T262" i="33"/>
  <c r="T278" i="33"/>
  <c r="T275" i="33"/>
  <c r="T198" i="33"/>
  <c r="T264" i="33"/>
  <c r="T265" i="33"/>
  <c r="T260" i="33"/>
  <c r="T277" i="33"/>
  <c r="T279" i="33"/>
  <c r="T187" i="33"/>
  <c r="U29" i="33"/>
  <c r="U31" i="33"/>
  <c r="U32" i="33"/>
  <c r="U33" i="33"/>
  <c r="U244" i="33"/>
  <c r="U219" i="33"/>
  <c r="U222" i="33"/>
  <c r="U223" i="33"/>
  <c r="U188" i="33"/>
  <c r="U193" i="33"/>
  <c r="U262" i="33"/>
  <c r="U278" i="33"/>
  <c r="U275" i="33"/>
  <c r="U198" i="33"/>
  <c r="U264" i="33"/>
  <c r="U265" i="33"/>
  <c r="U260" i="33"/>
  <c r="U277" i="33"/>
  <c r="U279" i="33"/>
  <c r="U187" i="33"/>
  <c r="V29" i="33"/>
  <c r="V31" i="33"/>
  <c r="V32" i="33"/>
  <c r="V33" i="33"/>
  <c r="V244" i="33"/>
  <c r="V219" i="33"/>
  <c r="V222" i="33"/>
  <c r="V223" i="33"/>
  <c r="V188" i="33"/>
  <c r="V193" i="33"/>
  <c r="V262" i="33"/>
  <c r="W262" i="33"/>
  <c r="V198" i="33"/>
  <c r="V264" i="33"/>
  <c r="W264" i="33"/>
  <c r="W265" i="33"/>
  <c r="W29" i="33"/>
  <c r="W31" i="33"/>
  <c r="W32" i="33"/>
  <c r="W33" i="33"/>
  <c r="W244" i="33"/>
  <c r="W260" i="33"/>
  <c r="W277" i="33"/>
  <c r="W279" i="33"/>
  <c r="X278" i="33"/>
  <c r="X43" i="33"/>
  <c r="X271" i="33"/>
  <c r="Y43" i="33"/>
  <c r="Y271" i="33"/>
  <c r="Z43" i="33"/>
  <c r="Z271" i="33"/>
  <c r="AA43" i="33"/>
  <c r="AA271" i="33"/>
  <c r="AB271" i="33"/>
  <c r="AB275" i="33"/>
  <c r="V278" i="33"/>
  <c r="V275" i="33"/>
  <c r="V265" i="33"/>
  <c r="V260" i="33"/>
  <c r="V277" i="33"/>
  <c r="V279" i="33"/>
  <c r="V187" i="33"/>
  <c r="X29" i="33"/>
  <c r="X31" i="33"/>
  <c r="X32" i="33"/>
  <c r="X33" i="33"/>
  <c r="X244" i="33"/>
  <c r="X219" i="33"/>
  <c r="X222" i="33"/>
  <c r="X223" i="33"/>
  <c r="X188" i="33"/>
  <c r="X193" i="33"/>
  <c r="X262" i="33"/>
  <c r="X275" i="33"/>
  <c r="X198" i="33"/>
  <c r="X264" i="33"/>
  <c r="X265" i="33"/>
  <c r="X260" i="33"/>
  <c r="X277" i="33"/>
  <c r="X279" i="33"/>
  <c r="X187" i="33"/>
  <c r="Y29" i="33"/>
  <c r="Y31" i="33"/>
  <c r="Y32" i="33"/>
  <c r="Y33" i="33"/>
  <c r="Y244" i="33"/>
  <c r="Y219" i="33"/>
  <c r="Y222" i="33"/>
  <c r="Y223" i="33"/>
  <c r="Y188" i="33"/>
  <c r="Y193" i="33"/>
  <c r="Y262" i="33"/>
  <c r="Y278" i="33"/>
  <c r="Y275" i="33"/>
  <c r="Y198" i="33"/>
  <c r="Y264" i="33"/>
  <c r="Y265" i="33"/>
  <c r="Y260" i="33"/>
  <c r="Y277" i="33"/>
  <c r="Y279" i="33"/>
  <c r="Y187" i="33"/>
  <c r="Z29" i="33"/>
  <c r="Z31" i="33"/>
  <c r="Z32" i="33"/>
  <c r="Z33" i="33"/>
  <c r="Z244" i="33"/>
  <c r="Z219" i="33"/>
  <c r="Z222" i="33"/>
  <c r="Z223" i="33"/>
  <c r="Z188" i="33"/>
  <c r="Z193" i="33"/>
  <c r="Z262" i="33"/>
  <c r="Z278" i="33"/>
  <c r="Z275" i="33"/>
  <c r="Z198" i="33"/>
  <c r="Z264" i="33"/>
  <c r="Z265" i="33"/>
  <c r="Z260" i="33"/>
  <c r="Z277" i="33"/>
  <c r="Z279" i="33"/>
  <c r="Z187" i="33"/>
  <c r="AA29" i="33"/>
  <c r="AA31" i="33"/>
  <c r="AA32" i="33"/>
  <c r="AA33" i="33"/>
  <c r="AA244" i="33"/>
  <c r="AA219" i="33"/>
  <c r="AA222" i="33"/>
  <c r="AA223" i="33"/>
  <c r="AA188" i="33"/>
  <c r="AA193" i="33"/>
  <c r="AA262" i="33"/>
  <c r="AB262" i="33"/>
  <c r="AA198" i="33"/>
  <c r="AA264" i="33"/>
  <c r="AB264" i="33"/>
  <c r="AB265" i="33"/>
  <c r="AB29" i="33"/>
  <c r="AB31" i="33"/>
  <c r="AB32" i="33"/>
  <c r="AB33" i="33"/>
  <c r="AB244" i="33"/>
  <c r="AB260" i="33"/>
  <c r="AB277" i="33"/>
  <c r="AB279" i="33"/>
  <c r="AC278" i="33"/>
  <c r="AC43" i="33"/>
  <c r="AC271" i="33"/>
  <c r="AD43" i="33"/>
  <c r="AD271" i="33"/>
  <c r="AE43" i="33"/>
  <c r="AE271" i="33"/>
  <c r="AF43" i="33"/>
  <c r="AF271" i="33"/>
  <c r="AG271" i="33"/>
  <c r="AG275" i="33"/>
  <c r="AA278" i="33"/>
  <c r="AA275" i="33"/>
  <c r="AA265" i="33"/>
  <c r="AA260" i="33"/>
  <c r="AA277" i="33"/>
  <c r="AA279" i="33"/>
  <c r="AA187" i="33"/>
  <c r="AC29" i="33"/>
  <c r="AC31" i="33"/>
  <c r="AC32" i="33"/>
  <c r="AC33" i="33"/>
  <c r="AC244" i="33"/>
  <c r="AC219" i="33"/>
  <c r="AC222" i="33"/>
  <c r="AC223" i="33"/>
  <c r="AC188" i="33"/>
  <c r="AC193" i="33"/>
  <c r="AC262" i="33"/>
  <c r="AC275" i="33"/>
  <c r="AC198" i="33"/>
  <c r="AC264" i="33"/>
  <c r="AC265" i="33"/>
  <c r="AC260" i="33"/>
  <c r="AC277" i="33"/>
  <c r="AC279" i="33"/>
  <c r="AC187" i="33"/>
  <c r="AD29" i="33"/>
  <c r="AD31" i="33"/>
  <c r="AD32" i="33"/>
  <c r="AD33" i="33"/>
  <c r="AD244" i="33"/>
  <c r="AD219" i="33"/>
  <c r="AD222" i="33"/>
  <c r="AD223" i="33"/>
  <c r="AD188" i="33"/>
  <c r="AD193" i="33"/>
  <c r="AD262" i="33"/>
  <c r="AD278" i="33"/>
  <c r="AD275" i="33"/>
  <c r="AD198" i="33"/>
  <c r="AD264" i="33"/>
  <c r="AD265" i="33"/>
  <c r="AD260" i="33"/>
  <c r="AD277" i="33"/>
  <c r="AD279" i="33"/>
  <c r="AD187" i="33"/>
  <c r="AE29" i="33"/>
  <c r="AE31" i="33"/>
  <c r="AE32" i="33"/>
  <c r="AE33" i="33"/>
  <c r="AE244" i="33"/>
  <c r="AE219" i="33"/>
  <c r="AE222" i="33"/>
  <c r="AE223" i="33"/>
  <c r="AE188" i="33"/>
  <c r="AE193" i="33"/>
  <c r="AE262" i="33"/>
  <c r="AE278" i="33"/>
  <c r="AE275" i="33"/>
  <c r="AE198" i="33"/>
  <c r="AE264" i="33"/>
  <c r="AE265" i="33"/>
  <c r="AE260" i="33"/>
  <c r="AE277" i="33"/>
  <c r="AE279" i="33"/>
  <c r="AE187" i="33"/>
  <c r="AF29" i="33"/>
  <c r="AF31" i="33"/>
  <c r="AF32" i="33"/>
  <c r="AF33" i="33"/>
  <c r="AF244" i="33"/>
  <c r="AF219" i="33"/>
  <c r="AF222" i="33"/>
  <c r="AF223" i="33"/>
  <c r="AF188" i="33"/>
  <c r="AF193" i="33"/>
  <c r="AF262" i="33"/>
  <c r="AG262" i="33"/>
  <c r="AF198" i="33"/>
  <c r="AF264" i="33"/>
  <c r="AG264" i="33"/>
  <c r="AG265" i="33"/>
  <c r="AG29" i="33"/>
  <c r="AG31" i="33"/>
  <c r="AG32" i="33"/>
  <c r="AG33" i="33"/>
  <c r="AG244" i="33"/>
  <c r="AG260" i="33"/>
  <c r="AG277" i="33"/>
  <c r="AG279" i="33"/>
  <c r="AH278" i="33"/>
  <c r="AH43" i="33"/>
  <c r="AH271" i="33"/>
  <c r="AH275" i="33"/>
  <c r="AF278" i="33"/>
  <c r="AF275" i="33"/>
  <c r="AF265" i="33"/>
  <c r="AF260" i="33"/>
  <c r="AF277" i="33"/>
  <c r="AF279" i="33"/>
  <c r="AF187" i="33"/>
  <c r="AH29" i="33"/>
  <c r="AH31" i="33"/>
  <c r="AH32" i="33"/>
  <c r="AH33" i="33"/>
  <c r="AH244" i="33"/>
  <c r="AH219" i="33"/>
  <c r="AH222" i="33"/>
  <c r="AH223" i="33"/>
  <c r="AH188" i="33"/>
  <c r="AH193" i="33"/>
  <c r="AH262" i="33"/>
  <c r="AH198" i="33"/>
  <c r="AH264" i="33"/>
  <c r="AH265" i="33"/>
  <c r="AH260" i="33"/>
  <c r="AH277" i="33"/>
  <c r="AH279" i="33"/>
  <c r="AI278" i="33"/>
  <c r="AI43" i="33"/>
  <c r="AI271" i="33"/>
  <c r="AI275" i="33"/>
  <c r="AH187" i="33"/>
  <c r="AI29" i="33"/>
  <c r="AI31" i="33"/>
  <c r="AI32" i="33"/>
  <c r="AI33" i="33"/>
  <c r="AI244" i="33"/>
  <c r="AI219" i="33"/>
  <c r="AI222" i="33"/>
  <c r="AI223" i="33"/>
  <c r="AI188" i="33"/>
  <c r="AI193" i="33"/>
  <c r="AI262" i="33"/>
  <c r="AI198" i="33"/>
  <c r="AI264" i="33"/>
  <c r="AI265" i="33"/>
  <c r="AI260" i="33"/>
  <c r="AI277" i="33"/>
  <c r="AI279" i="33"/>
  <c r="AJ278" i="33"/>
  <c r="AJ43" i="33"/>
  <c r="AJ271" i="33"/>
  <c r="AJ275" i="33"/>
  <c r="AI187" i="33"/>
  <c r="AJ29" i="33"/>
  <c r="AJ31" i="33"/>
  <c r="AJ32" i="33"/>
  <c r="AJ33" i="33"/>
  <c r="AJ244" i="33"/>
  <c r="AJ219" i="33"/>
  <c r="AJ222" i="33"/>
  <c r="AJ223" i="33"/>
  <c r="AJ188" i="33"/>
  <c r="AJ193" i="33"/>
  <c r="AJ262" i="33"/>
  <c r="AJ198" i="33"/>
  <c r="AJ264" i="33"/>
  <c r="AJ265" i="33"/>
  <c r="AJ260" i="33"/>
  <c r="AJ277" i="33"/>
  <c r="AJ279" i="33"/>
  <c r="AK278" i="33"/>
  <c r="AK43" i="33"/>
  <c r="AK271" i="33"/>
  <c r="AK275" i="33"/>
  <c r="AJ187" i="33"/>
  <c r="AK29" i="33"/>
  <c r="AK31" i="33"/>
  <c r="AK32" i="33"/>
  <c r="AK33" i="33"/>
  <c r="AK244" i="33"/>
  <c r="AK219" i="33"/>
  <c r="AK222" i="33"/>
  <c r="AK223" i="33"/>
  <c r="AK188" i="33"/>
  <c r="AK193" i="33"/>
  <c r="AK262" i="33"/>
  <c r="AK198" i="33"/>
  <c r="AK264" i="33"/>
  <c r="AK265" i="33"/>
  <c r="AK260" i="33"/>
  <c r="AK277" i="33"/>
  <c r="AK279" i="33"/>
  <c r="AK187" i="33"/>
  <c r="AM29" i="33"/>
  <c r="AL271" i="33"/>
  <c r="AL275" i="33"/>
  <c r="AL262" i="33"/>
  <c r="AL264" i="33"/>
  <c r="AL265" i="33"/>
  <c r="AL29" i="33"/>
  <c r="AL31" i="33"/>
  <c r="AL32" i="33"/>
  <c r="AL33" i="33"/>
  <c r="AL244" i="33"/>
  <c r="AL260" i="33"/>
  <c r="AL277" i="33"/>
  <c r="AL279" i="33"/>
  <c r="AM278" i="33"/>
  <c r="AM43" i="33"/>
  <c r="AM271" i="33"/>
  <c r="AM275" i="33"/>
  <c r="AM31" i="33"/>
  <c r="AM32" i="33"/>
  <c r="AM33" i="33"/>
  <c r="AM244" i="33"/>
  <c r="AM219" i="33"/>
  <c r="AM222" i="33"/>
  <c r="AM223" i="33"/>
  <c r="AM188" i="33"/>
  <c r="AM193" i="33"/>
  <c r="AM262" i="33"/>
  <c r="AM198" i="33"/>
  <c r="AM264" i="33"/>
  <c r="AM265" i="33"/>
  <c r="AM260" i="33"/>
  <c r="AM277" i="33"/>
  <c r="AM279" i="33"/>
  <c r="AM187" i="33"/>
  <c r="AN29" i="33"/>
  <c r="AN278" i="33"/>
  <c r="AN43" i="33"/>
  <c r="AN271" i="33"/>
  <c r="AN275" i="33"/>
  <c r="AN31" i="33"/>
  <c r="AN32" i="33"/>
  <c r="AN33" i="33"/>
  <c r="AN244" i="33"/>
  <c r="AN219" i="33"/>
  <c r="AN222" i="33"/>
  <c r="AN223" i="33"/>
  <c r="AN188" i="33"/>
  <c r="AN193" i="33"/>
  <c r="AN262" i="33"/>
  <c r="AN198" i="33"/>
  <c r="AN264" i="33"/>
  <c r="AN265" i="33"/>
  <c r="AN260" i="33"/>
  <c r="AN277" i="33"/>
  <c r="AN279" i="33"/>
  <c r="AN187" i="33"/>
  <c r="AO29" i="33"/>
  <c r="AO278" i="33"/>
  <c r="AO43" i="33"/>
  <c r="AO271" i="33"/>
  <c r="AO275" i="33"/>
  <c r="AO31" i="33"/>
  <c r="AO32" i="33"/>
  <c r="AO33" i="33"/>
  <c r="AO244" i="33"/>
  <c r="AO219" i="33"/>
  <c r="AO222" i="33"/>
  <c r="AO223" i="33"/>
  <c r="AO188" i="33"/>
  <c r="AO193" i="33"/>
  <c r="AO262" i="33"/>
  <c r="AO198" i="33"/>
  <c r="AO264" i="33"/>
  <c r="AO265" i="33"/>
  <c r="AO260" i="33"/>
  <c r="AO277" i="33"/>
  <c r="AO279" i="33"/>
  <c r="AO187" i="33"/>
  <c r="AP29" i="33"/>
  <c r="AQ29" i="33"/>
  <c r="AQ31" i="33"/>
  <c r="AP31" i="33"/>
  <c r="AP32" i="33"/>
  <c r="AQ32" i="33"/>
  <c r="AQ33" i="33"/>
  <c r="AQ244" i="33"/>
  <c r="AQ260" i="33"/>
  <c r="C326" i="33"/>
  <c r="C312" i="33"/>
  <c r="C314" i="33"/>
  <c r="S280" i="33"/>
  <c r="T280" i="33"/>
  <c r="U280" i="33"/>
  <c r="V280" i="33"/>
  <c r="W280" i="33"/>
  <c r="X280" i="33"/>
  <c r="Y280" i="33"/>
  <c r="Z280" i="33"/>
  <c r="AA280" i="33"/>
  <c r="AB280" i="33"/>
  <c r="AC280" i="33"/>
  <c r="AD280" i="33"/>
  <c r="AE280" i="33"/>
  <c r="AF280" i="33"/>
  <c r="AG280" i="33"/>
  <c r="AH280" i="33"/>
  <c r="AI280" i="33"/>
  <c r="AJ280" i="33"/>
  <c r="AK280" i="33"/>
  <c r="AL280" i="33"/>
  <c r="AM280" i="33"/>
  <c r="AN280" i="33"/>
  <c r="AO280" i="33"/>
  <c r="AP33" i="33"/>
  <c r="AP244" i="33"/>
  <c r="AP260" i="33"/>
  <c r="AP280" i="33"/>
  <c r="AQ280" i="33"/>
  <c r="C327" i="33"/>
  <c r="S37" i="33"/>
  <c r="S42" i="33"/>
  <c r="T37" i="33"/>
  <c r="T42" i="33"/>
  <c r="U37" i="33"/>
  <c r="U42" i="33"/>
  <c r="C302" i="33"/>
  <c r="AP203" i="33"/>
  <c r="AO203" i="33"/>
  <c r="AN203" i="33"/>
  <c r="AM203" i="33"/>
  <c r="AK203" i="33"/>
  <c r="AJ203" i="33"/>
  <c r="AI203" i="33"/>
  <c r="AH203" i="33"/>
  <c r="AF203" i="33"/>
  <c r="AE203" i="33"/>
  <c r="AD203" i="33"/>
  <c r="AC203" i="33"/>
  <c r="AA203" i="33"/>
  <c r="Z203" i="33"/>
  <c r="Y203" i="33"/>
  <c r="X203" i="33"/>
  <c r="V203" i="33"/>
  <c r="U203" i="33"/>
  <c r="T203" i="33"/>
  <c r="S203" i="33"/>
  <c r="Q203" i="33"/>
  <c r="Q232" i="33"/>
  <c r="V232" i="33"/>
  <c r="E232" i="33"/>
  <c r="F232" i="33"/>
  <c r="G232" i="33"/>
  <c r="I232" i="33"/>
  <c r="J232" i="33"/>
  <c r="K232" i="33"/>
  <c r="L232" i="33"/>
  <c r="N232" i="33"/>
  <c r="O232" i="33"/>
  <c r="P232" i="33"/>
  <c r="D232" i="33"/>
  <c r="AB297" i="33"/>
  <c r="AB296" i="33"/>
  <c r="E5" i="29"/>
  <c r="E6" i="29"/>
  <c r="E7" i="29"/>
  <c r="E8" i="29"/>
  <c r="E9" i="29"/>
  <c r="E10" i="29"/>
  <c r="E11" i="29"/>
  <c r="E12" i="29"/>
  <c r="E13" i="29"/>
  <c r="E14" i="29"/>
  <c r="E15" i="29"/>
  <c r="C328" i="33"/>
  <c r="C316" i="33"/>
  <c r="C307" i="33"/>
  <c r="Q218" i="33"/>
  <c r="V70" i="33"/>
  <c r="U70" i="33"/>
  <c r="AA70" i="33"/>
  <c r="V107" i="33"/>
  <c r="X107" i="33"/>
  <c r="V105" i="33"/>
  <c r="U160" i="33"/>
  <c r="V160" i="33"/>
  <c r="U161" i="33"/>
  <c r="V161" i="33"/>
  <c r="T161" i="33"/>
  <c r="T160" i="33"/>
  <c r="S161" i="33"/>
  <c r="S160" i="33"/>
  <c r="R295" i="33"/>
  <c r="M295" i="33"/>
  <c r="H295" i="33"/>
  <c r="M44" i="33"/>
  <c r="H44" i="33"/>
  <c r="AH294" i="33"/>
  <c r="AI294" i="33"/>
  <c r="AJ294" i="33"/>
  <c r="AK294" i="33"/>
  <c r="X105" i="33"/>
  <c r="S105" i="33"/>
  <c r="S107" i="33"/>
  <c r="Z70" i="33"/>
  <c r="Y70" i="33"/>
  <c r="T70" i="33"/>
  <c r="S70" i="33"/>
  <c r="Q112" i="33"/>
  <c r="Q109" i="33"/>
  <c r="Q107" i="33"/>
  <c r="Q105" i="33"/>
  <c r="Q70" i="33"/>
  <c r="AA77" i="33"/>
  <c r="Z77" i="33"/>
  <c r="Y77" i="33"/>
  <c r="X77" i="33"/>
  <c r="V77" i="33"/>
  <c r="U77" i="33"/>
  <c r="T77" i="33"/>
  <c r="S77" i="33"/>
  <c r="Q77" i="33"/>
  <c r="Q72" i="33"/>
  <c r="AP97" i="33"/>
  <c r="AO97" i="33"/>
  <c r="AN97" i="33"/>
  <c r="AM97" i="33"/>
  <c r="AK97" i="33"/>
  <c r="AJ97" i="33"/>
  <c r="AI97" i="33"/>
  <c r="AH97" i="33"/>
  <c r="AF97" i="33"/>
  <c r="AE97" i="33"/>
  <c r="AD97" i="33"/>
  <c r="AC97" i="33"/>
  <c r="AA97" i="33"/>
  <c r="Z97" i="33"/>
  <c r="Y97" i="33"/>
  <c r="X97" i="33"/>
  <c r="AM62" i="33"/>
  <c r="AH62" i="33"/>
  <c r="AC62" i="33"/>
  <c r="AA62" i="33"/>
  <c r="AF62" i="33"/>
  <c r="AK62" i="33"/>
  <c r="AP62" i="33"/>
  <c r="Z62" i="33"/>
  <c r="AE62" i="33"/>
  <c r="AJ62" i="33"/>
  <c r="AO62" i="33"/>
  <c r="Y62" i="33"/>
  <c r="AD62" i="33"/>
  <c r="AI62" i="33"/>
  <c r="AN62" i="33"/>
  <c r="X62" i="33"/>
  <c r="AQ183" i="33"/>
  <c r="AL183" i="33"/>
  <c r="AG183" i="33"/>
  <c r="AF95" i="33"/>
  <c r="AE95" i="33"/>
  <c r="AD95" i="33"/>
  <c r="AC95" i="33"/>
  <c r="AA95" i="33"/>
  <c r="Z95" i="33"/>
  <c r="Y95" i="33"/>
  <c r="X95" i="33"/>
  <c r="AF84" i="33"/>
  <c r="AE84" i="33"/>
  <c r="AD84" i="33"/>
  <c r="AC84" i="33"/>
  <c r="AA84" i="33"/>
  <c r="Z84" i="33"/>
  <c r="Y84" i="33"/>
  <c r="X84" i="33"/>
  <c r="AF60" i="33"/>
  <c r="AE60" i="33"/>
  <c r="AD60" i="33"/>
  <c r="AC60" i="33"/>
  <c r="AC49" i="33"/>
  <c r="AA60" i="33"/>
  <c r="Z60" i="33"/>
  <c r="Y60" i="33"/>
  <c r="X60" i="33"/>
  <c r="AF49" i="33"/>
  <c r="AE49" i="33"/>
  <c r="AD49" i="33"/>
  <c r="AA49" i="33"/>
  <c r="Z49" i="33"/>
  <c r="Y49" i="33"/>
  <c r="X49" i="33"/>
  <c r="W101" i="33"/>
  <c r="W66" i="33"/>
  <c r="Q161" i="33"/>
  <c r="Q160" i="33"/>
  <c r="S153" i="33"/>
  <c r="Q74" i="33"/>
  <c r="Q90" i="33"/>
  <c r="Q55" i="33"/>
  <c r="AM291" i="33"/>
  <c r="AN291" i="33"/>
  <c r="AO291" i="33"/>
  <c r="AP291" i="33"/>
  <c r="W281" i="33"/>
  <c r="AB281" i="33"/>
  <c r="AG281" i="33"/>
  <c r="AL281" i="33"/>
  <c r="AQ281" i="33"/>
  <c r="AQ276" i="33"/>
  <c r="AQ274" i="33"/>
  <c r="AP272" i="33"/>
  <c r="AO272" i="33"/>
  <c r="AN272" i="33"/>
  <c r="AM272" i="33"/>
  <c r="AQ272" i="33"/>
  <c r="AQ270" i="33"/>
  <c r="AQ269" i="33"/>
  <c r="AQ268" i="33"/>
  <c r="AM258" i="33"/>
  <c r="AQ251" i="33"/>
  <c r="AQ249" i="33"/>
  <c r="AP249" i="33"/>
  <c r="AO249" i="33"/>
  <c r="AN249" i="33"/>
  <c r="AM249" i="33"/>
  <c r="AN239" i="33"/>
  <c r="AM239" i="33"/>
  <c r="AM238" i="33"/>
  <c r="AN238" i="33"/>
  <c r="AN235" i="33"/>
  <c r="AM235" i="33"/>
  <c r="AM234" i="33"/>
  <c r="AN234" i="33"/>
  <c r="AP230" i="33"/>
  <c r="AO230" i="33"/>
  <c r="AN230" i="33"/>
  <c r="AM230" i="33"/>
  <c r="AP228" i="33"/>
  <c r="AO228" i="33"/>
  <c r="AN228" i="33"/>
  <c r="AM228" i="33"/>
  <c r="AP227" i="33"/>
  <c r="AP231" i="33"/>
  <c r="AO227" i="33"/>
  <c r="AO231" i="33"/>
  <c r="AN227" i="33"/>
  <c r="AN231" i="33"/>
  <c r="AM227" i="33"/>
  <c r="AM231" i="33"/>
  <c r="AM221" i="33"/>
  <c r="AN221" i="33"/>
  <c r="AO221" i="33"/>
  <c r="AP221" i="33"/>
  <c r="AQ221" i="33"/>
  <c r="AM220" i="33"/>
  <c r="AN220" i="33"/>
  <c r="AO220" i="33"/>
  <c r="AP220" i="33"/>
  <c r="AQ220" i="33"/>
  <c r="AO215" i="33"/>
  <c r="AP215" i="33"/>
  <c r="AQ215" i="33"/>
  <c r="AN215" i="33"/>
  <c r="AM215" i="33"/>
  <c r="AM214" i="33"/>
  <c r="AN214" i="33"/>
  <c r="AO214" i="33"/>
  <c r="AP214" i="33"/>
  <c r="AQ214" i="33"/>
  <c r="AO213" i="33"/>
  <c r="AP213" i="33"/>
  <c r="AQ213" i="33"/>
  <c r="AN213" i="33"/>
  <c r="AM213" i="33"/>
  <c r="AN212" i="33"/>
  <c r="AN285" i="33"/>
  <c r="AM212" i="33"/>
  <c r="AM267" i="33"/>
  <c r="AQ210" i="33"/>
  <c r="AO209" i="33"/>
  <c r="AN209" i="33"/>
  <c r="AN237" i="33"/>
  <c r="AM209" i="33"/>
  <c r="AM285" i="33"/>
  <c r="AN208" i="33"/>
  <c r="AN257" i="33"/>
  <c r="AM208" i="33"/>
  <c r="AM197" i="33"/>
  <c r="AM246" i="33"/>
  <c r="AO207" i="33"/>
  <c r="AP207" i="33"/>
  <c r="AQ207" i="33"/>
  <c r="AN207" i="33"/>
  <c r="AM207" i="33"/>
  <c r="AN206" i="33"/>
  <c r="AN258" i="33"/>
  <c r="AM206" i="33"/>
  <c r="AM205" i="33"/>
  <c r="AN205" i="33"/>
  <c r="AO205" i="33"/>
  <c r="AP205" i="33"/>
  <c r="AQ205" i="33"/>
  <c r="AM200" i="33"/>
  <c r="AN200" i="33"/>
  <c r="AO200" i="33"/>
  <c r="AP200" i="33"/>
  <c r="AQ200" i="33"/>
  <c r="AM199" i="33"/>
  <c r="AN199" i="33"/>
  <c r="AO199" i="33"/>
  <c r="AP199" i="33"/>
  <c r="AQ199" i="33"/>
  <c r="AN196" i="33"/>
  <c r="AO196" i="33"/>
  <c r="AP196" i="33"/>
  <c r="AQ196" i="33"/>
  <c r="AM196" i="33"/>
  <c r="AO194" i="33"/>
  <c r="AP194" i="33"/>
  <c r="AN194" i="33"/>
  <c r="AM194" i="33"/>
  <c r="AN191" i="33"/>
  <c r="AN255" i="33"/>
  <c r="AM191" i="33"/>
  <c r="AM255" i="33"/>
  <c r="AO182" i="33"/>
  <c r="AP182" i="33"/>
  <c r="AN182" i="33"/>
  <c r="AM182" i="33"/>
  <c r="AQ163" i="33"/>
  <c r="AP155" i="33"/>
  <c r="AO155" i="33"/>
  <c r="AN155" i="33"/>
  <c r="AM155" i="33"/>
  <c r="AN154" i="33"/>
  <c r="AO154" i="33"/>
  <c r="AP154" i="33"/>
  <c r="AM154" i="33"/>
  <c r="AM140" i="33"/>
  <c r="AM22" i="33"/>
  <c r="AM139" i="33"/>
  <c r="AN139" i="33"/>
  <c r="AM137" i="33"/>
  <c r="AM136" i="33"/>
  <c r="AN136" i="33"/>
  <c r="AN135" i="33"/>
  <c r="AO135" i="33"/>
  <c r="AM135" i="33"/>
  <c r="AM134" i="33"/>
  <c r="AM130" i="33"/>
  <c r="AQ128" i="33"/>
  <c r="AM127" i="33"/>
  <c r="AN127" i="33"/>
  <c r="AM122" i="33"/>
  <c r="AN122" i="33"/>
  <c r="AM115" i="33"/>
  <c r="AM147" i="33"/>
  <c r="AQ113" i="33"/>
  <c r="AP99" i="33"/>
  <c r="AO99" i="33"/>
  <c r="AN99" i="33"/>
  <c r="AM99" i="33"/>
  <c r="AQ78" i="33"/>
  <c r="AN34" i="33"/>
  <c r="AO34" i="33"/>
  <c r="AM34" i="33"/>
  <c r="AN30" i="33"/>
  <c r="AM30" i="33"/>
  <c r="AQ28" i="33"/>
  <c r="AM24" i="33"/>
  <c r="AM247" i="33"/>
  <c r="X70" i="33"/>
  <c r="AO127" i="33"/>
  <c r="AP135" i="33"/>
  <c r="AP134" i="33"/>
  <c r="AO134" i="33"/>
  <c r="AO136" i="33"/>
  <c r="AO139" i="33"/>
  <c r="AP139" i="33"/>
  <c r="AQ139" i="33"/>
  <c r="AP34" i="33"/>
  <c r="AQ34" i="33"/>
  <c r="AM172" i="33"/>
  <c r="AP234" i="33"/>
  <c r="AO234" i="33"/>
  <c r="AM248" i="33"/>
  <c r="AP235" i="33"/>
  <c r="AO122" i="33"/>
  <c r="AQ194" i="33"/>
  <c r="AO285" i="33"/>
  <c r="AN197" i="33"/>
  <c r="AN246" i="33"/>
  <c r="AO238" i="33"/>
  <c r="AO191" i="33"/>
  <c r="AN140" i="33"/>
  <c r="AO208" i="33"/>
  <c r="AN137" i="33"/>
  <c r="AO137" i="33"/>
  <c r="AP137" i="33"/>
  <c r="AM229" i="33"/>
  <c r="AM237" i="33"/>
  <c r="AO212" i="33"/>
  <c r="AQ99" i="33"/>
  <c r="AN134" i="33"/>
  <c r="AN229" i="33"/>
  <c r="AN130" i="33"/>
  <c r="AO229" i="33"/>
  <c r="AO237" i="33"/>
  <c r="AP229" i="33"/>
  <c r="AN267" i="33"/>
  <c r="AN115" i="33"/>
  <c r="AO206" i="33"/>
  <c r="AP209" i="33"/>
  <c r="AM257" i="33"/>
  <c r="AO30" i="33"/>
  <c r="AO235" i="33"/>
  <c r="AO239" i="33"/>
  <c r="AP239" i="33"/>
  <c r="AH215" i="33"/>
  <c r="AI215" i="33"/>
  <c r="AJ215" i="33"/>
  <c r="AK215" i="33"/>
  <c r="AC215" i="33"/>
  <c r="AD215" i="33"/>
  <c r="AE215" i="33"/>
  <c r="AF215" i="33"/>
  <c r="X215" i="33"/>
  <c r="Y215" i="33"/>
  <c r="Z215" i="33"/>
  <c r="AA215" i="33"/>
  <c r="V215" i="33"/>
  <c r="U215" i="33"/>
  <c r="T215" i="33"/>
  <c r="S215" i="33"/>
  <c r="Q215" i="33"/>
  <c r="AC209" i="33"/>
  <c r="Q209" i="33"/>
  <c r="S209" i="33"/>
  <c r="T209" i="33"/>
  <c r="U209" i="33"/>
  <c r="V209" i="33"/>
  <c r="X209" i="33"/>
  <c r="Y209" i="33"/>
  <c r="Z209" i="33"/>
  <c r="AA209" i="33"/>
  <c r="Q212" i="33"/>
  <c r="S227" i="33"/>
  <c r="Q191" i="33"/>
  <c r="S191" i="33"/>
  <c r="T191" i="33"/>
  <c r="U191" i="33"/>
  <c r="V191" i="33"/>
  <c r="X191" i="33"/>
  <c r="Y191" i="33"/>
  <c r="Z191" i="33"/>
  <c r="AA191" i="33"/>
  <c r="AC191" i="33"/>
  <c r="AD191" i="33"/>
  <c r="AE191" i="33"/>
  <c r="AF191" i="33"/>
  <c r="AH191" i="33"/>
  <c r="AI191" i="33"/>
  <c r="AJ191" i="33"/>
  <c r="AK191" i="33"/>
  <c r="Q173" i="33"/>
  <c r="Q174" i="33"/>
  <c r="Q172" i="33"/>
  <c r="Q34" i="33"/>
  <c r="AQ30" i="33"/>
  <c r="AQ155" i="33"/>
  <c r="AQ136" i="33"/>
  <c r="AQ137" i="33"/>
  <c r="AN147" i="33"/>
  <c r="AO130" i="33"/>
  <c r="AP30" i="33"/>
  <c r="AP212" i="33"/>
  <c r="AQ212" i="33"/>
  <c r="AO267" i="33"/>
  <c r="AO197" i="33"/>
  <c r="AO246" i="33"/>
  <c r="AQ209" i="33"/>
  <c r="AP238" i="33"/>
  <c r="AO258" i="33"/>
  <c r="AP206" i="33"/>
  <c r="AM177" i="33"/>
  <c r="AM179" i="33"/>
  <c r="AM176" i="33"/>
  <c r="AP127" i="33"/>
  <c r="AO257" i="33"/>
  <c r="AP208" i="33"/>
  <c r="AO140" i="33"/>
  <c r="AN22" i="33"/>
  <c r="AN24" i="33"/>
  <c r="AO115" i="33"/>
  <c r="AQ134" i="33"/>
  <c r="AP122" i="33"/>
  <c r="AP136" i="33"/>
  <c r="AO255" i="33"/>
  <c r="AP191" i="33"/>
  <c r="S212" i="33"/>
  <c r="T212" i="33"/>
  <c r="Q115" i="33"/>
  <c r="Q136" i="33"/>
  <c r="G72" i="33"/>
  <c r="Q64" i="33"/>
  <c r="O51" i="33"/>
  <c r="N51" i="33"/>
  <c r="K57" i="33"/>
  <c r="P50" i="33"/>
  <c r="O50" i="33"/>
  <c r="P181" i="33"/>
  <c r="O181" i="33"/>
  <c r="P155" i="33"/>
  <c r="O155" i="33"/>
  <c r="P127" i="33"/>
  <c r="P124" i="33"/>
  <c r="P122" i="33"/>
  <c r="P120" i="33"/>
  <c r="O127" i="33"/>
  <c r="O124" i="33"/>
  <c r="O122" i="33"/>
  <c r="O120" i="33"/>
  <c r="P107" i="33"/>
  <c r="O107" i="33"/>
  <c r="P100" i="33"/>
  <c r="O100" i="33"/>
  <c r="P72" i="33"/>
  <c r="O72" i="33"/>
  <c r="P65" i="33"/>
  <c r="O65" i="33"/>
  <c r="P239" i="33"/>
  <c r="O239" i="33"/>
  <c r="P238" i="33"/>
  <c r="O238" i="33"/>
  <c r="P235" i="33"/>
  <c r="O235" i="33"/>
  <c r="P230" i="33"/>
  <c r="O230" i="33"/>
  <c r="P218" i="33"/>
  <c r="O218" i="33"/>
  <c r="P292" i="33"/>
  <c r="O292" i="33"/>
  <c r="P276" i="33"/>
  <c r="P273" i="33"/>
  <c r="P271" i="33"/>
  <c r="P270" i="33"/>
  <c r="P268" i="33"/>
  <c r="P267" i="33"/>
  <c r="P264" i="33"/>
  <c r="P263" i="33"/>
  <c r="P262" i="33"/>
  <c r="P259" i="33"/>
  <c r="P257" i="33"/>
  <c r="P256" i="33"/>
  <c r="P258" i="33"/>
  <c r="P255" i="33"/>
  <c r="P254" i="33"/>
  <c r="P253" i="33"/>
  <c r="P251" i="33"/>
  <c r="P250" i="33"/>
  <c r="P248" i="33"/>
  <c r="P247" i="33"/>
  <c r="P246" i="33"/>
  <c r="P245" i="33"/>
  <c r="O276" i="33"/>
  <c r="O273" i="33"/>
  <c r="O271" i="33"/>
  <c r="O270" i="33"/>
  <c r="O268" i="33"/>
  <c r="O267" i="33"/>
  <c r="O264" i="33"/>
  <c r="O263" i="33"/>
  <c r="O262" i="33"/>
  <c r="O259" i="33"/>
  <c r="O257" i="33"/>
  <c r="O258" i="33"/>
  <c r="O256" i="33"/>
  <c r="O255" i="33"/>
  <c r="O254" i="33"/>
  <c r="O253" i="33"/>
  <c r="O251" i="33"/>
  <c r="O250" i="33"/>
  <c r="O248" i="33"/>
  <c r="O247" i="33"/>
  <c r="O246" i="33"/>
  <c r="O245" i="33"/>
  <c r="P274" i="33"/>
  <c r="P269" i="33"/>
  <c r="O274" i="33"/>
  <c r="O269" i="33"/>
  <c r="Q102" i="33"/>
  <c r="M137" i="33"/>
  <c r="M138" i="33"/>
  <c r="M139" i="33"/>
  <c r="M140" i="33"/>
  <c r="M136" i="33"/>
  <c r="H134" i="33"/>
  <c r="M134" i="33"/>
  <c r="P162" i="33"/>
  <c r="Q140" i="33"/>
  <c r="S140" i="33"/>
  <c r="T140" i="33"/>
  <c r="U140" i="33"/>
  <c r="V140" i="33"/>
  <c r="X140" i="33"/>
  <c r="Y140" i="33"/>
  <c r="Z140" i="33"/>
  <c r="AA140" i="33"/>
  <c r="AC140" i="33"/>
  <c r="AD140" i="33"/>
  <c r="AE140" i="33"/>
  <c r="AF140" i="33"/>
  <c r="AH140" i="33"/>
  <c r="AI140" i="33"/>
  <c r="AJ140" i="33"/>
  <c r="AK140" i="33"/>
  <c r="AL128" i="33"/>
  <c r="AG128" i="33"/>
  <c r="AB128" i="33"/>
  <c r="H130" i="33"/>
  <c r="H128" i="33"/>
  <c r="H126" i="33"/>
  <c r="H125" i="33"/>
  <c r="H123" i="33"/>
  <c r="H121" i="33"/>
  <c r="M130" i="33"/>
  <c r="M128" i="33"/>
  <c r="M126" i="33"/>
  <c r="M125" i="33"/>
  <c r="M123" i="33"/>
  <c r="M121" i="33"/>
  <c r="W128" i="33"/>
  <c r="R128" i="33"/>
  <c r="E129" i="33"/>
  <c r="F129" i="33"/>
  <c r="G129" i="33"/>
  <c r="I129" i="33"/>
  <c r="J129" i="33"/>
  <c r="K129" i="33"/>
  <c r="L129" i="33"/>
  <c r="N129" i="33"/>
  <c r="D129" i="33"/>
  <c r="D131" i="33"/>
  <c r="E127" i="33"/>
  <c r="F127" i="33"/>
  <c r="G127" i="33"/>
  <c r="I127" i="33"/>
  <c r="J127" i="33"/>
  <c r="K127" i="33"/>
  <c r="L127" i="33"/>
  <c r="N127" i="33"/>
  <c r="D127" i="33"/>
  <c r="E124" i="33"/>
  <c r="F124" i="33"/>
  <c r="G124" i="33"/>
  <c r="I124" i="33"/>
  <c r="J124" i="33"/>
  <c r="K124" i="33"/>
  <c r="L124" i="33"/>
  <c r="N124" i="33"/>
  <c r="D124" i="33"/>
  <c r="E122" i="33"/>
  <c r="F122" i="33"/>
  <c r="G122" i="33"/>
  <c r="I122" i="33"/>
  <c r="J122" i="33"/>
  <c r="K122" i="33"/>
  <c r="L122" i="33"/>
  <c r="N122" i="33"/>
  <c r="D122" i="33"/>
  <c r="AL113" i="33"/>
  <c r="AG113" i="33"/>
  <c r="AB113" i="33"/>
  <c r="H115" i="33"/>
  <c r="H113" i="33"/>
  <c r="H111" i="33"/>
  <c r="H110" i="33"/>
  <c r="H108" i="33"/>
  <c r="H106" i="33"/>
  <c r="H104" i="33"/>
  <c r="H99" i="33"/>
  <c r="H98" i="33"/>
  <c r="M115" i="33"/>
  <c r="M113" i="33"/>
  <c r="M111" i="33"/>
  <c r="M110" i="33"/>
  <c r="M108" i="33"/>
  <c r="M106" i="33"/>
  <c r="M104" i="33"/>
  <c r="M99" i="33"/>
  <c r="M98" i="33"/>
  <c r="H94" i="33"/>
  <c r="M94" i="33"/>
  <c r="H91" i="33"/>
  <c r="H83" i="33"/>
  <c r="M91" i="33"/>
  <c r="M83" i="33"/>
  <c r="AB95" i="33"/>
  <c r="AB84" i="33"/>
  <c r="W113" i="33"/>
  <c r="W95" i="33"/>
  <c r="W84" i="33"/>
  <c r="N114" i="33"/>
  <c r="L114" i="33"/>
  <c r="K114" i="33"/>
  <c r="J114" i="33"/>
  <c r="I114" i="33"/>
  <c r="E114" i="33"/>
  <c r="F114" i="33"/>
  <c r="G114" i="33"/>
  <c r="D114" i="33"/>
  <c r="R113" i="33"/>
  <c r="AL78" i="33"/>
  <c r="AG78" i="33"/>
  <c r="AB78" i="33"/>
  <c r="W78" i="33"/>
  <c r="AG60" i="33"/>
  <c r="AG49" i="33"/>
  <c r="M79" i="33"/>
  <c r="H79" i="33"/>
  <c r="N79" i="33"/>
  <c r="L79" i="33"/>
  <c r="K79" i="33"/>
  <c r="J79" i="33"/>
  <c r="I79" i="33"/>
  <c r="G79" i="33"/>
  <c r="F79" i="33"/>
  <c r="E79" i="33"/>
  <c r="D79" i="33"/>
  <c r="R78" i="33"/>
  <c r="N107" i="33"/>
  <c r="D107" i="33"/>
  <c r="L107" i="33"/>
  <c r="K107" i="33"/>
  <c r="J107" i="33"/>
  <c r="I107" i="33"/>
  <c r="G107" i="33"/>
  <c r="F107" i="33"/>
  <c r="E107" i="33"/>
  <c r="E72" i="33"/>
  <c r="F72" i="33"/>
  <c r="I72" i="33"/>
  <c r="J72" i="33"/>
  <c r="K72" i="33"/>
  <c r="L72" i="33"/>
  <c r="N72" i="33"/>
  <c r="D72" i="33"/>
  <c r="N181" i="33"/>
  <c r="N100" i="33"/>
  <c r="N85" i="33"/>
  <c r="N65" i="33"/>
  <c r="N120" i="33"/>
  <c r="N135" i="33"/>
  <c r="X72" i="33"/>
  <c r="Y72" i="33"/>
  <c r="Z72" i="33"/>
  <c r="AA72" i="33"/>
  <c r="AC72" i="33"/>
  <c r="AD72" i="33"/>
  <c r="AE72" i="33"/>
  <c r="AF72" i="33"/>
  <c r="AH72" i="33"/>
  <c r="AI72" i="33"/>
  <c r="AJ72" i="33"/>
  <c r="AK72" i="33"/>
  <c r="AM72" i="33"/>
  <c r="AN72" i="33"/>
  <c r="AO72" i="33"/>
  <c r="AP72" i="33"/>
  <c r="AQ140" i="33"/>
  <c r="AQ115" i="33"/>
  <c r="AP197" i="33"/>
  <c r="AP267" i="33"/>
  <c r="AP237" i="33"/>
  <c r="AP257" i="33"/>
  <c r="AQ257" i="33"/>
  <c r="AQ208" i="33"/>
  <c r="AO147" i="33"/>
  <c r="AP130" i="33"/>
  <c r="AQ130" i="33"/>
  <c r="AP255" i="33"/>
  <c r="AQ255" i="33"/>
  <c r="AQ191" i="33"/>
  <c r="AQ135" i="33"/>
  <c r="AQ285" i="33"/>
  <c r="AO24" i="33"/>
  <c r="AO247" i="33"/>
  <c r="AO248" i="33"/>
  <c r="AP115" i="33"/>
  <c r="AN247" i="33"/>
  <c r="AP285" i="33"/>
  <c r="AP140" i="33"/>
  <c r="AP22" i="33"/>
  <c r="AP172" i="33"/>
  <c r="AO22" i="33"/>
  <c r="AO172" i="33"/>
  <c r="AM26" i="33"/>
  <c r="AM181" i="33"/>
  <c r="AM36" i="33"/>
  <c r="AN172" i="33"/>
  <c r="AP258" i="33"/>
  <c r="AQ258" i="33"/>
  <c r="AQ206" i="33"/>
  <c r="S237" i="33"/>
  <c r="M141" i="33"/>
  <c r="M142" i="33"/>
  <c r="Q122" i="33"/>
  <c r="S122" i="33"/>
  <c r="T122" i="33"/>
  <c r="U122" i="33"/>
  <c r="V122" i="33"/>
  <c r="X122" i="33"/>
  <c r="Y122" i="33"/>
  <c r="Z122" i="33"/>
  <c r="W140" i="33"/>
  <c r="R140" i="33"/>
  <c r="AL140" i="33"/>
  <c r="AB140" i="33"/>
  <c r="M135" i="33"/>
  <c r="AG140" i="33"/>
  <c r="H129" i="33"/>
  <c r="M129" i="33"/>
  <c r="H107" i="33"/>
  <c r="AB102" i="33"/>
  <c r="AB101" i="33"/>
  <c r="AG67" i="33"/>
  <c r="W102" i="33"/>
  <c r="H114" i="33"/>
  <c r="M114" i="33"/>
  <c r="M107" i="33"/>
  <c r="N239" i="33"/>
  <c r="N238" i="33"/>
  <c r="N235" i="33"/>
  <c r="N230" i="33"/>
  <c r="S230" i="33"/>
  <c r="S231" i="33"/>
  <c r="N218" i="33"/>
  <c r="N209" i="33"/>
  <c r="N292" i="33"/>
  <c r="N268" i="33"/>
  <c r="N262" i="33"/>
  <c r="N259" i="33"/>
  <c r="N251" i="33"/>
  <c r="AP24" i="33"/>
  <c r="AN248" i="33"/>
  <c r="AP147" i="33"/>
  <c r="AP246" i="33"/>
  <c r="AQ246" i="33"/>
  <c r="AQ197" i="33"/>
  <c r="AQ22" i="33"/>
  <c r="AN176" i="33"/>
  <c r="AN177" i="33"/>
  <c r="AQ267" i="33"/>
  <c r="AA122" i="33"/>
  <c r="AC122" i="33"/>
  <c r="S182" i="33"/>
  <c r="T182" i="33"/>
  <c r="U182" i="33"/>
  <c r="V182" i="33"/>
  <c r="X182" i="33"/>
  <c r="Y182" i="33"/>
  <c r="Z182" i="33"/>
  <c r="AA182" i="33"/>
  <c r="AC182" i="33"/>
  <c r="AD182" i="33"/>
  <c r="AE182" i="33"/>
  <c r="AF182" i="33"/>
  <c r="AH182" i="33"/>
  <c r="AI182" i="33"/>
  <c r="AJ182" i="33"/>
  <c r="AK182" i="33"/>
  <c r="AN179" i="33"/>
  <c r="AO176" i="33"/>
  <c r="AO177" i="33"/>
  <c r="AO179" i="33"/>
  <c r="AP176" i="33"/>
  <c r="AP177" i="33"/>
  <c r="AP179" i="33"/>
  <c r="AP247" i="33"/>
  <c r="AQ24" i="33"/>
  <c r="S124" i="33"/>
  <c r="AD122" i="33"/>
  <c r="Q127" i="33"/>
  <c r="L60" i="33"/>
  <c r="L49" i="33"/>
  <c r="L95" i="33"/>
  <c r="L84" i="33"/>
  <c r="L218" i="33"/>
  <c r="L209" i="33"/>
  <c r="N155" i="33"/>
  <c r="AP248" i="33"/>
  <c r="AQ248" i="33"/>
  <c r="AQ247" i="33"/>
  <c r="AP26" i="33"/>
  <c r="AP181" i="33"/>
  <c r="AP36" i="33"/>
  <c r="AO26" i="33"/>
  <c r="AO181" i="33"/>
  <c r="AO36" i="33"/>
  <c r="AN26" i="33"/>
  <c r="AN181" i="33"/>
  <c r="AN36" i="33"/>
  <c r="T124" i="33"/>
  <c r="S127" i="33"/>
  <c r="AE122" i="33"/>
  <c r="T107" i="33"/>
  <c r="AQ36" i="33"/>
  <c r="AQ26" i="33"/>
  <c r="U124" i="33"/>
  <c r="AF122" i="33"/>
  <c r="T127" i="33"/>
  <c r="U107" i="33"/>
  <c r="AG35" i="35"/>
  <c r="AG34" i="35"/>
  <c r="AG33" i="35"/>
  <c r="AG32" i="35"/>
  <c r="AG31" i="35"/>
  <c r="AG30" i="35"/>
  <c r="AG29" i="35"/>
  <c r="AG28" i="35"/>
  <c r="AG27" i="35"/>
  <c r="AG26" i="35"/>
  <c r="AG25" i="35"/>
  <c r="AG24" i="35"/>
  <c r="AG23" i="35"/>
  <c r="AG22" i="35"/>
  <c r="AG21" i="35"/>
  <c r="AG20" i="35"/>
  <c r="AG19" i="35"/>
  <c r="AG18" i="35"/>
  <c r="AG17" i="35"/>
  <c r="AG16" i="35"/>
  <c r="AG15" i="35"/>
  <c r="AG14" i="35"/>
  <c r="AG13" i="35"/>
  <c r="AG12" i="35"/>
  <c r="AG11" i="35"/>
  <c r="AG10" i="35"/>
  <c r="AG9" i="35"/>
  <c r="AG8" i="35"/>
  <c r="AG7" i="35"/>
  <c r="AG6" i="35"/>
  <c r="AG5" i="35"/>
  <c r="L238" i="33"/>
  <c r="L235" i="33"/>
  <c r="L230" i="33"/>
  <c r="L135" i="33"/>
  <c r="L120" i="33"/>
  <c r="L100" i="33"/>
  <c r="L65" i="33"/>
  <c r="U127" i="33"/>
  <c r="AH122" i="33"/>
  <c r="V124" i="33"/>
  <c r="D6" i="35"/>
  <c r="D7" i="35"/>
  <c r="D9" i="35"/>
  <c r="D10" i="35"/>
  <c r="D11" i="35"/>
  <c r="D12" i="35"/>
  <c r="D13" i="35"/>
  <c r="D14" i="35"/>
  <c r="D16" i="35"/>
  <c r="D20" i="35"/>
  <c r="D21" i="35"/>
  <c r="D22" i="35"/>
  <c r="D26" i="35"/>
  <c r="D5" i="35"/>
  <c r="L16" i="33"/>
  <c r="C333" i="33"/>
  <c r="C332" i="33"/>
  <c r="I292" i="33"/>
  <c r="D292" i="33"/>
  <c r="G285" i="33"/>
  <c r="F285" i="33"/>
  <c r="D285" i="33"/>
  <c r="H278" i="33"/>
  <c r="AL276" i="33"/>
  <c r="AG276" i="33"/>
  <c r="AB276" i="33"/>
  <c r="W276" i="33"/>
  <c r="R276" i="33"/>
  <c r="J276" i="33"/>
  <c r="D276" i="33"/>
  <c r="D275" i="33"/>
  <c r="AL274" i="33"/>
  <c r="AG274" i="33"/>
  <c r="AB274" i="33"/>
  <c r="W274" i="33"/>
  <c r="R274" i="33"/>
  <c r="J274" i="33"/>
  <c r="E274" i="33"/>
  <c r="J273" i="33"/>
  <c r="E273" i="33"/>
  <c r="AK272" i="33"/>
  <c r="AJ272" i="33"/>
  <c r="AI272" i="33"/>
  <c r="AH272" i="33"/>
  <c r="AF272" i="33"/>
  <c r="AE272" i="33"/>
  <c r="AD272" i="33"/>
  <c r="AC272" i="33"/>
  <c r="AA272" i="33"/>
  <c r="Z272" i="33"/>
  <c r="Y272" i="33"/>
  <c r="X272" i="33"/>
  <c r="V272" i="33"/>
  <c r="U272" i="33"/>
  <c r="T272" i="33"/>
  <c r="S272" i="33"/>
  <c r="Q272" i="33"/>
  <c r="N272" i="33"/>
  <c r="O272" i="33"/>
  <c r="P272" i="33"/>
  <c r="J272" i="33"/>
  <c r="E272" i="33"/>
  <c r="J271" i="33"/>
  <c r="E271" i="33"/>
  <c r="AL270" i="33"/>
  <c r="AG270" i="33"/>
  <c r="AB270" i="33"/>
  <c r="W270" i="33"/>
  <c r="R270" i="33"/>
  <c r="J270" i="33"/>
  <c r="E270" i="33"/>
  <c r="AL269" i="33"/>
  <c r="AG269" i="33"/>
  <c r="AB269" i="33"/>
  <c r="W269" i="33"/>
  <c r="R269" i="33"/>
  <c r="I269" i="33"/>
  <c r="G269" i="33"/>
  <c r="AL268" i="33"/>
  <c r="AG268" i="33"/>
  <c r="AB268" i="33"/>
  <c r="W268" i="33"/>
  <c r="R268" i="33"/>
  <c r="J268" i="33"/>
  <c r="F268" i="33"/>
  <c r="G268" i="33"/>
  <c r="J267" i="33"/>
  <c r="E267" i="33"/>
  <c r="J264" i="33"/>
  <c r="E264" i="33"/>
  <c r="J263" i="33"/>
  <c r="K263" i="33"/>
  <c r="E263" i="33"/>
  <c r="I262" i="33"/>
  <c r="D262" i="33"/>
  <c r="I259" i="33"/>
  <c r="E259" i="33"/>
  <c r="F259" i="33"/>
  <c r="J258" i="33"/>
  <c r="F258" i="33"/>
  <c r="J257" i="33"/>
  <c r="E257" i="33"/>
  <c r="F257" i="33"/>
  <c r="J256" i="33"/>
  <c r="E256" i="33"/>
  <c r="J255" i="33"/>
  <c r="E255" i="33"/>
  <c r="J254" i="33"/>
  <c r="E254" i="33"/>
  <c r="J253" i="33"/>
  <c r="E253" i="33"/>
  <c r="AL251" i="33"/>
  <c r="AG251" i="33"/>
  <c r="AB251" i="33"/>
  <c r="W251" i="33"/>
  <c r="R251" i="33"/>
  <c r="I251" i="33"/>
  <c r="J251" i="33"/>
  <c r="K251" i="33"/>
  <c r="E251" i="33"/>
  <c r="J250" i="33"/>
  <c r="E250" i="33"/>
  <c r="AK249" i="33"/>
  <c r="AJ249" i="33"/>
  <c r="AI249" i="33"/>
  <c r="AH249" i="33"/>
  <c r="AF249" i="33"/>
  <c r="AE249" i="33"/>
  <c r="AD249" i="33"/>
  <c r="AC249" i="33"/>
  <c r="AA249" i="33"/>
  <c r="Z249" i="33"/>
  <c r="Y249" i="33"/>
  <c r="X249" i="33"/>
  <c r="V249" i="33"/>
  <c r="U249" i="33"/>
  <c r="T249" i="33"/>
  <c r="S249" i="33"/>
  <c r="Q249" i="33"/>
  <c r="N249" i="33"/>
  <c r="J249" i="33"/>
  <c r="E249" i="33"/>
  <c r="J248" i="33"/>
  <c r="K248" i="33"/>
  <c r="L248" i="33"/>
  <c r="E248" i="33"/>
  <c r="J247" i="33"/>
  <c r="E247" i="33"/>
  <c r="J246" i="33"/>
  <c r="E246" i="33"/>
  <c r="J245" i="33"/>
  <c r="E245" i="33"/>
  <c r="I239" i="33"/>
  <c r="K238" i="33"/>
  <c r="J238" i="33"/>
  <c r="I238" i="33"/>
  <c r="G238" i="33"/>
  <c r="F238" i="33"/>
  <c r="E238" i="33"/>
  <c r="D238" i="33"/>
  <c r="G237" i="33"/>
  <c r="F237" i="33"/>
  <c r="D237" i="33"/>
  <c r="K235" i="33"/>
  <c r="J235" i="33"/>
  <c r="I235" i="33"/>
  <c r="G235" i="33"/>
  <c r="F235" i="33"/>
  <c r="E235" i="33"/>
  <c r="D235" i="33"/>
  <c r="V230" i="33"/>
  <c r="AA230" i="33"/>
  <c r="U230" i="33"/>
  <c r="T230" i="33"/>
  <c r="K230" i="33"/>
  <c r="J230" i="33"/>
  <c r="I230" i="33"/>
  <c r="F230" i="33"/>
  <c r="E230" i="33"/>
  <c r="D230" i="33"/>
  <c r="V228" i="33"/>
  <c r="AK227" i="33"/>
  <c r="AJ227" i="33"/>
  <c r="AI227" i="33"/>
  <c r="AH227" i="33"/>
  <c r="AF227" i="33"/>
  <c r="AE227" i="33"/>
  <c r="AD227" i="33"/>
  <c r="AC227" i="33"/>
  <c r="AA227" i="33"/>
  <c r="Z227" i="33"/>
  <c r="Y227" i="33"/>
  <c r="X227" i="33"/>
  <c r="V227" i="33"/>
  <c r="U227" i="33"/>
  <c r="T227" i="33"/>
  <c r="Q227" i="33"/>
  <c r="Q229" i="33"/>
  <c r="P227" i="33"/>
  <c r="O227" i="33"/>
  <c r="N227" i="33"/>
  <c r="L227" i="33"/>
  <c r="K227" i="33"/>
  <c r="J227" i="33"/>
  <c r="I227" i="33"/>
  <c r="G227" i="33"/>
  <c r="F227" i="33"/>
  <c r="E227" i="33"/>
  <c r="D227" i="33"/>
  <c r="M221" i="33"/>
  <c r="H221" i="33"/>
  <c r="Q220" i="33"/>
  <c r="M220" i="33"/>
  <c r="H220" i="33"/>
  <c r="H219" i="33"/>
  <c r="K218" i="33"/>
  <c r="J218" i="33"/>
  <c r="J222" i="33"/>
  <c r="I218" i="33"/>
  <c r="G218" i="33"/>
  <c r="H218" i="33"/>
  <c r="F218" i="33"/>
  <c r="E218" i="33"/>
  <c r="D218" i="33"/>
  <c r="M215" i="33"/>
  <c r="H215" i="33"/>
  <c r="Q214" i="33"/>
  <c r="H214" i="33"/>
  <c r="Q213" i="33"/>
  <c r="M213" i="33"/>
  <c r="H213" i="33"/>
  <c r="M212" i="33"/>
  <c r="H212" i="33"/>
  <c r="G211" i="33"/>
  <c r="F211" i="33"/>
  <c r="F216" i="33"/>
  <c r="D211" i="33"/>
  <c r="AL210" i="33"/>
  <c r="AG210" i="33"/>
  <c r="AB210" i="33"/>
  <c r="W210" i="33"/>
  <c r="R210" i="33"/>
  <c r="M210" i="33"/>
  <c r="H210" i="33"/>
  <c r="AB209" i="33"/>
  <c r="W209" i="33"/>
  <c r="R209" i="33"/>
  <c r="K209" i="33"/>
  <c r="J209" i="33"/>
  <c r="I209" i="33"/>
  <c r="H209" i="33"/>
  <c r="E209" i="33"/>
  <c r="M208" i="33"/>
  <c r="H208" i="33"/>
  <c r="Q207" i="33"/>
  <c r="H207" i="33"/>
  <c r="M206" i="33"/>
  <c r="H206" i="33"/>
  <c r="Q205" i="33"/>
  <c r="H205" i="33"/>
  <c r="H204" i="33"/>
  <c r="H203" i="33"/>
  <c r="Q200" i="33"/>
  <c r="H200" i="33"/>
  <c r="M199" i="33"/>
  <c r="H199" i="33"/>
  <c r="H198" i="33"/>
  <c r="H197" i="33"/>
  <c r="M196" i="33"/>
  <c r="Q196" i="33"/>
  <c r="H196" i="33"/>
  <c r="H195" i="33"/>
  <c r="H194" i="33"/>
  <c r="H193" i="33"/>
  <c r="H191" i="33"/>
  <c r="H190" i="33"/>
  <c r="H189" i="33"/>
  <c r="H188" i="33"/>
  <c r="K181" i="33"/>
  <c r="K36" i="33"/>
  <c r="F180" i="33"/>
  <c r="E180" i="33"/>
  <c r="J177" i="33"/>
  <c r="I177" i="33"/>
  <c r="F177" i="33"/>
  <c r="E177" i="33"/>
  <c r="H176" i="33"/>
  <c r="H175" i="33"/>
  <c r="G174" i="33"/>
  <c r="D174" i="33"/>
  <c r="D173" i="33"/>
  <c r="H173" i="33"/>
  <c r="K172" i="33"/>
  <c r="G172" i="33"/>
  <c r="D172" i="33"/>
  <c r="F170" i="33"/>
  <c r="E170" i="33"/>
  <c r="E167" i="33"/>
  <c r="D166" i="33"/>
  <c r="O164" i="33"/>
  <c r="N164" i="33"/>
  <c r="L164" i="33"/>
  <c r="K164" i="33"/>
  <c r="K160" i="33"/>
  <c r="J164" i="33"/>
  <c r="I164" i="33"/>
  <c r="G164" i="33"/>
  <c r="E164" i="33"/>
  <c r="AL163" i="33"/>
  <c r="AG163" i="33"/>
  <c r="AB163" i="33"/>
  <c r="W163" i="33"/>
  <c r="R163" i="33"/>
  <c r="M163" i="33"/>
  <c r="F163" i="33"/>
  <c r="K147" i="33"/>
  <c r="J147" i="33"/>
  <c r="I147" i="33"/>
  <c r="F147" i="33"/>
  <c r="E147" i="33"/>
  <c r="D147" i="33"/>
  <c r="K146" i="33"/>
  <c r="J146" i="33"/>
  <c r="I146" i="33"/>
  <c r="F146" i="33"/>
  <c r="E146" i="33"/>
  <c r="D146" i="33"/>
  <c r="K145" i="33"/>
  <c r="J145" i="33"/>
  <c r="I145" i="33"/>
  <c r="F145" i="33"/>
  <c r="E145" i="33"/>
  <c r="D145" i="33"/>
  <c r="K144" i="33"/>
  <c r="J144" i="33"/>
  <c r="I144" i="33"/>
  <c r="F144" i="33"/>
  <c r="E144" i="33"/>
  <c r="D144" i="33"/>
  <c r="K141" i="33"/>
  <c r="J141" i="33"/>
  <c r="I141" i="33"/>
  <c r="F141" i="33"/>
  <c r="E141" i="33"/>
  <c r="D141" i="33"/>
  <c r="D142" i="33"/>
  <c r="G137" i="33"/>
  <c r="U135" i="33"/>
  <c r="K135" i="33"/>
  <c r="J135" i="33"/>
  <c r="I135" i="33"/>
  <c r="S134" i="33"/>
  <c r="K120" i="33"/>
  <c r="J120" i="33"/>
  <c r="I120" i="33"/>
  <c r="M119" i="33"/>
  <c r="H119" i="33"/>
  <c r="K103" i="33"/>
  <c r="K105" i="33"/>
  <c r="J103" i="33"/>
  <c r="J105" i="33"/>
  <c r="I103" i="33"/>
  <c r="G103" i="33"/>
  <c r="F103" i="33"/>
  <c r="F105" i="33"/>
  <c r="E103" i="33"/>
  <c r="E105" i="33"/>
  <c r="D103" i="33"/>
  <c r="AA102" i="33"/>
  <c r="Z102" i="33"/>
  <c r="Y102" i="33"/>
  <c r="X102" i="33"/>
  <c r="V102" i="33"/>
  <c r="U102" i="33"/>
  <c r="T102" i="33"/>
  <c r="S102" i="33"/>
  <c r="P102" i="33"/>
  <c r="O102" i="33"/>
  <c r="N102" i="33"/>
  <c r="L102" i="33"/>
  <c r="K101" i="33"/>
  <c r="J101" i="33"/>
  <c r="I101" i="33"/>
  <c r="G101" i="33"/>
  <c r="F101" i="33"/>
  <c r="E101" i="33"/>
  <c r="D101" i="33"/>
  <c r="K100" i="33"/>
  <c r="J100" i="33"/>
  <c r="I100" i="33"/>
  <c r="S99" i="33"/>
  <c r="Q99" i="33"/>
  <c r="V99" i="33"/>
  <c r="K96" i="33"/>
  <c r="J96" i="33"/>
  <c r="I96" i="33"/>
  <c r="I97" i="33"/>
  <c r="G96" i="33"/>
  <c r="G97" i="33"/>
  <c r="F96" i="33"/>
  <c r="F97" i="33"/>
  <c r="E96" i="33"/>
  <c r="D96" i="33"/>
  <c r="R95" i="33"/>
  <c r="K95" i="33"/>
  <c r="J95" i="33"/>
  <c r="I95" i="33"/>
  <c r="G95" i="33"/>
  <c r="F95" i="33"/>
  <c r="E95" i="33"/>
  <c r="D95" i="33"/>
  <c r="F93" i="33"/>
  <c r="E93" i="33"/>
  <c r="D93" i="33"/>
  <c r="K92" i="33"/>
  <c r="J92" i="33"/>
  <c r="I92" i="33"/>
  <c r="G92" i="33"/>
  <c r="F92" i="33"/>
  <c r="E92" i="33"/>
  <c r="D92" i="33"/>
  <c r="AC90" i="33"/>
  <c r="AD90" i="33"/>
  <c r="AE90" i="33"/>
  <c r="AF90" i="33"/>
  <c r="AH90" i="33"/>
  <c r="AI90" i="33"/>
  <c r="AJ90" i="33"/>
  <c r="AK90" i="33"/>
  <c r="AM90" i="33"/>
  <c r="P86" i="33"/>
  <c r="U86" i="33"/>
  <c r="N86" i="33"/>
  <c r="S86" i="33"/>
  <c r="G93" i="33"/>
  <c r="P85" i="33"/>
  <c r="O85" i="33"/>
  <c r="L85" i="33"/>
  <c r="K85" i="33"/>
  <c r="J85" i="33"/>
  <c r="I85" i="33"/>
  <c r="R84" i="33"/>
  <c r="K84" i="33"/>
  <c r="J84" i="33"/>
  <c r="I84" i="33"/>
  <c r="G84" i="33"/>
  <c r="F84" i="33"/>
  <c r="E84" i="33"/>
  <c r="D84" i="33"/>
  <c r="Q85" i="33"/>
  <c r="K68" i="33"/>
  <c r="J68" i="33"/>
  <c r="I68" i="33"/>
  <c r="G68" i="33"/>
  <c r="F68" i="33"/>
  <c r="E68" i="33"/>
  <c r="D68" i="33"/>
  <c r="AF67" i="33"/>
  <c r="AE67" i="33"/>
  <c r="AD67" i="33"/>
  <c r="AC67" i="33"/>
  <c r="L67" i="33"/>
  <c r="K66" i="33"/>
  <c r="J66" i="33"/>
  <c r="I66" i="33"/>
  <c r="G66" i="33"/>
  <c r="F66" i="33"/>
  <c r="E66" i="33"/>
  <c r="D66" i="33"/>
  <c r="K65" i="33"/>
  <c r="J65" i="33"/>
  <c r="I65" i="33"/>
  <c r="S64" i="33"/>
  <c r="K61" i="33"/>
  <c r="J61" i="33"/>
  <c r="I61" i="33"/>
  <c r="G61" i="33"/>
  <c r="G62" i="33"/>
  <c r="F61" i="33"/>
  <c r="F62" i="33"/>
  <c r="E61" i="33"/>
  <c r="E62" i="33"/>
  <c r="D61" i="33"/>
  <c r="AH60" i="33"/>
  <c r="K60" i="33"/>
  <c r="J60" i="33"/>
  <c r="I60" i="33"/>
  <c r="G60" i="33"/>
  <c r="F60" i="33"/>
  <c r="E60" i="33"/>
  <c r="D60" i="33"/>
  <c r="L61" i="33"/>
  <c r="L62" i="33"/>
  <c r="F58" i="33"/>
  <c r="E58" i="33"/>
  <c r="D58" i="33"/>
  <c r="J57" i="33"/>
  <c r="I57" i="33"/>
  <c r="G57" i="33"/>
  <c r="F57" i="33"/>
  <c r="E57" i="33"/>
  <c r="D57" i="33"/>
  <c r="H56" i="33"/>
  <c r="AC55" i="33"/>
  <c r="AD55" i="33"/>
  <c r="AE55" i="33"/>
  <c r="AF55" i="33"/>
  <c r="AH55" i="33"/>
  <c r="AI55" i="33"/>
  <c r="AJ55" i="33"/>
  <c r="AK55" i="33"/>
  <c r="AM55" i="33"/>
  <c r="G58" i="33"/>
  <c r="T51" i="33"/>
  <c r="Y51" i="33"/>
  <c r="L51" i="33"/>
  <c r="Q51" i="33"/>
  <c r="V51" i="33"/>
  <c r="AA51" i="33"/>
  <c r="P51" i="33"/>
  <c r="U51" i="33"/>
  <c r="Z51" i="33"/>
  <c r="N50" i="33"/>
  <c r="L50" i="33"/>
  <c r="K50" i="33"/>
  <c r="J50" i="33"/>
  <c r="J58" i="33"/>
  <c r="I50" i="33"/>
  <c r="AH49" i="33"/>
  <c r="K49" i="33"/>
  <c r="J49" i="33"/>
  <c r="I49" i="33"/>
  <c r="G49" i="33"/>
  <c r="F49" i="33"/>
  <c r="E49" i="33"/>
  <c r="D49" i="33"/>
  <c r="L43" i="33"/>
  <c r="N43" i="33"/>
  <c r="H43" i="33"/>
  <c r="L36" i="33"/>
  <c r="J36" i="33"/>
  <c r="I36" i="33"/>
  <c r="G36" i="33"/>
  <c r="D36" i="33"/>
  <c r="G34" i="33"/>
  <c r="G32" i="33"/>
  <c r="G30" i="33"/>
  <c r="G155" i="33"/>
  <c r="G29" i="33"/>
  <c r="AL28" i="33"/>
  <c r="AG28" i="33"/>
  <c r="AB28" i="33"/>
  <c r="W28" i="33"/>
  <c r="R28" i="33"/>
  <c r="M28" i="33"/>
  <c r="G28" i="33"/>
  <c r="M24" i="33"/>
  <c r="G24" i="33"/>
  <c r="G147" i="33"/>
  <c r="K23" i="33"/>
  <c r="J23" i="33"/>
  <c r="I23" i="33"/>
  <c r="H23" i="33"/>
  <c r="F23" i="33"/>
  <c r="E23" i="33"/>
  <c r="D23" i="33"/>
  <c r="G22" i="33"/>
  <c r="G21" i="33"/>
  <c r="G20" i="33"/>
  <c r="G19" i="33"/>
  <c r="G18" i="33"/>
  <c r="G17" i="33"/>
  <c r="G230" i="33"/>
  <c r="K16" i="33"/>
  <c r="J16" i="33"/>
  <c r="I16" i="33"/>
  <c r="H16" i="33"/>
  <c r="F16" i="33"/>
  <c r="E16" i="33"/>
  <c r="D16" i="33"/>
  <c r="M15" i="33"/>
  <c r="G15" i="33"/>
  <c r="G146" i="33"/>
  <c r="G14" i="33"/>
  <c r="G145" i="33"/>
  <c r="G13" i="33"/>
  <c r="G144" i="33"/>
  <c r="AN90" i="33"/>
  <c r="AN55" i="33"/>
  <c r="T214" i="33"/>
  <c r="U214" i="33"/>
  <c r="V214" i="33"/>
  <c r="S214" i="33"/>
  <c r="S213" i="33"/>
  <c r="S220" i="33"/>
  <c r="S207" i="33"/>
  <c r="S196" i="33"/>
  <c r="S200" i="33"/>
  <c r="S205" i="33"/>
  <c r="O249" i="33"/>
  <c r="S232" i="33"/>
  <c r="O161" i="33"/>
  <c r="O160" i="33"/>
  <c r="Q137" i="33"/>
  <c r="S137" i="33"/>
  <c r="Q139" i="33"/>
  <c r="S139" i="33"/>
  <c r="U232" i="33"/>
  <c r="Z232" i="33"/>
  <c r="H124" i="33"/>
  <c r="H127" i="33"/>
  <c r="H131" i="33"/>
  <c r="H122" i="33"/>
  <c r="M122" i="33"/>
  <c r="M124" i="33"/>
  <c r="M127" i="33"/>
  <c r="M131" i="33"/>
  <c r="M132" i="33"/>
  <c r="X124" i="33"/>
  <c r="U119" i="33"/>
  <c r="U126" i="33"/>
  <c r="AI122" i="33"/>
  <c r="V127" i="33"/>
  <c r="X99" i="33"/>
  <c r="AC99" i="33"/>
  <c r="R99" i="33"/>
  <c r="H84" i="33"/>
  <c r="D116" i="33"/>
  <c r="H103" i="33"/>
  <c r="M84" i="33"/>
  <c r="R64" i="33"/>
  <c r="D105" i="33"/>
  <c r="D112" i="33"/>
  <c r="D109" i="33"/>
  <c r="I112" i="33"/>
  <c r="I105" i="33"/>
  <c r="G112" i="33"/>
  <c r="G105" i="33"/>
  <c r="E109" i="33"/>
  <c r="E112" i="33"/>
  <c r="F109" i="33"/>
  <c r="F112" i="33"/>
  <c r="J109" i="33"/>
  <c r="J112" i="33"/>
  <c r="K109" i="33"/>
  <c r="K112" i="33"/>
  <c r="G109" i="33"/>
  <c r="I109" i="33"/>
  <c r="I116" i="33"/>
  <c r="G161" i="33"/>
  <c r="D70" i="33"/>
  <c r="D74" i="33"/>
  <c r="D77" i="33"/>
  <c r="E77" i="33"/>
  <c r="E74" i="33"/>
  <c r="E70" i="33"/>
  <c r="E80" i="33"/>
  <c r="F74" i="33"/>
  <c r="F77" i="33"/>
  <c r="F70" i="33"/>
  <c r="G74" i="33"/>
  <c r="G70" i="33"/>
  <c r="G77" i="33"/>
  <c r="I70" i="33"/>
  <c r="I74" i="33"/>
  <c r="I77" i="33"/>
  <c r="J77" i="33"/>
  <c r="J70" i="33"/>
  <c r="J74" i="33"/>
  <c r="K77" i="33"/>
  <c r="K70" i="33"/>
  <c r="K74" i="33"/>
  <c r="R272" i="33"/>
  <c r="E36" i="33"/>
  <c r="F155" i="33"/>
  <c r="I155" i="33"/>
  <c r="F36" i="33"/>
  <c r="J155" i="33"/>
  <c r="Z230" i="33"/>
  <c r="K97" i="33"/>
  <c r="M95" i="33"/>
  <c r="Q231" i="33"/>
  <c r="E25" i="33"/>
  <c r="G141" i="33"/>
  <c r="G142" i="33"/>
  <c r="I222" i="33"/>
  <c r="F256" i="33"/>
  <c r="J161" i="33"/>
  <c r="F250" i="33"/>
  <c r="G250" i="33"/>
  <c r="F264" i="33"/>
  <c r="G264" i="33"/>
  <c r="O233" i="33"/>
  <c r="J93" i="33"/>
  <c r="I160" i="33"/>
  <c r="K222" i="33"/>
  <c r="K233" i="33"/>
  <c r="F254" i="33"/>
  <c r="E262" i="33"/>
  <c r="F271" i="33"/>
  <c r="G131" i="33"/>
  <c r="V135" i="33"/>
  <c r="K254" i="33"/>
  <c r="F263" i="33"/>
  <c r="K271" i="33"/>
  <c r="D35" i="35"/>
  <c r="Z86" i="33"/>
  <c r="AE86" i="33"/>
  <c r="AJ86" i="33"/>
  <c r="AO86" i="33"/>
  <c r="I161" i="33"/>
  <c r="K161" i="33"/>
  <c r="E179" i="33"/>
  <c r="Y230" i="33"/>
  <c r="L263" i="33"/>
  <c r="L294" i="33"/>
  <c r="F179" i="33"/>
  <c r="H238" i="33"/>
  <c r="Q233" i="33"/>
  <c r="F245" i="33"/>
  <c r="F255" i="33"/>
  <c r="F272" i="33"/>
  <c r="I179" i="33"/>
  <c r="AF230" i="33"/>
  <c r="AF231" i="33"/>
  <c r="K255" i="33"/>
  <c r="F67" i="33"/>
  <c r="G23" i="33"/>
  <c r="M120" i="33"/>
  <c r="J179" i="33"/>
  <c r="H285" i="33"/>
  <c r="T231" i="33"/>
  <c r="F246" i="33"/>
  <c r="K250" i="33"/>
  <c r="K291" i="33"/>
  <c r="K264" i="33"/>
  <c r="N233" i="33"/>
  <c r="H163" i="33"/>
  <c r="D167" i="33"/>
  <c r="D222" i="33"/>
  <c r="O231" i="33"/>
  <c r="D265" i="33"/>
  <c r="N275" i="33"/>
  <c r="AL272" i="33"/>
  <c r="D62" i="33"/>
  <c r="I93" i="33"/>
  <c r="T99" i="33"/>
  <c r="E142" i="33"/>
  <c r="AA228" i="33"/>
  <c r="AA229" i="33"/>
  <c r="AB249" i="33"/>
  <c r="L251" i="33"/>
  <c r="K256" i="33"/>
  <c r="U99" i="33"/>
  <c r="F142" i="33"/>
  <c r="L155" i="33"/>
  <c r="D216" i="33"/>
  <c r="K267" i="33"/>
  <c r="F270" i="33"/>
  <c r="H235" i="33"/>
  <c r="E222" i="33"/>
  <c r="F248" i="33"/>
  <c r="K257" i="33"/>
  <c r="K270" i="33"/>
  <c r="E97" i="33"/>
  <c r="G216" i="33"/>
  <c r="F222" i="33"/>
  <c r="L268" i="33"/>
  <c r="D97" i="33"/>
  <c r="I62" i="33"/>
  <c r="K155" i="33"/>
  <c r="G177" i="33"/>
  <c r="I211" i="33"/>
  <c r="G222" i="33"/>
  <c r="K258" i="33"/>
  <c r="W272" i="33"/>
  <c r="K231" i="33"/>
  <c r="K131" i="33"/>
  <c r="AE51" i="33"/>
  <c r="J62" i="33"/>
  <c r="K142" i="33"/>
  <c r="K177" i="33"/>
  <c r="K211" i="33"/>
  <c r="G259" i="33"/>
  <c r="K62" i="33"/>
  <c r="E161" i="33"/>
  <c r="AD209" i="33"/>
  <c r="K249" i="33"/>
  <c r="H269" i="33"/>
  <c r="F102" i="33"/>
  <c r="AD51" i="33"/>
  <c r="J97" i="33"/>
  <c r="G160" i="33"/>
  <c r="F164" i="33"/>
  <c r="H164" i="33"/>
  <c r="I231" i="33"/>
  <c r="J259" i="33"/>
  <c r="X230" i="33"/>
  <c r="D28" i="35"/>
  <c r="L228" i="33"/>
  <c r="D8" i="35"/>
  <c r="L160" i="33"/>
  <c r="L161" i="33"/>
  <c r="R196" i="33"/>
  <c r="M34" i="33"/>
  <c r="M43" i="33"/>
  <c r="K58" i="33"/>
  <c r="J102" i="33"/>
  <c r="E160" i="33"/>
  <c r="F253" i="33"/>
  <c r="AB272" i="33"/>
  <c r="L86" i="33"/>
  <c r="M207" i="33"/>
  <c r="AL249" i="33"/>
  <c r="I58" i="33"/>
  <c r="AH67" i="33"/>
  <c r="W249" i="33"/>
  <c r="H49" i="33"/>
  <c r="F131" i="33"/>
  <c r="M191" i="33"/>
  <c r="E102" i="33"/>
  <c r="I131" i="33"/>
  <c r="J292" i="33"/>
  <c r="AG272" i="33"/>
  <c r="K247" i="33"/>
  <c r="K292" i="33"/>
  <c r="G102" i="33"/>
  <c r="M36" i="33"/>
  <c r="I102" i="33"/>
  <c r="H222" i="33"/>
  <c r="E233" i="33"/>
  <c r="H268" i="33"/>
  <c r="H25" i="33"/>
  <c r="M30" i="33"/>
  <c r="AI49" i="33"/>
  <c r="E239" i="33"/>
  <c r="D67" i="33"/>
  <c r="M205" i="33"/>
  <c r="E67" i="33"/>
  <c r="R102" i="33"/>
  <c r="J231" i="33"/>
  <c r="J228" i="33"/>
  <c r="J150" i="33"/>
  <c r="J25" i="33"/>
  <c r="K67" i="33"/>
  <c r="I294" i="33"/>
  <c r="I291" i="33"/>
  <c r="I228" i="33"/>
  <c r="I150" i="33"/>
  <c r="I25" i="33"/>
  <c r="AF51" i="33"/>
  <c r="D291" i="33"/>
  <c r="D294" i="33"/>
  <c r="D228" i="33"/>
  <c r="D25" i="33"/>
  <c r="F228" i="33"/>
  <c r="F25" i="33"/>
  <c r="G16" i="33"/>
  <c r="M49" i="33"/>
  <c r="T64" i="33"/>
  <c r="J67" i="33"/>
  <c r="H68" i="33"/>
  <c r="L96" i="33"/>
  <c r="L97" i="33"/>
  <c r="L101" i="33"/>
  <c r="K228" i="33"/>
  <c r="K150" i="33"/>
  <c r="V64" i="33"/>
  <c r="X64" i="33"/>
  <c r="L66" i="33"/>
  <c r="H95" i="33"/>
  <c r="D102" i="33"/>
  <c r="H60" i="33"/>
  <c r="K93" i="33"/>
  <c r="Q50" i="33"/>
  <c r="AI60" i="33"/>
  <c r="G67" i="33"/>
  <c r="AA99" i="33"/>
  <c r="I67" i="33"/>
  <c r="E294" i="33"/>
  <c r="E228" i="33"/>
  <c r="K25" i="33"/>
  <c r="M60" i="33"/>
  <c r="L146" i="33"/>
  <c r="K102" i="33"/>
  <c r="P164" i="33"/>
  <c r="P161" i="33"/>
  <c r="T134" i="33"/>
  <c r="O86" i="33"/>
  <c r="L147" i="33"/>
  <c r="G116" i="33"/>
  <c r="E131" i="33"/>
  <c r="U64" i="33"/>
  <c r="Q119" i="33"/>
  <c r="R205" i="33"/>
  <c r="J131" i="33"/>
  <c r="R213" i="33"/>
  <c r="S119" i="33"/>
  <c r="T119" i="33"/>
  <c r="X86" i="33"/>
  <c r="X214" i="33"/>
  <c r="R200" i="33"/>
  <c r="I142" i="33"/>
  <c r="L177" i="33"/>
  <c r="Q134" i="33"/>
  <c r="J142" i="33"/>
  <c r="H211" i="33"/>
  <c r="E285" i="33"/>
  <c r="E237" i="33"/>
  <c r="E211" i="33"/>
  <c r="E155" i="33"/>
  <c r="V229" i="33"/>
  <c r="V231" i="33"/>
  <c r="M194" i="33"/>
  <c r="I285" i="33"/>
  <c r="I237" i="33"/>
  <c r="U134" i="33"/>
  <c r="J285" i="33"/>
  <c r="J236" i="33"/>
  <c r="J237" i="33"/>
  <c r="J211" i="33"/>
  <c r="G231" i="33"/>
  <c r="G233" i="33"/>
  <c r="AA231" i="33"/>
  <c r="M200" i="33"/>
  <c r="R220" i="33"/>
  <c r="Q285" i="33"/>
  <c r="Q237" i="33"/>
  <c r="R212" i="33"/>
  <c r="M214" i="33"/>
  <c r="H174" i="33"/>
  <c r="R214" i="33"/>
  <c r="H172" i="33"/>
  <c r="R207" i="33"/>
  <c r="D177" i="33"/>
  <c r="I233" i="33"/>
  <c r="J160" i="33"/>
  <c r="M164" i="33"/>
  <c r="L231" i="33"/>
  <c r="R215" i="33"/>
  <c r="F233" i="33"/>
  <c r="F231" i="33"/>
  <c r="L285" i="33"/>
  <c r="L237" i="33"/>
  <c r="M209" i="33"/>
  <c r="P231" i="33"/>
  <c r="P233" i="33"/>
  <c r="K285" i="33"/>
  <c r="K237" i="33"/>
  <c r="J233" i="33"/>
  <c r="T232" i="33"/>
  <c r="K253" i="33"/>
  <c r="U231" i="33"/>
  <c r="G257" i="33"/>
  <c r="F251" i="33"/>
  <c r="D231" i="33"/>
  <c r="G258" i="33"/>
  <c r="D233" i="33"/>
  <c r="N231" i="33"/>
  <c r="E231" i="33"/>
  <c r="AG249" i="33"/>
  <c r="E276" i="33"/>
  <c r="K246" i="33"/>
  <c r="I265" i="33"/>
  <c r="J262" i="33"/>
  <c r="F273" i="33"/>
  <c r="E291" i="33"/>
  <c r="E292" i="33"/>
  <c r="F247" i="33"/>
  <c r="J294" i="33"/>
  <c r="K294" i="33"/>
  <c r="J239" i="33"/>
  <c r="K245" i="33"/>
  <c r="F249" i="33"/>
  <c r="E275" i="33"/>
  <c r="F267" i="33"/>
  <c r="J291" i="33"/>
  <c r="F274" i="33"/>
  <c r="I275" i="33"/>
  <c r="K272" i="33"/>
  <c r="K273" i="33"/>
  <c r="K274" i="33"/>
  <c r="K276" i="33"/>
  <c r="J269" i="33"/>
  <c r="J275" i="33"/>
  <c r="G21" i="29"/>
  <c r="AO90" i="33"/>
  <c r="AO55" i="33"/>
  <c r="W214" i="33"/>
  <c r="S233" i="33"/>
  <c r="P249" i="33"/>
  <c r="P160" i="33"/>
  <c r="U233" i="33"/>
  <c r="R139" i="33"/>
  <c r="Z231" i="33"/>
  <c r="T139" i="33"/>
  <c r="R137" i="33"/>
  <c r="T137" i="33"/>
  <c r="R134" i="33"/>
  <c r="AE230" i="33"/>
  <c r="E31" i="33"/>
  <c r="Y124" i="33"/>
  <c r="X127" i="33"/>
  <c r="Q121" i="33"/>
  <c r="R121" i="33"/>
  <c r="Q123" i="33"/>
  <c r="R123" i="33"/>
  <c r="Q126" i="33"/>
  <c r="R126" i="33"/>
  <c r="Y119" i="33"/>
  <c r="T121" i="33"/>
  <c r="T123" i="33"/>
  <c r="T126" i="33"/>
  <c r="X119" i="33"/>
  <c r="S121" i="33"/>
  <c r="S123" i="33"/>
  <c r="S126" i="33"/>
  <c r="AJ122" i="33"/>
  <c r="Z119" i="33"/>
  <c r="U121" i="33"/>
  <c r="U123" i="33"/>
  <c r="AE209" i="33"/>
  <c r="G236" i="33"/>
  <c r="H102" i="33"/>
  <c r="W64" i="33"/>
  <c r="Y107" i="33"/>
  <c r="W99" i="33"/>
  <c r="M102" i="33"/>
  <c r="H112" i="33"/>
  <c r="H109" i="33"/>
  <c r="H105" i="33"/>
  <c r="D236" i="33"/>
  <c r="G270" i="33"/>
  <c r="H270" i="33"/>
  <c r="E236" i="33"/>
  <c r="D223" i="33"/>
  <c r="E265" i="33"/>
  <c r="K236" i="33"/>
  <c r="L229" i="33"/>
  <c r="F239" i="33"/>
  <c r="K80" i="33"/>
  <c r="P146" i="33"/>
  <c r="H36" i="33"/>
  <c r="E81" i="33"/>
  <c r="G271" i="33"/>
  <c r="H271" i="33"/>
  <c r="G255" i="33"/>
  <c r="H255" i="33"/>
  <c r="F262" i="33"/>
  <c r="I236" i="33"/>
  <c r="F291" i="33"/>
  <c r="O146" i="33"/>
  <c r="E151" i="33"/>
  <c r="G263" i="33"/>
  <c r="I26" i="33"/>
  <c r="F294" i="33"/>
  <c r="F223" i="33"/>
  <c r="F236" i="33"/>
  <c r="G248" i="33"/>
  <c r="H250" i="33"/>
  <c r="M268" i="33"/>
  <c r="D132" i="33"/>
  <c r="G256" i="33"/>
  <c r="H256" i="33"/>
  <c r="H257" i="33"/>
  <c r="H259" i="33"/>
  <c r="G253" i="33"/>
  <c r="L267" i="33"/>
  <c r="J229" i="33"/>
  <c r="H264" i="33"/>
  <c r="K259" i="33"/>
  <c r="L270" i="33"/>
  <c r="J182" i="33"/>
  <c r="J26" i="33"/>
  <c r="L255" i="33"/>
  <c r="AI51" i="33"/>
  <c r="AN51" i="33"/>
  <c r="AD230" i="33"/>
  <c r="G273" i="33"/>
  <c r="H151" i="33"/>
  <c r="E182" i="33"/>
  <c r="E26" i="33"/>
  <c r="I132" i="33"/>
  <c r="G251" i="33"/>
  <c r="AJ51" i="33"/>
  <c r="AO51" i="33"/>
  <c r="G223" i="33"/>
  <c r="D229" i="33"/>
  <c r="F132" i="33"/>
  <c r="L257" i="33"/>
  <c r="L256" i="33"/>
  <c r="L264" i="33"/>
  <c r="K216" i="33"/>
  <c r="K223" i="33"/>
  <c r="G254" i="33"/>
  <c r="E229" i="33"/>
  <c r="L258" i="33"/>
  <c r="M258" i="33"/>
  <c r="L250" i="33"/>
  <c r="L291" i="33"/>
  <c r="AK230" i="33"/>
  <c r="F182" i="33"/>
  <c r="F26" i="33"/>
  <c r="L271" i="33"/>
  <c r="L249" i="33"/>
  <c r="Y231" i="33"/>
  <c r="F161" i="33"/>
  <c r="F160" i="33"/>
  <c r="K179" i="33"/>
  <c r="M251" i="33"/>
  <c r="G274" i="33"/>
  <c r="H31" i="33"/>
  <c r="G246" i="33"/>
  <c r="K269" i="33"/>
  <c r="K275" i="33"/>
  <c r="G249" i="33"/>
  <c r="E216" i="33"/>
  <c r="E223" i="33"/>
  <c r="L247" i="33"/>
  <c r="I216" i="33"/>
  <c r="I223" i="33"/>
  <c r="L254" i="33"/>
  <c r="L276" i="33"/>
  <c r="K239" i="33"/>
  <c r="L245" i="33"/>
  <c r="L239" i="33"/>
  <c r="L253" i="33"/>
  <c r="J216" i="33"/>
  <c r="J223" i="33"/>
  <c r="I117" i="33"/>
  <c r="L274" i="33"/>
  <c r="H258" i="33"/>
  <c r="G291" i="33"/>
  <c r="K132" i="33"/>
  <c r="AF228" i="33"/>
  <c r="X135" i="33"/>
  <c r="L246" i="33"/>
  <c r="L273" i="33"/>
  <c r="E132" i="33"/>
  <c r="I229" i="33"/>
  <c r="L272" i="33"/>
  <c r="G117" i="33"/>
  <c r="G179" i="33"/>
  <c r="G132" i="33"/>
  <c r="H216" i="33"/>
  <c r="H223" i="33"/>
  <c r="F229" i="33"/>
  <c r="G247" i="33"/>
  <c r="Y99" i="33"/>
  <c r="AI67" i="33"/>
  <c r="K229" i="33"/>
  <c r="I182" i="33"/>
  <c r="G272" i="33"/>
  <c r="F276" i="33"/>
  <c r="D179" i="33"/>
  <c r="AJ49" i="33"/>
  <c r="G245" i="33"/>
  <c r="H245" i="33"/>
  <c r="Z99" i="33"/>
  <c r="T86" i="33"/>
  <c r="P93" i="33"/>
  <c r="AC86" i="33"/>
  <c r="S51" i="33"/>
  <c r="AC230" i="33"/>
  <c r="X231" i="33"/>
  <c r="N146" i="33"/>
  <c r="S15" i="33"/>
  <c r="Q86" i="33"/>
  <c r="Q91" i="33"/>
  <c r="AK51" i="33"/>
  <c r="AP51" i="33"/>
  <c r="AI38" i="35"/>
  <c r="AG38" i="35"/>
  <c r="U38" i="35"/>
  <c r="S38" i="35"/>
  <c r="V38" i="35"/>
  <c r="L38" i="35"/>
  <c r="O38" i="35"/>
  <c r="Q38" i="35"/>
  <c r="G38" i="35"/>
  <c r="W38" i="35"/>
  <c r="X38" i="35"/>
  <c r="I38" i="35"/>
  <c r="J38" i="35"/>
  <c r="AB38" i="35"/>
  <c r="AC38" i="35"/>
  <c r="AD38" i="35"/>
  <c r="P38" i="35"/>
  <c r="T38" i="35"/>
  <c r="H38" i="35"/>
  <c r="Y38" i="35"/>
  <c r="Z38" i="35"/>
  <c r="K38" i="35"/>
  <c r="M38" i="35"/>
  <c r="AE38" i="35"/>
  <c r="F38" i="35"/>
  <c r="R38" i="35"/>
  <c r="AA38" i="35"/>
  <c r="N38" i="35"/>
  <c r="T220" i="33"/>
  <c r="Y214" i="33"/>
  <c r="T213" i="33"/>
  <c r="R285" i="33"/>
  <c r="T207" i="33"/>
  <c r="M285" i="33"/>
  <c r="T205" i="33"/>
  <c r="T200" i="33"/>
  <c r="T196" i="33"/>
  <c r="L179" i="33"/>
  <c r="R119" i="33"/>
  <c r="M67" i="33"/>
  <c r="Q56" i="33"/>
  <c r="M248" i="33"/>
  <c r="AJ60" i="33"/>
  <c r="H67" i="33"/>
  <c r="H177" i="33"/>
  <c r="S85" i="33"/>
  <c r="O83" i="33"/>
  <c r="F292" i="33"/>
  <c r="J132" i="33"/>
  <c r="K151" i="33"/>
  <c r="K31" i="33"/>
  <c r="AF99" i="33"/>
  <c r="K262" i="33"/>
  <c r="J265" i="33"/>
  <c r="M197" i="33"/>
  <c r="S267" i="33"/>
  <c r="S285" i="33"/>
  <c r="Q130" i="33"/>
  <c r="Z64" i="33"/>
  <c r="U15" i="33"/>
  <c r="Q164" i="33"/>
  <c r="S162" i="33"/>
  <c r="N96" i="33"/>
  <c r="N97" i="33"/>
  <c r="O94" i="33"/>
  <c r="N101" i="33"/>
  <c r="O93" i="33"/>
  <c r="AC64" i="33"/>
  <c r="N93" i="33"/>
  <c r="N92" i="33"/>
  <c r="G228" i="33"/>
  <c r="G25" i="33"/>
  <c r="M155" i="33"/>
  <c r="N67" i="33"/>
  <c r="G267" i="33"/>
  <c r="F275" i="33"/>
  <c r="J151" i="33"/>
  <c r="J31" i="33"/>
  <c r="F151" i="33"/>
  <c r="F31" i="33"/>
  <c r="M204" i="33"/>
  <c r="P58" i="33"/>
  <c r="T233" i="33"/>
  <c r="Y232" i="33"/>
  <c r="X232" i="33"/>
  <c r="V119" i="33"/>
  <c r="Q15" i="33"/>
  <c r="Q146" i="33"/>
  <c r="AA64" i="33"/>
  <c r="E153" i="33"/>
  <c r="N237" i="33"/>
  <c r="N285" i="33"/>
  <c r="V134" i="33"/>
  <c r="Y64" i="33"/>
  <c r="T15" i="33"/>
  <c r="I151" i="33"/>
  <c r="I31" i="33"/>
  <c r="AH99" i="33"/>
  <c r="L58" i="33"/>
  <c r="M56" i="33"/>
  <c r="L57" i="33"/>
  <c r="O58" i="33"/>
  <c r="D151" i="33"/>
  <c r="D31" i="33"/>
  <c r="AK60" i="33"/>
  <c r="AL60" i="33"/>
  <c r="AP90" i="33"/>
  <c r="AP55" i="33"/>
  <c r="AF209" i="33"/>
  <c r="R249" i="33"/>
  <c r="AJ230" i="33"/>
  <c r="AJ231" i="33"/>
  <c r="W134" i="33"/>
  <c r="U137" i="33"/>
  <c r="U139" i="33"/>
  <c r="R135" i="33"/>
  <c r="AE231" i="33"/>
  <c r="E33" i="33"/>
  <c r="F27" i="33"/>
  <c r="R127" i="33"/>
  <c r="R124" i="33"/>
  <c r="R122" i="33"/>
  <c r="AD119" i="33"/>
  <c r="Y121" i="33"/>
  <c r="R130" i="33"/>
  <c r="AA119" i="33"/>
  <c r="V121" i="33"/>
  <c r="W121" i="33"/>
  <c r="V123" i="33"/>
  <c r="W123" i="33"/>
  <c r="AE119" i="33"/>
  <c r="Z121" i="33"/>
  <c r="Y127" i="33"/>
  <c r="X126" i="33"/>
  <c r="R120" i="33"/>
  <c r="V126" i="33"/>
  <c r="W126" i="33"/>
  <c r="AK122" i="33"/>
  <c r="X121" i="33"/>
  <c r="AC119" i="33"/>
  <c r="X123" i="33"/>
  <c r="Z124" i="33"/>
  <c r="Y123" i="33"/>
  <c r="H291" i="33"/>
  <c r="Z107" i="33"/>
  <c r="Q106" i="33"/>
  <c r="AB99" i="33"/>
  <c r="AB64" i="33"/>
  <c r="R91" i="33"/>
  <c r="E116" i="33"/>
  <c r="Q71" i="33"/>
  <c r="D117" i="33"/>
  <c r="J27" i="33"/>
  <c r="G294" i="33"/>
  <c r="K81" i="33"/>
  <c r="F265" i="33"/>
  <c r="H273" i="33"/>
  <c r="G262" i="33"/>
  <c r="G265" i="33"/>
  <c r="H132" i="33"/>
  <c r="F116" i="33"/>
  <c r="J116" i="33"/>
  <c r="K116" i="33"/>
  <c r="H263" i="33"/>
  <c r="H294" i="33"/>
  <c r="M257" i="33"/>
  <c r="I80" i="33"/>
  <c r="AD99" i="33"/>
  <c r="D80" i="33"/>
  <c r="H253" i="33"/>
  <c r="G80" i="33"/>
  <c r="G148" i="33"/>
  <c r="I27" i="33"/>
  <c r="J80" i="33"/>
  <c r="F80" i="33"/>
  <c r="D182" i="33"/>
  <c r="D26" i="33"/>
  <c r="M246" i="33"/>
  <c r="H33" i="33"/>
  <c r="H153" i="33"/>
  <c r="H251" i="33"/>
  <c r="H249" i="33"/>
  <c r="H274" i="33"/>
  <c r="H248" i="33"/>
  <c r="M267" i="33"/>
  <c r="G292" i="33"/>
  <c r="AK49" i="33"/>
  <c r="AM49" i="33"/>
  <c r="M274" i="33"/>
  <c r="G229" i="33"/>
  <c r="L259" i="33"/>
  <c r="M259" i="33"/>
  <c r="Y135" i="33"/>
  <c r="X134" i="33"/>
  <c r="AJ67" i="33"/>
  <c r="H272" i="33"/>
  <c r="H239" i="33"/>
  <c r="E27" i="33"/>
  <c r="M255" i="33"/>
  <c r="AE99" i="33"/>
  <c r="K26" i="33"/>
  <c r="K182" i="33"/>
  <c r="AK228" i="33"/>
  <c r="AF229" i="33"/>
  <c r="AK231" i="33"/>
  <c r="G239" i="33"/>
  <c r="M276" i="33"/>
  <c r="G275" i="33"/>
  <c r="L269" i="33"/>
  <c r="M270" i="33"/>
  <c r="G182" i="33"/>
  <c r="G26" i="33"/>
  <c r="K265" i="33"/>
  <c r="L262" i="33"/>
  <c r="H247" i="33"/>
  <c r="H254" i="33"/>
  <c r="H246" i="33"/>
  <c r="G276" i="33"/>
  <c r="L292" i="33"/>
  <c r="AI230" i="33"/>
  <c r="AD231" i="33"/>
  <c r="M249" i="33"/>
  <c r="M272" i="33"/>
  <c r="M247" i="33"/>
  <c r="Y86" i="33"/>
  <c r="AH86" i="33"/>
  <c r="AM86" i="33"/>
  <c r="X51" i="33"/>
  <c r="AC232" i="33"/>
  <c r="AH232" i="33"/>
  <c r="AC231" i="33"/>
  <c r="AH230" i="33"/>
  <c r="S146" i="33"/>
  <c r="T146" i="33"/>
  <c r="U146" i="33"/>
  <c r="S50" i="33"/>
  <c r="S56" i="33"/>
  <c r="V86" i="33"/>
  <c r="O48" i="33"/>
  <c r="R164" i="33"/>
  <c r="L26" i="33"/>
  <c r="D18" i="35"/>
  <c r="L182" i="33"/>
  <c r="U220" i="33"/>
  <c r="Z214" i="33"/>
  <c r="U213" i="33"/>
  <c r="U205" i="33"/>
  <c r="U207" i="33"/>
  <c r="U196" i="33"/>
  <c r="U200" i="33"/>
  <c r="W119" i="33"/>
  <c r="M14" i="33"/>
  <c r="S91" i="33"/>
  <c r="O92" i="33"/>
  <c r="R15" i="33"/>
  <c r="N58" i="33"/>
  <c r="N57" i="33"/>
  <c r="O144" i="33"/>
  <c r="R56" i="33"/>
  <c r="Q58" i="33"/>
  <c r="Q13" i="33"/>
  <c r="Q93" i="33"/>
  <c r="T85" i="33"/>
  <c r="P83" i="33"/>
  <c r="L93" i="33"/>
  <c r="L92" i="33"/>
  <c r="AD64" i="33"/>
  <c r="Q206" i="33"/>
  <c r="S130" i="33"/>
  <c r="O147" i="33"/>
  <c r="J153" i="33"/>
  <c r="J33" i="33"/>
  <c r="D153" i="33"/>
  <c r="D33" i="33"/>
  <c r="M18" i="33"/>
  <c r="P144" i="33"/>
  <c r="T267" i="33"/>
  <c r="T285" i="33"/>
  <c r="T237" i="33"/>
  <c r="U212" i="33"/>
  <c r="H267" i="33"/>
  <c r="AH64" i="33"/>
  <c r="AM64" i="33"/>
  <c r="P94" i="33"/>
  <c r="O101" i="33"/>
  <c r="O96" i="33"/>
  <c r="O97" i="33"/>
  <c r="F153" i="33"/>
  <c r="F33" i="33"/>
  <c r="O67" i="33"/>
  <c r="AK99" i="33"/>
  <c r="O237" i="33"/>
  <c r="O285" i="33"/>
  <c r="N61" i="33"/>
  <c r="N62" i="33"/>
  <c r="O59" i="33"/>
  <c r="N66" i="33"/>
  <c r="T162" i="33"/>
  <c r="S164" i="33"/>
  <c r="K153" i="33"/>
  <c r="K33" i="33"/>
  <c r="I153" i="33"/>
  <c r="I33" i="33"/>
  <c r="AF64" i="33"/>
  <c r="Y233" i="33"/>
  <c r="AE64" i="33"/>
  <c r="X233" i="33"/>
  <c r="V15" i="33"/>
  <c r="AD232" i="33"/>
  <c r="AI232" i="33"/>
  <c r="N147" i="33"/>
  <c r="G151" i="33"/>
  <c r="G31" i="33"/>
  <c r="AM60" i="33"/>
  <c r="AN60" i="33"/>
  <c r="AL49" i="33"/>
  <c r="AL67" i="33"/>
  <c r="AN49" i="33"/>
  <c r="J152" i="33"/>
  <c r="V212" i="33"/>
  <c r="X212" i="33"/>
  <c r="AH209" i="33"/>
  <c r="AG209" i="33"/>
  <c r="S206" i="33"/>
  <c r="T50" i="33"/>
  <c r="O57" i="33"/>
  <c r="X15" i="33"/>
  <c r="X146" i="33"/>
  <c r="V139" i="33"/>
  <c r="W139" i="33"/>
  <c r="V137" i="33"/>
  <c r="W137" i="33"/>
  <c r="W135" i="33"/>
  <c r="E35" i="33"/>
  <c r="E244" i="33"/>
  <c r="E260" i="33"/>
  <c r="J37" i="33"/>
  <c r="F37" i="33"/>
  <c r="H262" i="33"/>
  <c r="H265" i="33"/>
  <c r="F152" i="33"/>
  <c r="AJ119" i="33"/>
  <c r="AE121" i="33"/>
  <c r="W124" i="33"/>
  <c r="W127" i="33"/>
  <c r="AF119" i="33"/>
  <c r="AG119" i="33"/>
  <c r="AA121" i="33"/>
  <c r="AB121" i="33"/>
  <c r="AB119" i="33"/>
  <c r="AB120" i="33"/>
  <c r="AH119" i="33"/>
  <c r="AM119" i="33"/>
  <c r="AM15" i="33"/>
  <c r="AC121" i="33"/>
  <c r="W122" i="33"/>
  <c r="W120" i="33"/>
  <c r="AI119" i="33"/>
  <c r="AD121" i="33"/>
  <c r="AA124" i="33"/>
  <c r="Z123" i="33"/>
  <c r="Z127" i="33"/>
  <c r="Y126" i="33"/>
  <c r="H116" i="33"/>
  <c r="H117" i="33"/>
  <c r="I152" i="33"/>
  <c r="I37" i="33"/>
  <c r="I42" i="33"/>
  <c r="AG64" i="33"/>
  <c r="AG99" i="33"/>
  <c r="S106" i="33"/>
  <c r="S71" i="33"/>
  <c r="AA107" i="33"/>
  <c r="AC107" i="33"/>
  <c r="D27" i="33"/>
  <c r="AI99" i="33"/>
  <c r="E117" i="33"/>
  <c r="E148" i="33"/>
  <c r="J117" i="33"/>
  <c r="K117" i="33"/>
  <c r="F117" i="33"/>
  <c r="H35" i="33"/>
  <c r="K148" i="33"/>
  <c r="H244" i="33"/>
  <c r="H260" i="33"/>
  <c r="AK67" i="33"/>
  <c r="I148" i="33"/>
  <c r="I81" i="33"/>
  <c r="F81" i="33"/>
  <c r="F148" i="33"/>
  <c r="J81" i="33"/>
  <c r="J148" i="33"/>
  <c r="G81" i="33"/>
  <c r="D148" i="33"/>
  <c r="H80" i="33"/>
  <c r="D81" i="33"/>
  <c r="G27" i="33"/>
  <c r="H26" i="33"/>
  <c r="H27" i="33"/>
  <c r="M269" i="33"/>
  <c r="AI231" i="33"/>
  <c r="AJ99" i="33"/>
  <c r="Q155" i="33"/>
  <c r="Q30" i="33"/>
  <c r="AD233" i="33"/>
  <c r="K27" i="33"/>
  <c r="H275" i="33"/>
  <c r="Q235" i="33"/>
  <c r="S235" i="33"/>
  <c r="E37" i="33"/>
  <c r="E152" i="33"/>
  <c r="H292" i="33"/>
  <c r="Z135" i="33"/>
  <c r="Y134" i="33"/>
  <c r="M26" i="33"/>
  <c r="H276" i="33"/>
  <c r="AK229" i="33"/>
  <c r="AD86" i="33"/>
  <c r="AC51" i="33"/>
  <c r="AH233" i="33"/>
  <c r="AC233" i="33"/>
  <c r="AH231" i="33"/>
  <c r="S58" i="33"/>
  <c r="S13" i="33"/>
  <c r="P48" i="33"/>
  <c r="AA86" i="33"/>
  <c r="Q238" i="33"/>
  <c r="Q144" i="33"/>
  <c r="V220" i="33"/>
  <c r="Q221" i="33"/>
  <c r="S221" i="33"/>
  <c r="V213" i="33"/>
  <c r="AA214" i="33"/>
  <c r="V207" i="33"/>
  <c r="V205" i="33"/>
  <c r="V200" i="33"/>
  <c r="V196" i="33"/>
  <c r="Q199" i="33"/>
  <c r="S199" i="33"/>
  <c r="N103" i="33"/>
  <c r="M19" i="33"/>
  <c r="M22" i="33"/>
  <c r="T91" i="33"/>
  <c r="T106" i="33"/>
  <c r="S93" i="33"/>
  <c r="W15" i="33"/>
  <c r="Q67" i="33"/>
  <c r="N144" i="33"/>
  <c r="R49" i="33"/>
  <c r="R13" i="33"/>
  <c r="T56" i="33"/>
  <c r="Q83" i="33"/>
  <c r="U85" i="33"/>
  <c r="P92" i="33"/>
  <c r="M13" i="33"/>
  <c r="L144" i="33"/>
  <c r="P59" i="33"/>
  <c r="O66" i="33"/>
  <c r="O61" i="33"/>
  <c r="O62" i="33"/>
  <c r="P101" i="33"/>
  <c r="Q94" i="33"/>
  <c r="P96" i="33"/>
  <c r="P97" i="33"/>
  <c r="J244" i="33"/>
  <c r="J35" i="33"/>
  <c r="Q267" i="33"/>
  <c r="P285" i="33"/>
  <c r="P237" i="33"/>
  <c r="M17" i="33"/>
  <c r="AI64" i="33"/>
  <c r="AN64" i="33"/>
  <c r="M21" i="33"/>
  <c r="T130" i="33"/>
  <c r="Q194" i="33"/>
  <c r="G33" i="33"/>
  <c r="G153" i="33"/>
  <c r="I244" i="33"/>
  <c r="I35" i="33"/>
  <c r="Q208" i="33"/>
  <c r="T164" i="33"/>
  <c r="U162" i="33"/>
  <c r="F244" i="33"/>
  <c r="F35" i="33"/>
  <c r="U285" i="33"/>
  <c r="U237" i="33"/>
  <c r="U267" i="33"/>
  <c r="D244" i="33"/>
  <c r="D35" i="33"/>
  <c r="Q258" i="33"/>
  <c r="R206" i="33"/>
  <c r="AK64" i="33"/>
  <c r="AP64" i="33"/>
  <c r="P67" i="33"/>
  <c r="R43" i="33"/>
  <c r="K244" i="33"/>
  <c r="K35" i="33"/>
  <c r="L150" i="33"/>
  <c r="M20" i="33"/>
  <c r="S49" i="33"/>
  <c r="L141" i="33"/>
  <c r="AJ64" i="33"/>
  <c r="AO64" i="33"/>
  <c r="V146" i="33"/>
  <c r="AJ121" i="33"/>
  <c r="AO119" i="33"/>
  <c r="AO15" i="33"/>
  <c r="AO146" i="33"/>
  <c r="AI121" i="33"/>
  <c r="AN119" i="33"/>
  <c r="AM146" i="33"/>
  <c r="AM121" i="33"/>
  <c r="AM126" i="33"/>
  <c r="AM67" i="33"/>
  <c r="AN67" i="33"/>
  <c r="AO60" i="33"/>
  <c r="AP60" i="33"/>
  <c r="AO49" i="33"/>
  <c r="AN15" i="33"/>
  <c r="AQ64" i="33"/>
  <c r="AI209" i="33"/>
  <c r="S238" i="33"/>
  <c r="S208" i="33"/>
  <c r="S194" i="33"/>
  <c r="R136" i="33"/>
  <c r="X137" i="33"/>
  <c r="X139" i="33"/>
  <c r="E41" i="33"/>
  <c r="E40" i="33"/>
  <c r="J42" i="33"/>
  <c r="AG120" i="33"/>
  <c r="F42" i="33"/>
  <c r="AB122" i="33"/>
  <c r="AA127" i="33"/>
  <c r="Z126" i="33"/>
  <c r="AH121" i="33"/>
  <c r="AA123" i="33"/>
  <c r="AB123" i="33"/>
  <c r="AC124" i="33"/>
  <c r="AK119" i="33"/>
  <c r="AF121" i="33"/>
  <c r="AG121" i="33"/>
  <c r="D37" i="33"/>
  <c r="D152" i="33"/>
  <c r="H40" i="33"/>
  <c r="H41" i="33"/>
  <c r="G152" i="33"/>
  <c r="G37" i="33"/>
  <c r="G42" i="33"/>
  <c r="AL64" i="33"/>
  <c r="R94" i="33"/>
  <c r="R115" i="33"/>
  <c r="R83" i="33"/>
  <c r="AL99" i="33"/>
  <c r="N112" i="33"/>
  <c r="N105" i="33"/>
  <c r="T71" i="33"/>
  <c r="N109" i="33"/>
  <c r="H81" i="33"/>
  <c r="E277" i="33"/>
  <c r="P57" i="33"/>
  <c r="H152" i="33"/>
  <c r="H37" i="33"/>
  <c r="H277" i="33"/>
  <c r="E42" i="33"/>
  <c r="J260" i="33"/>
  <c r="K260" i="33"/>
  <c r="L244" i="33"/>
  <c r="Y15" i="33"/>
  <c r="AA135" i="33"/>
  <c r="Z134" i="33"/>
  <c r="K37" i="33"/>
  <c r="K152" i="33"/>
  <c r="D260" i="33"/>
  <c r="I260" i="33"/>
  <c r="F260" i="33"/>
  <c r="S155" i="33"/>
  <c r="AI86" i="33"/>
  <c r="AN86" i="33"/>
  <c r="AH51" i="33"/>
  <c r="AM51" i="33"/>
  <c r="S144" i="33"/>
  <c r="R60" i="33"/>
  <c r="R67" i="33"/>
  <c r="U50" i="33"/>
  <c r="U56" i="33"/>
  <c r="Q48" i="33"/>
  <c r="N16" i="33"/>
  <c r="N68" i="33"/>
  <c r="N80" i="33"/>
  <c r="N81" i="33"/>
  <c r="T13" i="33"/>
  <c r="AF86" i="33"/>
  <c r="T235" i="33"/>
  <c r="R221" i="33"/>
  <c r="W220" i="33"/>
  <c r="X220" i="33"/>
  <c r="W213" i="33"/>
  <c r="X213" i="33"/>
  <c r="AC214" i="33"/>
  <c r="AB214" i="33"/>
  <c r="W215" i="33"/>
  <c r="R258" i="33"/>
  <c r="X205" i="33"/>
  <c r="W205" i="33"/>
  <c r="R267" i="33"/>
  <c r="W207" i="33"/>
  <c r="X207" i="33"/>
  <c r="R199" i="33"/>
  <c r="X196" i="33"/>
  <c r="W196" i="33"/>
  <c r="X200" i="33"/>
  <c r="W200" i="33"/>
  <c r="R30" i="33"/>
  <c r="O103" i="33"/>
  <c r="U91" i="33"/>
  <c r="U106" i="33"/>
  <c r="T93" i="33"/>
  <c r="S60" i="33"/>
  <c r="T58" i="33"/>
  <c r="S34" i="33"/>
  <c r="R34" i="33"/>
  <c r="M16" i="33"/>
  <c r="Q255" i="33"/>
  <c r="R191" i="33"/>
  <c r="S83" i="33"/>
  <c r="V85" i="33"/>
  <c r="Q92" i="33"/>
  <c r="M263" i="33"/>
  <c r="M250" i="33"/>
  <c r="L131" i="33"/>
  <c r="R208" i="33"/>
  <c r="Q257" i="33"/>
  <c r="D40" i="33"/>
  <c r="D41" i="33"/>
  <c r="R194" i="33"/>
  <c r="M23" i="33"/>
  <c r="P66" i="33"/>
  <c r="P61" i="33"/>
  <c r="P62" i="33"/>
  <c r="Q59" i="33"/>
  <c r="L23" i="33"/>
  <c r="T49" i="33"/>
  <c r="M190" i="33"/>
  <c r="L142" i="33"/>
  <c r="S136" i="33"/>
  <c r="I40" i="33"/>
  <c r="I41" i="33"/>
  <c r="P147" i="33"/>
  <c r="V267" i="33"/>
  <c r="V285" i="33"/>
  <c r="V237" i="33"/>
  <c r="W212" i="33"/>
  <c r="S115" i="33"/>
  <c r="Q24" i="33"/>
  <c r="J41" i="33"/>
  <c r="J40" i="33"/>
  <c r="V162" i="33"/>
  <c r="U164" i="33"/>
  <c r="Q197" i="33"/>
  <c r="M189" i="33"/>
  <c r="S258" i="33"/>
  <c r="T206" i="33"/>
  <c r="F41" i="33"/>
  <c r="F40" i="33"/>
  <c r="U130" i="33"/>
  <c r="Q101" i="33"/>
  <c r="S94" i="33"/>
  <c r="Q96" i="33"/>
  <c r="G244" i="33"/>
  <c r="G35" i="33"/>
  <c r="K40" i="33"/>
  <c r="K41" i="33"/>
  <c r="AK121" i="33"/>
  <c r="AP119" i="33"/>
  <c r="AO126" i="33"/>
  <c r="AO121" i="33"/>
  <c r="AN126" i="33"/>
  <c r="AN121" i="33"/>
  <c r="AO67" i="33"/>
  <c r="AQ60" i="33"/>
  <c r="AP49" i="33"/>
  <c r="AP67" i="33"/>
  <c r="AQ49" i="33"/>
  <c r="AQ67" i="33"/>
  <c r="AN146" i="33"/>
  <c r="AJ209" i="33"/>
  <c r="S197" i="33"/>
  <c r="O112" i="33"/>
  <c r="O109" i="33"/>
  <c r="O105" i="33"/>
  <c r="Y139" i="33"/>
  <c r="Y137" i="33"/>
  <c r="AB124" i="33"/>
  <c r="AD124" i="33"/>
  <c r="AC123" i="33"/>
  <c r="AL121" i="33"/>
  <c r="AL119" i="33"/>
  <c r="AL120" i="33"/>
  <c r="AA126" i="33"/>
  <c r="AB126" i="33"/>
  <c r="AC127" i="33"/>
  <c r="AG122" i="33"/>
  <c r="D42" i="33"/>
  <c r="I156" i="33"/>
  <c r="I277" i="33"/>
  <c r="S67" i="33"/>
  <c r="AD107" i="33"/>
  <c r="R48" i="33"/>
  <c r="R59" i="33"/>
  <c r="U71" i="33"/>
  <c r="N70" i="33"/>
  <c r="N74" i="33"/>
  <c r="N77" i="33"/>
  <c r="J156" i="33"/>
  <c r="K157" i="33"/>
  <c r="K293" i="33"/>
  <c r="D277" i="33"/>
  <c r="F277" i="33"/>
  <c r="I157" i="33"/>
  <c r="I293" i="33"/>
  <c r="K277" i="33"/>
  <c r="J277" i="33"/>
  <c r="J157" i="33"/>
  <c r="J293" i="33"/>
  <c r="AC135" i="33"/>
  <c r="AA134" i="33"/>
  <c r="AB134" i="33"/>
  <c r="Z15" i="33"/>
  <c r="Z146" i="33"/>
  <c r="G260" i="33"/>
  <c r="T155" i="33"/>
  <c r="S30" i="33"/>
  <c r="AM294" i="33"/>
  <c r="AN294" i="33"/>
  <c r="AO294" i="33"/>
  <c r="AP294" i="33"/>
  <c r="Y146" i="33"/>
  <c r="H279" i="33"/>
  <c r="H42" i="33"/>
  <c r="N228" i="33"/>
  <c r="S228" i="33"/>
  <c r="S229" i="33"/>
  <c r="N294" i="33"/>
  <c r="N291" i="33"/>
  <c r="K42" i="33"/>
  <c r="S48" i="33"/>
  <c r="Q57" i="33"/>
  <c r="O68" i="33"/>
  <c r="O16" i="33"/>
  <c r="V50" i="33"/>
  <c r="V56" i="33"/>
  <c r="W56" i="33"/>
  <c r="U13" i="33"/>
  <c r="U58" i="33"/>
  <c r="N145" i="33"/>
  <c r="T144" i="33"/>
  <c r="AK86" i="33"/>
  <c r="AP86" i="33"/>
  <c r="T238" i="33"/>
  <c r="D15" i="35"/>
  <c r="U235" i="33"/>
  <c r="V235" i="33"/>
  <c r="Y220" i="33"/>
  <c r="T221" i="33"/>
  <c r="AD214" i="33"/>
  <c r="Y213" i="33"/>
  <c r="Y207" i="33"/>
  <c r="Y205" i="33"/>
  <c r="R257" i="33"/>
  <c r="Y200" i="33"/>
  <c r="Y196" i="33"/>
  <c r="T199" i="33"/>
  <c r="R255" i="33"/>
  <c r="R155" i="33"/>
  <c r="Q247" i="33"/>
  <c r="R247" i="33"/>
  <c r="Q98" i="33"/>
  <c r="R98" i="33"/>
  <c r="P103" i="33"/>
  <c r="V91" i="33"/>
  <c r="U93" i="33"/>
  <c r="T60" i="33"/>
  <c r="U49" i="33"/>
  <c r="T34" i="33"/>
  <c r="M254" i="33"/>
  <c r="M150" i="33"/>
  <c r="M253" i="33"/>
  <c r="M25" i="33"/>
  <c r="M294" i="33"/>
  <c r="S92" i="33"/>
  <c r="T83" i="33"/>
  <c r="X85" i="33"/>
  <c r="S255" i="33"/>
  <c r="M273" i="33"/>
  <c r="L132" i="33"/>
  <c r="T94" i="33"/>
  <c r="S96" i="33"/>
  <c r="S101" i="33"/>
  <c r="X267" i="33"/>
  <c r="X285" i="33"/>
  <c r="X237" i="33"/>
  <c r="Y212" i="33"/>
  <c r="N150" i="33"/>
  <c r="T258" i="33"/>
  <c r="U206" i="33"/>
  <c r="Q246" i="33"/>
  <c r="R197" i="33"/>
  <c r="W237" i="33"/>
  <c r="W285" i="33"/>
  <c r="M195" i="33"/>
  <c r="X162" i="33"/>
  <c r="V164" i="33"/>
  <c r="T136" i="33"/>
  <c r="T208" i="33"/>
  <c r="S257" i="33"/>
  <c r="W267" i="33"/>
  <c r="Q204" i="33"/>
  <c r="L25" i="33"/>
  <c r="D17" i="35"/>
  <c r="Q66" i="33"/>
  <c r="Q61" i="33"/>
  <c r="S59" i="33"/>
  <c r="R24" i="33"/>
  <c r="T115" i="33"/>
  <c r="S24" i="33"/>
  <c r="G41" i="33"/>
  <c r="G40" i="33"/>
  <c r="T194" i="33"/>
  <c r="V130" i="33"/>
  <c r="W130" i="33"/>
  <c r="Q147" i="33"/>
  <c r="AP126" i="33"/>
  <c r="AQ126" i="33"/>
  <c r="AP121" i="33"/>
  <c r="AQ121" i="33"/>
  <c r="AQ119" i="33"/>
  <c r="AQ120" i="33"/>
  <c r="AP15" i="33"/>
  <c r="AK209" i="33"/>
  <c r="P109" i="33"/>
  <c r="P112" i="33"/>
  <c r="P105" i="33"/>
  <c r="O228" i="33"/>
  <c r="O294" i="33"/>
  <c r="O291" i="33"/>
  <c r="O74" i="33"/>
  <c r="O70" i="33"/>
  <c r="O77" i="33"/>
  <c r="AB135" i="33"/>
  <c r="Z139" i="33"/>
  <c r="Z137" i="33"/>
  <c r="AB127" i="33"/>
  <c r="AD127" i="33"/>
  <c r="AC126" i="33"/>
  <c r="AL122" i="33"/>
  <c r="AE124" i="33"/>
  <c r="AD123" i="33"/>
  <c r="X130" i="33"/>
  <c r="D279" i="33"/>
  <c r="AE107" i="33"/>
  <c r="V106" i="33"/>
  <c r="W106" i="33"/>
  <c r="W91" i="33"/>
  <c r="V58" i="33"/>
  <c r="V71" i="33"/>
  <c r="W71" i="33"/>
  <c r="O145" i="33"/>
  <c r="I278" i="33"/>
  <c r="M278" i="33"/>
  <c r="K156" i="33"/>
  <c r="U155" i="33"/>
  <c r="T30" i="33"/>
  <c r="AA15" i="33"/>
  <c r="AB15" i="33"/>
  <c r="N229" i="33"/>
  <c r="AD135" i="33"/>
  <c r="AC134" i="33"/>
  <c r="G277" i="33"/>
  <c r="W164" i="33"/>
  <c r="S57" i="33"/>
  <c r="T48" i="33"/>
  <c r="U144" i="33"/>
  <c r="P16" i="33"/>
  <c r="P68" i="33"/>
  <c r="V13" i="33"/>
  <c r="V49" i="33"/>
  <c r="W49" i="33"/>
  <c r="U238" i="33"/>
  <c r="M151" i="33"/>
  <c r="X235" i="33"/>
  <c r="U221" i="33"/>
  <c r="Z220" i="33"/>
  <c r="Z213" i="33"/>
  <c r="AE214" i="33"/>
  <c r="R246" i="33"/>
  <c r="Z205" i="33"/>
  <c r="S246" i="33"/>
  <c r="Z207" i="33"/>
  <c r="U199" i="33"/>
  <c r="Z196" i="33"/>
  <c r="Z200" i="33"/>
  <c r="S147" i="33"/>
  <c r="Q248" i="33"/>
  <c r="S98" i="33"/>
  <c r="O150" i="33"/>
  <c r="Q103" i="33"/>
  <c r="X91" i="33"/>
  <c r="V93" i="33"/>
  <c r="U60" i="33"/>
  <c r="T67" i="33"/>
  <c r="Q63" i="33"/>
  <c r="U34" i="33"/>
  <c r="M27" i="33"/>
  <c r="T255" i="33"/>
  <c r="U83" i="33"/>
  <c r="Y85" i="33"/>
  <c r="T92" i="33"/>
  <c r="Q259" i="33"/>
  <c r="R204" i="33"/>
  <c r="U94" i="33"/>
  <c r="T96" i="33"/>
  <c r="T101" i="33"/>
  <c r="M218" i="33"/>
  <c r="T257" i="33"/>
  <c r="U208" i="33"/>
  <c r="T197" i="33"/>
  <c r="U194" i="33"/>
  <c r="S247" i="33"/>
  <c r="U115" i="33"/>
  <c r="T24" i="33"/>
  <c r="T147" i="33"/>
  <c r="U136" i="33"/>
  <c r="U258" i="33"/>
  <c r="V206" i="33"/>
  <c r="Y285" i="33"/>
  <c r="Y237" i="33"/>
  <c r="Y267" i="33"/>
  <c r="Z212" i="33"/>
  <c r="S66" i="33"/>
  <c r="S61" i="33"/>
  <c r="T59" i="33"/>
  <c r="L151" i="33"/>
  <c r="L27" i="33"/>
  <c r="Y162" i="33"/>
  <c r="X164" i="33"/>
  <c r="AQ122" i="33"/>
  <c r="AQ127" i="33"/>
  <c r="AQ15" i="33"/>
  <c r="AP146" i="33"/>
  <c r="AA212" i="33"/>
  <c r="AC212" i="33"/>
  <c r="AL209" i="33"/>
  <c r="P70" i="33"/>
  <c r="P74" i="33"/>
  <c r="S74" i="33"/>
  <c r="T74" i="33"/>
  <c r="U74" i="33"/>
  <c r="V74" i="33"/>
  <c r="X74" i="33"/>
  <c r="Y74" i="33"/>
  <c r="Z74" i="33"/>
  <c r="AA74" i="33"/>
  <c r="AC74" i="33"/>
  <c r="AD74" i="33"/>
  <c r="AE74" i="33"/>
  <c r="AF74" i="33"/>
  <c r="AH74" i="33"/>
  <c r="AI74" i="33"/>
  <c r="AJ74" i="33"/>
  <c r="AK74" i="33"/>
  <c r="AM74" i="33"/>
  <c r="P77" i="33"/>
  <c r="P228" i="33"/>
  <c r="P294" i="33"/>
  <c r="P291" i="33"/>
  <c r="T228" i="33"/>
  <c r="O229" i="33"/>
  <c r="AA139" i="33"/>
  <c r="AB139" i="33"/>
  <c r="AA137" i="33"/>
  <c r="Y130" i="33"/>
  <c r="Z130" i="33"/>
  <c r="AA130" i="33"/>
  <c r="AC130" i="33"/>
  <c r="AE123" i="33"/>
  <c r="AF124" i="33"/>
  <c r="AE127" i="33"/>
  <c r="AD126" i="33"/>
  <c r="D187" i="33"/>
  <c r="D192" i="33"/>
  <c r="D201" i="33"/>
  <c r="E278" i="33"/>
  <c r="W72" i="33"/>
  <c r="W107" i="33"/>
  <c r="S109" i="33"/>
  <c r="Q108" i="33"/>
  <c r="X106" i="33"/>
  <c r="AF107" i="33"/>
  <c r="S112" i="33"/>
  <c r="Q111" i="33"/>
  <c r="Q104" i="33"/>
  <c r="R63" i="33"/>
  <c r="T57" i="33"/>
  <c r="W43" i="33"/>
  <c r="AE135" i="33"/>
  <c r="AD134" i="33"/>
  <c r="V155" i="33"/>
  <c r="U30" i="33"/>
  <c r="X228" i="33"/>
  <c r="AC15" i="33"/>
  <c r="AA146" i="33"/>
  <c r="I279" i="33"/>
  <c r="W13" i="33"/>
  <c r="V144" i="33"/>
  <c r="Q68" i="33"/>
  <c r="U48" i="33"/>
  <c r="P145" i="33"/>
  <c r="Q14" i="33"/>
  <c r="Q16" i="33"/>
  <c r="V238" i="33"/>
  <c r="M152" i="33"/>
  <c r="Y235" i="33"/>
  <c r="AA220" i="33"/>
  <c r="V221" i="33"/>
  <c r="AF214" i="33"/>
  <c r="AA213" i="33"/>
  <c r="T246" i="33"/>
  <c r="AA207" i="33"/>
  <c r="AA205" i="33"/>
  <c r="AA196" i="33"/>
  <c r="AA200" i="33"/>
  <c r="V199" i="33"/>
  <c r="T247" i="33"/>
  <c r="R248" i="33"/>
  <c r="T98" i="33"/>
  <c r="R103" i="33"/>
  <c r="S103" i="33"/>
  <c r="Y91" i="33"/>
  <c r="Y106" i="33"/>
  <c r="X93" i="33"/>
  <c r="V60" i="33"/>
  <c r="W60" i="33"/>
  <c r="W67" i="33"/>
  <c r="U67" i="33"/>
  <c r="S63" i="33"/>
  <c r="V34" i="33"/>
  <c r="W34" i="33"/>
  <c r="D19" i="35"/>
  <c r="R259" i="33"/>
  <c r="V83" i="33"/>
  <c r="Z85" i="33"/>
  <c r="U92" i="33"/>
  <c r="U255" i="33"/>
  <c r="U101" i="33"/>
  <c r="U96" i="33"/>
  <c r="V94" i="33"/>
  <c r="S248" i="33"/>
  <c r="V115" i="33"/>
  <c r="W115" i="33"/>
  <c r="U24" i="33"/>
  <c r="V258" i="33"/>
  <c r="X206" i="33"/>
  <c r="W206" i="33"/>
  <c r="P150" i="33"/>
  <c r="V208" i="33"/>
  <c r="U257" i="33"/>
  <c r="U197" i="33"/>
  <c r="V136" i="33"/>
  <c r="V194" i="33"/>
  <c r="Y164" i="33"/>
  <c r="Z162" i="33"/>
  <c r="U59" i="33"/>
  <c r="T66" i="33"/>
  <c r="T61" i="33"/>
  <c r="L152" i="33"/>
  <c r="Z285" i="33"/>
  <c r="Z237" i="33"/>
  <c r="Z267" i="33"/>
  <c r="AN74" i="33"/>
  <c r="Y228" i="33"/>
  <c r="T229" i="33"/>
  <c r="U228" i="33"/>
  <c r="P229" i="33"/>
  <c r="Q145" i="33"/>
  <c r="AC137" i="33"/>
  <c r="AC139" i="33"/>
  <c r="W136" i="33"/>
  <c r="AB137" i="33"/>
  <c r="AF127" i="33"/>
  <c r="AE126" i="33"/>
  <c r="AF123" i="33"/>
  <c r="AG123" i="33"/>
  <c r="AH124" i="33"/>
  <c r="AB130" i="33"/>
  <c r="AD130" i="33"/>
  <c r="AE130" i="33"/>
  <c r="AF130" i="33"/>
  <c r="AH130" i="33"/>
  <c r="E279" i="33"/>
  <c r="E187" i="33"/>
  <c r="D284" i="33"/>
  <c r="T105" i="33"/>
  <c r="S104" i="33"/>
  <c r="T112" i="33"/>
  <c r="S111" i="33"/>
  <c r="AH107" i="33"/>
  <c r="T109" i="33"/>
  <c r="S108" i="33"/>
  <c r="W94" i="33"/>
  <c r="W83" i="33"/>
  <c r="X115" i="33"/>
  <c r="R68" i="33"/>
  <c r="Q73" i="33"/>
  <c r="Q76" i="33"/>
  <c r="Q69" i="33"/>
  <c r="R69" i="33"/>
  <c r="AC146" i="33"/>
  <c r="D224" i="33"/>
  <c r="D234" i="33"/>
  <c r="R14" i="33"/>
  <c r="R16" i="33"/>
  <c r="AC228" i="33"/>
  <c r="X229" i="33"/>
  <c r="Q291" i="33"/>
  <c r="Q250" i="33"/>
  <c r="X155" i="33"/>
  <c r="V30" i="33"/>
  <c r="J278" i="33"/>
  <c r="I187" i="33"/>
  <c r="AD15" i="33"/>
  <c r="AF135" i="33"/>
  <c r="AE134" i="33"/>
  <c r="V48" i="33"/>
  <c r="U57" i="33"/>
  <c r="S68" i="33"/>
  <c r="S14" i="33"/>
  <c r="X238" i="33"/>
  <c r="AI39" i="35"/>
  <c r="T39" i="35"/>
  <c r="J39" i="35"/>
  <c r="K39" i="35"/>
  <c r="AA39" i="35"/>
  <c r="N39" i="35"/>
  <c r="AE39" i="35"/>
  <c r="U39" i="35"/>
  <c r="G39" i="35"/>
  <c r="X39" i="35"/>
  <c r="I39" i="35"/>
  <c r="Z39" i="35"/>
  <c r="F39" i="35"/>
  <c r="L39" i="35"/>
  <c r="AC39" i="35"/>
  <c r="AD39" i="35"/>
  <c r="O39" i="35"/>
  <c r="AG39" i="35"/>
  <c r="V39" i="35"/>
  <c r="W39" i="35"/>
  <c r="H39" i="35"/>
  <c r="Y39" i="35"/>
  <c r="AB39" i="35"/>
  <c r="M39" i="35"/>
  <c r="P39" i="35"/>
  <c r="Q39" i="35"/>
  <c r="R39" i="35"/>
  <c r="S39" i="35"/>
  <c r="Z235" i="33"/>
  <c r="W221" i="33"/>
  <c r="X221" i="33"/>
  <c r="AC220" i="33"/>
  <c r="AB220" i="33"/>
  <c r="AC213" i="33"/>
  <c r="AB213" i="33"/>
  <c r="AB215" i="33"/>
  <c r="AH214" i="33"/>
  <c r="AG214" i="33"/>
  <c r="W258" i="33"/>
  <c r="U246" i="33"/>
  <c r="AB205" i="33"/>
  <c r="AC205" i="33"/>
  <c r="AB207" i="33"/>
  <c r="AC207" i="33"/>
  <c r="AB200" i="33"/>
  <c r="AC200" i="33"/>
  <c r="W199" i="33"/>
  <c r="X199" i="33"/>
  <c r="AC196" i="33"/>
  <c r="AB196" i="33"/>
  <c r="U147" i="33"/>
  <c r="T248" i="33"/>
  <c r="Q189" i="33"/>
  <c r="U98" i="33"/>
  <c r="T103" i="33"/>
  <c r="Z91" i="33"/>
  <c r="Z106" i="33"/>
  <c r="Y93" i="33"/>
  <c r="Q150" i="33"/>
  <c r="V67" i="33"/>
  <c r="T63" i="33"/>
  <c r="X34" i="33"/>
  <c r="V255" i="33"/>
  <c r="W191" i="33"/>
  <c r="AA85" i="33"/>
  <c r="X83" i="33"/>
  <c r="V92" i="33"/>
  <c r="V24" i="33"/>
  <c r="W24" i="33"/>
  <c r="V96" i="33"/>
  <c r="V101" i="33"/>
  <c r="X94" i="33"/>
  <c r="U247" i="33"/>
  <c r="X136" i="33"/>
  <c r="AA285" i="33"/>
  <c r="AA237" i="33"/>
  <c r="AA267" i="33"/>
  <c r="AB212" i="33"/>
  <c r="V257" i="33"/>
  <c r="W208" i="33"/>
  <c r="X208" i="33"/>
  <c r="V197" i="33"/>
  <c r="U66" i="33"/>
  <c r="U61" i="33"/>
  <c r="V59" i="33"/>
  <c r="AA162" i="33"/>
  <c r="Z164" i="33"/>
  <c r="X258" i="33"/>
  <c r="Y206" i="33"/>
  <c r="W194" i="33"/>
  <c r="X194" i="33"/>
  <c r="AO74" i="33"/>
  <c r="U229" i="33"/>
  <c r="Z228" i="33"/>
  <c r="Y229" i="33"/>
  <c r="AD228" i="33"/>
  <c r="AD139" i="33"/>
  <c r="AD137" i="33"/>
  <c r="AI130" i="33"/>
  <c r="AJ130" i="33"/>
  <c r="AK130" i="33"/>
  <c r="AG130" i="33"/>
  <c r="AI124" i="33"/>
  <c r="AH123" i="33"/>
  <c r="F278" i="33"/>
  <c r="F279" i="33"/>
  <c r="AG124" i="33"/>
  <c r="AF126" i="33"/>
  <c r="AG126" i="33"/>
  <c r="AH127" i="33"/>
  <c r="D286" i="33"/>
  <c r="W48" i="33"/>
  <c r="U109" i="33"/>
  <c r="T108" i="33"/>
  <c r="R70" i="33"/>
  <c r="AI107" i="33"/>
  <c r="U112" i="33"/>
  <c r="T111" i="33"/>
  <c r="Y115" i="33"/>
  <c r="Z115" i="33"/>
  <c r="AA115" i="33"/>
  <c r="AC115" i="33"/>
  <c r="W59" i="33"/>
  <c r="U105" i="33"/>
  <c r="T104" i="33"/>
  <c r="S73" i="33"/>
  <c r="S69" i="33"/>
  <c r="AD146" i="33"/>
  <c r="S76" i="33"/>
  <c r="V57" i="33"/>
  <c r="X48" i="33"/>
  <c r="S16" i="33"/>
  <c r="S145" i="33"/>
  <c r="E154" i="33"/>
  <c r="E284" i="33"/>
  <c r="E192" i="33"/>
  <c r="Y155" i="33"/>
  <c r="X30" i="33"/>
  <c r="W30" i="33"/>
  <c r="Q263" i="33"/>
  <c r="I192" i="33"/>
  <c r="I284" i="33"/>
  <c r="AE15" i="33"/>
  <c r="J279" i="33"/>
  <c r="S291" i="33"/>
  <c r="AH135" i="33"/>
  <c r="AF134" i="33"/>
  <c r="AG134" i="33"/>
  <c r="AC229" i="33"/>
  <c r="AH228" i="33"/>
  <c r="T68" i="33"/>
  <c r="T14" i="33"/>
  <c r="Y238" i="33"/>
  <c r="Q253" i="33"/>
  <c r="R253" i="33"/>
  <c r="AA235" i="33"/>
  <c r="AD220" i="33"/>
  <c r="Y221" i="33"/>
  <c r="AI214" i="33"/>
  <c r="AB285" i="33"/>
  <c r="AD213" i="33"/>
  <c r="AD207" i="33"/>
  <c r="AD205" i="33"/>
  <c r="W257" i="33"/>
  <c r="AD196" i="33"/>
  <c r="Y199" i="33"/>
  <c r="AD200" i="33"/>
  <c r="W255" i="33"/>
  <c r="R189" i="33"/>
  <c r="V247" i="33"/>
  <c r="W247" i="33"/>
  <c r="R250" i="33"/>
  <c r="V98" i="33"/>
  <c r="W98" i="33"/>
  <c r="U103" i="33"/>
  <c r="AA91" i="33"/>
  <c r="AA106" i="33"/>
  <c r="AB106" i="33"/>
  <c r="Z93" i="33"/>
  <c r="X67" i="33"/>
  <c r="U63" i="33"/>
  <c r="R150" i="33"/>
  <c r="Y34" i="33"/>
  <c r="X92" i="33"/>
  <c r="AC85" i="33"/>
  <c r="Y83" i="33"/>
  <c r="X255" i="33"/>
  <c r="Y136" i="33"/>
  <c r="X24" i="33"/>
  <c r="AD212" i="33"/>
  <c r="AC237" i="33"/>
  <c r="AC267" i="33"/>
  <c r="AC285" i="33"/>
  <c r="U248" i="33"/>
  <c r="Y258" i="33"/>
  <c r="Z206" i="33"/>
  <c r="V246" i="33"/>
  <c r="W197" i="33"/>
  <c r="AB267" i="33"/>
  <c r="X257" i="33"/>
  <c r="Y208" i="33"/>
  <c r="X197" i="33"/>
  <c r="V61" i="33"/>
  <c r="V66" i="33"/>
  <c r="X59" i="33"/>
  <c r="X96" i="33"/>
  <c r="X101" i="33"/>
  <c r="Y94" i="33"/>
  <c r="AC162" i="33"/>
  <c r="AA164" i="33"/>
  <c r="Y194" i="33"/>
  <c r="V147" i="33"/>
  <c r="AP74" i="33"/>
  <c r="AD229" i="33"/>
  <c r="AI228" i="33"/>
  <c r="Z229" i="33"/>
  <c r="AE228" i="33"/>
  <c r="S189" i="33"/>
  <c r="S253" i="33"/>
  <c r="AG135" i="33"/>
  <c r="AE137" i="33"/>
  <c r="AE139" i="33"/>
  <c r="Q273" i="33"/>
  <c r="X50" i="33"/>
  <c r="X56" i="33"/>
  <c r="AI127" i="33"/>
  <c r="AH126" i="33"/>
  <c r="AG127" i="33"/>
  <c r="AJ124" i="33"/>
  <c r="AI123" i="33"/>
  <c r="AL130" i="33"/>
  <c r="AB60" i="33"/>
  <c r="AB91" i="33"/>
  <c r="T145" i="33"/>
  <c r="V112" i="33"/>
  <c r="U111" i="33"/>
  <c r="AJ107" i="33"/>
  <c r="U104" i="33"/>
  <c r="V109" i="33"/>
  <c r="U108" i="33"/>
  <c r="AB115" i="33"/>
  <c r="AD115" i="33"/>
  <c r="AE115" i="33"/>
  <c r="AF115" i="33"/>
  <c r="AH115" i="33"/>
  <c r="T73" i="33"/>
  <c r="T76" i="33"/>
  <c r="S250" i="33"/>
  <c r="T69" i="33"/>
  <c r="T16" i="33"/>
  <c r="S150" i="33"/>
  <c r="S263" i="33"/>
  <c r="Y48" i="33"/>
  <c r="E201" i="33"/>
  <c r="E286" i="33"/>
  <c r="G278" i="33"/>
  <c r="F187" i="33"/>
  <c r="R263" i="33"/>
  <c r="AI135" i="33"/>
  <c r="AH134" i="33"/>
  <c r="W155" i="33"/>
  <c r="AF15" i="33"/>
  <c r="T291" i="33"/>
  <c r="J187" i="33"/>
  <c r="K278" i="33"/>
  <c r="AE146" i="33"/>
  <c r="AH229" i="33"/>
  <c r="I286" i="33"/>
  <c r="I201" i="33"/>
  <c r="Z155" i="33"/>
  <c r="Y30" i="33"/>
  <c r="X147" i="33"/>
  <c r="AB164" i="33"/>
  <c r="U68" i="33"/>
  <c r="U14" i="33"/>
  <c r="U145" i="33"/>
  <c r="Z238" i="33"/>
  <c r="AA238" i="33"/>
  <c r="AC235" i="33"/>
  <c r="Z221" i="33"/>
  <c r="AE220" i="33"/>
  <c r="AE213" i="33"/>
  <c r="AJ214" i="33"/>
  <c r="X246" i="33"/>
  <c r="AE205" i="33"/>
  <c r="W246" i="33"/>
  <c r="AE207" i="33"/>
  <c r="AE200" i="33"/>
  <c r="Z199" i="33"/>
  <c r="AE196" i="33"/>
  <c r="V248" i="33"/>
  <c r="X98" i="33"/>
  <c r="V103" i="33"/>
  <c r="AC91" i="33"/>
  <c r="AA93" i="33"/>
  <c r="Z67" i="33"/>
  <c r="Y67" i="33"/>
  <c r="V63" i="33"/>
  <c r="Z34" i="33"/>
  <c r="Y255" i="33"/>
  <c r="Y92" i="33"/>
  <c r="Z83" i="33"/>
  <c r="AD85" i="33"/>
  <c r="AE212" i="33"/>
  <c r="AD267" i="33"/>
  <c r="AD285" i="33"/>
  <c r="AD237" i="33"/>
  <c r="X247" i="33"/>
  <c r="Y24" i="33"/>
  <c r="Y147" i="33"/>
  <c r="Y257" i="33"/>
  <c r="Z208" i="33"/>
  <c r="Y197" i="33"/>
  <c r="Z136" i="33"/>
  <c r="Z258" i="33"/>
  <c r="AA206" i="33"/>
  <c r="Z194" i="33"/>
  <c r="X61" i="33"/>
  <c r="X66" i="33"/>
  <c r="Y59" i="33"/>
  <c r="Z94" i="33"/>
  <c r="Y96" i="33"/>
  <c r="Y101" i="33"/>
  <c r="AD162" i="33"/>
  <c r="AC164" i="33"/>
  <c r="AF212" i="33"/>
  <c r="AH212" i="33"/>
  <c r="AJ228" i="33"/>
  <c r="AE229" i="33"/>
  <c r="AI229" i="33"/>
  <c r="S273" i="33"/>
  <c r="R273" i="33"/>
  <c r="AF139" i="33"/>
  <c r="AG139" i="33"/>
  <c r="AF137" i="33"/>
  <c r="AG137" i="33"/>
  <c r="R294" i="33"/>
  <c r="Z48" i="33"/>
  <c r="AA48" i="33"/>
  <c r="Y50" i="33"/>
  <c r="Y56" i="33"/>
  <c r="AJ123" i="33"/>
  <c r="AK124" i="33"/>
  <c r="AB107" i="33"/>
  <c r="AJ127" i="33"/>
  <c r="AI126" i="33"/>
  <c r="V108" i="33"/>
  <c r="W108" i="33"/>
  <c r="X109" i="33"/>
  <c r="W103" i="33"/>
  <c r="V104" i="33"/>
  <c r="W104" i="33"/>
  <c r="AK107" i="33"/>
  <c r="AM107" i="33"/>
  <c r="AN107" i="33"/>
  <c r="AO107" i="33"/>
  <c r="AP107" i="33"/>
  <c r="W63" i="33"/>
  <c r="V111" i="33"/>
  <c r="W111" i="33"/>
  <c r="X112" i="33"/>
  <c r="AC106" i="33"/>
  <c r="T150" i="33"/>
  <c r="AG115" i="33"/>
  <c r="T263" i="33"/>
  <c r="AI115" i="33"/>
  <c r="AJ115" i="33"/>
  <c r="AK115" i="33"/>
  <c r="AL115" i="33"/>
  <c r="AB49" i="33"/>
  <c r="AB67" i="33"/>
  <c r="T189" i="33"/>
  <c r="T250" i="33"/>
  <c r="X71" i="33"/>
  <c r="U69" i="33"/>
  <c r="U76" i="33"/>
  <c r="U73" i="33"/>
  <c r="F284" i="33"/>
  <c r="F192" i="33"/>
  <c r="F154" i="33"/>
  <c r="G279" i="33"/>
  <c r="E234" i="33"/>
  <c r="E224" i="33"/>
  <c r="K279" i="33"/>
  <c r="I234" i="33"/>
  <c r="I224" i="33"/>
  <c r="J284" i="33"/>
  <c r="J154" i="33"/>
  <c r="J192" i="33"/>
  <c r="U291" i="33"/>
  <c r="AG15" i="33"/>
  <c r="AF146" i="33"/>
  <c r="U16" i="33"/>
  <c r="AA155" i="33"/>
  <c r="Z30" i="33"/>
  <c r="AH15" i="33"/>
  <c r="AH146" i="33"/>
  <c r="AJ135" i="33"/>
  <c r="AI134" i="33"/>
  <c r="AA67" i="33"/>
  <c r="V68" i="33"/>
  <c r="W68" i="33"/>
  <c r="V14" i="33"/>
  <c r="W14" i="33"/>
  <c r="W16" i="33"/>
  <c r="X58" i="33"/>
  <c r="X13" i="33"/>
  <c r="X144" i="33"/>
  <c r="AC238" i="33"/>
  <c r="AD235" i="33"/>
  <c r="AF220" i="33"/>
  <c r="AA221" i="33"/>
  <c r="AK214" i="33"/>
  <c r="AF213" i="33"/>
  <c r="AF207" i="33"/>
  <c r="AF205" i="33"/>
  <c r="Y246" i="33"/>
  <c r="AF196" i="33"/>
  <c r="AA199" i="33"/>
  <c r="AF200" i="33"/>
  <c r="Y247" i="33"/>
  <c r="W248" i="33"/>
  <c r="Y98" i="33"/>
  <c r="X103" i="33"/>
  <c r="AC93" i="33"/>
  <c r="AD91" i="33"/>
  <c r="AD106" i="33"/>
  <c r="X63" i="33"/>
  <c r="X57" i="33"/>
  <c r="AA34" i="33"/>
  <c r="AB34" i="33"/>
  <c r="AA83" i="33"/>
  <c r="AE85" i="33"/>
  <c r="Z92" i="33"/>
  <c r="Z255" i="33"/>
  <c r="AA136" i="33"/>
  <c r="Z257" i="33"/>
  <c r="AA208" i="33"/>
  <c r="Z197" i="33"/>
  <c r="M29" i="33"/>
  <c r="L31" i="33"/>
  <c r="Z24" i="33"/>
  <c r="Z147" i="33"/>
  <c r="Y66" i="33"/>
  <c r="Z59" i="33"/>
  <c r="Y61" i="33"/>
  <c r="AE267" i="33"/>
  <c r="AE285" i="33"/>
  <c r="AE237" i="33"/>
  <c r="AB43" i="33"/>
  <c r="AB206" i="33"/>
  <c r="AA258" i="33"/>
  <c r="AC206" i="33"/>
  <c r="AE162" i="33"/>
  <c r="AD164" i="33"/>
  <c r="AA194" i="33"/>
  <c r="X248" i="33"/>
  <c r="Z96" i="33"/>
  <c r="Z101" i="33"/>
  <c r="AA94" i="33"/>
  <c r="AE102" i="33"/>
  <c r="AF102" i="33"/>
  <c r="AB183" i="33"/>
  <c r="AB66" i="33"/>
  <c r="AK123" i="33"/>
  <c r="AM124" i="33"/>
  <c r="Z50" i="33"/>
  <c r="Z56" i="33"/>
  <c r="S218" i="33"/>
  <c r="AJ229" i="33"/>
  <c r="T273" i="33"/>
  <c r="AH137" i="33"/>
  <c r="AH139" i="33"/>
  <c r="AB136" i="33"/>
  <c r="R218" i="33"/>
  <c r="AL123" i="33"/>
  <c r="AL124" i="33"/>
  <c r="AK127" i="33"/>
  <c r="AK126" i="33"/>
  <c r="AJ126" i="33"/>
  <c r="T253" i="33"/>
  <c r="W105" i="33"/>
  <c r="W109" i="33"/>
  <c r="Y71" i="33"/>
  <c r="X104" i="33"/>
  <c r="Y105" i="33"/>
  <c r="AB83" i="33"/>
  <c r="AB48" i="33"/>
  <c r="Y109" i="33"/>
  <c r="X108" i="33"/>
  <c r="W112" i="33"/>
  <c r="Y112" i="33"/>
  <c r="X111" i="33"/>
  <c r="AB94" i="33"/>
  <c r="V73" i="33"/>
  <c r="W73" i="33"/>
  <c r="V76" i="33"/>
  <c r="W76" i="33"/>
  <c r="V69" i="33"/>
  <c r="W69" i="33"/>
  <c r="U189" i="33"/>
  <c r="U253" i="33"/>
  <c r="U250" i="33"/>
  <c r="G187" i="33"/>
  <c r="F201" i="33"/>
  <c r="F286" i="33"/>
  <c r="U263" i="33"/>
  <c r="U150" i="33"/>
  <c r="V291" i="33"/>
  <c r="J201" i="33"/>
  <c r="J286" i="33"/>
  <c r="AI15" i="33"/>
  <c r="AC155" i="33"/>
  <c r="AA30" i="33"/>
  <c r="AK135" i="33"/>
  <c r="AJ134" i="33"/>
  <c r="L278" i="33"/>
  <c r="K187" i="33"/>
  <c r="V145" i="33"/>
  <c r="V16" i="33"/>
  <c r="X14" i="33"/>
  <c r="X68" i="33"/>
  <c r="AD238" i="33"/>
  <c r="AE238" i="33"/>
  <c r="AE235" i="33"/>
  <c r="AC221" i="33"/>
  <c r="AB221" i="33"/>
  <c r="AH220" i="33"/>
  <c r="AG220" i="33"/>
  <c r="AH213" i="33"/>
  <c r="AG213" i="33"/>
  <c r="AG215" i="33"/>
  <c r="AL214" i="33"/>
  <c r="Z246" i="33"/>
  <c r="AH205" i="33"/>
  <c r="AG205" i="33"/>
  <c r="AB258" i="33"/>
  <c r="AG207" i="33"/>
  <c r="AH207" i="33"/>
  <c r="AH200" i="33"/>
  <c r="AG200" i="33"/>
  <c r="AC199" i="33"/>
  <c r="AB199" i="33"/>
  <c r="AG196" i="33"/>
  <c r="AH196" i="33"/>
  <c r="Z247" i="33"/>
  <c r="Y248" i="33"/>
  <c r="Z98" i="33"/>
  <c r="W150" i="33"/>
  <c r="Y103" i="33"/>
  <c r="AE91" i="33"/>
  <c r="AE106" i="33"/>
  <c r="AD93" i="33"/>
  <c r="Y63" i="33"/>
  <c r="Y58" i="33"/>
  <c r="Y13" i="33"/>
  <c r="Y57" i="33"/>
  <c r="AC34" i="33"/>
  <c r="D23" i="35"/>
  <c r="AB191" i="33"/>
  <c r="AA255" i="33"/>
  <c r="AF85" i="33"/>
  <c r="AC83" i="33"/>
  <c r="AA92" i="33"/>
  <c r="AA24" i="33"/>
  <c r="M31" i="33"/>
  <c r="AA101" i="33"/>
  <c r="AA96" i="33"/>
  <c r="AC94" i="33"/>
  <c r="AF237" i="33"/>
  <c r="AF285" i="33"/>
  <c r="AG212" i="33"/>
  <c r="AF267" i="33"/>
  <c r="AC258" i="33"/>
  <c r="AD206" i="33"/>
  <c r="AC194" i="33"/>
  <c r="AB194" i="33"/>
  <c r="AC136" i="33"/>
  <c r="AC48" i="33"/>
  <c r="AA50" i="33"/>
  <c r="Z66" i="33"/>
  <c r="Z61" i="33"/>
  <c r="AA59" i="33"/>
  <c r="AA257" i="33"/>
  <c r="AC208" i="33"/>
  <c r="AB208" i="33"/>
  <c r="AA197" i="33"/>
  <c r="AE164" i="33"/>
  <c r="AF162" i="33"/>
  <c r="AH95" i="33"/>
  <c r="AG95" i="33"/>
  <c r="AI95" i="33"/>
  <c r="AD102" i="33"/>
  <c r="AG84" i="33"/>
  <c r="AG102" i="33"/>
  <c r="AG101" i="33"/>
  <c r="AH84" i="33"/>
  <c r="AC102" i="33"/>
  <c r="AM123" i="33"/>
  <c r="AN124" i="33"/>
  <c r="T218" i="33"/>
  <c r="AI139" i="33"/>
  <c r="AI137" i="33"/>
  <c r="AL126" i="33"/>
  <c r="AL127" i="33"/>
  <c r="U273" i="33"/>
  <c r="W77" i="33"/>
  <c r="W74" i="33"/>
  <c r="Y111" i="33"/>
  <c r="Z112" i="33"/>
  <c r="Z109" i="33"/>
  <c r="Y108" i="33"/>
  <c r="W70" i="33"/>
  <c r="Z71" i="33"/>
  <c r="AB59" i="33"/>
  <c r="Y104" i="33"/>
  <c r="Z105" i="33"/>
  <c r="X73" i="33"/>
  <c r="X69" i="33"/>
  <c r="X76" i="33"/>
  <c r="AG267" i="33"/>
  <c r="AB30" i="33"/>
  <c r="F234" i="33"/>
  <c r="F224" i="33"/>
  <c r="I154" i="33"/>
  <c r="G192" i="33"/>
  <c r="G284" i="33"/>
  <c r="H187" i="33"/>
  <c r="G154" i="33"/>
  <c r="AI146" i="33"/>
  <c r="J234" i="33"/>
  <c r="J224" i="33"/>
  <c r="AJ15" i="33"/>
  <c r="AK134" i="33"/>
  <c r="AL134" i="33"/>
  <c r="AD155" i="33"/>
  <c r="AC30" i="33"/>
  <c r="X291" i="33"/>
  <c r="X145" i="33"/>
  <c r="V150" i="33"/>
  <c r="K284" i="33"/>
  <c r="K154" i="33"/>
  <c r="K192" i="33"/>
  <c r="V263" i="33"/>
  <c r="W263" i="33"/>
  <c r="V250" i="33"/>
  <c r="W250" i="33"/>
  <c r="X16" i="33"/>
  <c r="V189" i="33"/>
  <c r="Y68" i="33"/>
  <c r="Y14" i="33"/>
  <c r="Y16" i="33"/>
  <c r="Z57" i="33"/>
  <c r="AF238" i="33"/>
  <c r="AF235" i="33"/>
  <c r="AI220" i="33"/>
  <c r="AD221" i="33"/>
  <c r="AG285" i="33"/>
  <c r="AI213" i="33"/>
  <c r="AI207" i="33"/>
  <c r="AI205" i="33"/>
  <c r="AB257" i="33"/>
  <c r="AI196" i="33"/>
  <c r="AD199" i="33"/>
  <c r="AI200" i="33"/>
  <c r="AB255" i="33"/>
  <c r="AA147" i="33"/>
  <c r="Z248" i="33"/>
  <c r="AA98" i="33"/>
  <c r="AB98" i="33"/>
  <c r="Z103" i="33"/>
  <c r="AF91" i="33"/>
  <c r="AF106" i="33"/>
  <c r="AG106" i="33"/>
  <c r="AE93" i="33"/>
  <c r="Z63" i="33"/>
  <c r="Z58" i="33"/>
  <c r="Y144" i="33"/>
  <c r="Z13" i="33"/>
  <c r="AA56" i="33"/>
  <c r="AD34" i="33"/>
  <c r="D24" i="35"/>
  <c r="AH85" i="33"/>
  <c r="AD83" i="33"/>
  <c r="AC92" i="33"/>
  <c r="AC255" i="33"/>
  <c r="AD194" i="33"/>
  <c r="AI212" i="33"/>
  <c r="AH237" i="33"/>
  <c r="AH285" i="33"/>
  <c r="AH267" i="33"/>
  <c r="M32" i="33"/>
  <c r="L37" i="33"/>
  <c r="D29" i="35"/>
  <c r="AA246" i="33"/>
  <c r="AB197" i="33"/>
  <c r="L33" i="33"/>
  <c r="AC59" i="33"/>
  <c r="AA66" i="33"/>
  <c r="AG66" i="33"/>
  <c r="AA61" i="33"/>
  <c r="AC257" i="33"/>
  <c r="AD208" i="33"/>
  <c r="AC197" i="33"/>
  <c r="AD258" i="33"/>
  <c r="AE206" i="33"/>
  <c r="AC96" i="33"/>
  <c r="AC101" i="33"/>
  <c r="AD94" i="33"/>
  <c r="AF164" i="33"/>
  <c r="AH162" i="33"/>
  <c r="AD136" i="33"/>
  <c r="AA247" i="33"/>
  <c r="AB24" i="33"/>
  <c r="AC50" i="33"/>
  <c r="AD48" i="33"/>
  <c r="AC24" i="33"/>
  <c r="AF77" i="33"/>
  <c r="AE77" i="33"/>
  <c r="AD77" i="33"/>
  <c r="AC77" i="33"/>
  <c r="AF70" i="33"/>
  <c r="AD70" i="33"/>
  <c r="AE70" i="33"/>
  <c r="AC70" i="33"/>
  <c r="AJ95" i="33"/>
  <c r="AK95" i="33"/>
  <c r="AH102" i="33"/>
  <c r="AI84" i="33"/>
  <c r="AO124" i="33"/>
  <c r="AN123" i="33"/>
  <c r="AL135" i="33"/>
  <c r="U218" i="33"/>
  <c r="AJ137" i="33"/>
  <c r="AJ139" i="33"/>
  <c r="Z104" i="33"/>
  <c r="AA105" i="33"/>
  <c r="AC105" i="33"/>
  <c r="AG91" i="33"/>
  <c r="AA112" i="33"/>
  <c r="Z111" i="33"/>
  <c r="AA71" i="33"/>
  <c r="AB71" i="33"/>
  <c r="AB56" i="33"/>
  <c r="Z108" i="33"/>
  <c r="AA109" i="33"/>
  <c r="Y73" i="33"/>
  <c r="Y76" i="33"/>
  <c r="Y69" i="33"/>
  <c r="AB155" i="33"/>
  <c r="AJ146" i="33"/>
  <c r="H284" i="33"/>
  <c r="H192" i="33"/>
  <c r="G286" i="33"/>
  <c r="G201" i="33"/>
  <c r="AE155" i="33"/>
  <c r="AD30" i="33"/>
  <c r="AK15" i="33"/>
  <c r="K201" i="33"/>
  <c r="K286" i="33"/>
  <c r="Y145" i="33"/>
  <c r="AA40" i="35"/>
  <c r="G40" i="35"/>
  <c r="G41" i="35"/>
  <c r="Y291" i="33"/>
  <c r="Y250" i="33"/>
  <c r="W294" i="33"/>
  <c r="AG164" i="33"/>
  <c r="V273" i="33"/>
  <c r="V253" i="33"/>
  <c r="W253" i="33"/>
  <c r="W189" i="33"/>
  <c r="Z68" i="33"/>
  <c r="X189" i="33"/>
  <c r="X253" i="33"/>
  <c r="X263" i="33"/>
  <c r="X250" i="33"/>
  <c r="X150" i="33"/>
  <c r="Z14" i="33"/>
  <c r="AH238" i="33"/>
  <c r="AI238" i="33"/>
  <c r="AA57" i="33"/>
  <c r="AA58" i="33"/>
  <c r="K40" i="35"/>
  <c r="R40" i="35"/>
  <c r="S40" i="35"/>
  <c r="W40" i="35"/>
  <c r="H40" i="35"/>
  <c r="AG40" i="35"/>
  <c r="AG41" i="35"/>
  <c r="L40" i="35"/>
  <c r="AB40" i="35"/>
  <c r="AD40" i="35"/>
  <c r="AE40" i="35"/>
  <c r="T40" i="35"/>
  <c r="V40" i="35"/>
  <c r="X40" i="35"/>
  <c r="Z40" i="35"/>
  <c r="M40" i="35"/>
  <c r="AC40" i="35"/>
  <c r="N40" i="35"/>
  <c r="O40" i="35"/>
  <c r="P40" i="35"/>
  <c r="F40" i="35"/>
  <c r="Q40" i="35"/>
  <c r="U40" i="35"/>
  <c r="J40" i="35"/>
  <c r="I40" i="35"/>
  <c r="Y40" i="35"/>
  <c r="AI40" i="35"/>
  <c r="AI41" i="35"/>
  <c r="AH235" i="33"/>
  <c r="AE221" i="33"/>
  <c r="AJ220" i="33"/>
  <c r="AJ213" i="33"/>
  <c r="AC246" i="33"/>
  <c r="AJ205" i="33"/>
  <c r="AB246" i="33"/>
  <c r="AJ207" i="33"/>
  <c r="AJ200" i="33"/>
  <c r="AE199" i="33"/>
  <c r="AJ196" i="33"/>
  <c r="Y150" i="33"/>
  <c r="Y189" i="33"/>
  <c r="Y263" i="33"/>
  <c r="AA103" i="33"/>
  <c r="AB103" i="33"/>
  <c r="AC98" i="33"/>
  <c r="AH91" i="33"/>
  <c r="Z144" i="33"/>
  <c r="AF93" i="33"/>
  <c r="AA63" i="33"/>
  <c r="AA13" i="33"/>
  <c r="AA144" i="33"/>
  <c r="AC56" i="33"/>
  <c r="AE34" i="33"/>
  <c r="D25" i="35"/>
  <c r="M33" i="33"/>
  <c r="AD255" i="33"/>
  <c r="AD92" i="33"/>
  <c r="AI85" i="33"/>
  <c r="AE83" i="33"/>
  <c r="AJ212" i="33"/>
  <c r="AI237" i="33"/>
  <c r="AI267" i="33"/>
  <c r="AI285" i="33"/>
  <c r="M153" i="33"/>
  <c r="M37" i="33"/>
  <c r="AD50" i="33"/>
  <c r="AE48" i="33"/>
  <c r="AA248" i="33"/>
  <c r="AB247" i="33"/>
  <c r="AE194" i="33"/>
  <c r="AH164" i="33"/>
  <c r="AI162" i="33"/>
  <c r="AD24" i="33"/>
  <c r="AD147" i="33"/>
  <c r="AE136" i="33"/>
  <c r="AD257" i="33"/>
  <c r="AE208" i="33"/>
  <c r="AD197" i="33"/>
  <c r="AD101" i="33"/>
  <c r="AE94" i="33"/>
  <c r="AD96" i="33"/>
  <c r="AC247" i="33"/>
  <c r="AC66" i="33"/>
  <c r="AC61" i="33"/>
  <c r="AD59" i="33"/>
  <c r="L35" i="33"/>
  <c r="AE258" i="33"/>
  <c r="AF206" i="33"/>
  <c r="AC147" i="33"/>
  <c r="AM95" i="33"/>
  <c r="AL95" i="33"/>
  <c r="AN95" i="33"/>
  <c r="AI102" i="33"/>
  <c r="AJ84" i="33"/>
  <c r="AP124" i="33"/>
  <c r="AP123" i="33"/>
  <c r="AO123" i="33"/>
  <c r="AK212" i="33"/>
  <c r="AK139" i="33"/>
  <c r="AK137" i="33"/>
  <c r="AL137" i="33"/>
  <c r="AB72" i="33"/>
  <c r="AH106" i="33"/>
  <c r="AA111" i="33"/>
  <c r="AB111" i="33"/>
  <c r="AC112" i="33"/>
  <c r="AC71" i="33"/>
  <c r="AA104" i="33"/>
  <c r="AB104" i="33"/>
  <c r="AG107" i="33"/>
  <c r="AB63" i="33"/>
  <c r="AA108" i="33"/>
  <c r="AB108" i="33"/>
  <c r="AC109" i="33"/>
  <c r="Z73" i="33"/>
  <c r="Z69" i="33"/>
  <c r="Z76" i="33"/>
  <c r="AK146" i="33"/>
  <c r="G224" i="33"/>
  <c r="G234" i="33"/>
  <c r="AL15" i="33"/>
  <c r="H201" i="33"/>
  <c r="H286" i="33"/>
  <c r="K234" i="33"/>
  <c r="K224" i="33"/>
  <c r="Z291" i="33"/>
  <c r="AF155" i="33"/>
  <c r="AE30" i="33"/>
  <c r="Z16" i="33"/>
  <c r="X273" i="33"/>
  <c r="W273" i="33"/>
  <c r="Z145" i="33"/>
  <c r="V218" i="33"/>
  <c r="AA14" i="33"/>
  <c r="AA68" i="33"/>
  <c r="AB68" i="33"/>
  <c r="AC13" i="33"/>
  <c r="AC144" i="33"/>
  <c r="AC58" i="33"/>
  <c r="Y253" i="33"/>
  <c r="AJ238" i="33"/>
  <c r="AI235" i="33"/>
  <c r="AK220" i="33"/>
  <c r="AF221" i="33"/>
  <c r="AK213" i="33"/>
  <c r="AK207" i="33"/>
  <c r="AD246" i="33"/>
  <c r="AK205" i="33"/>
  <c r="AK196" i="33"/>
  <c r="AF199" i="33"/>
  <c r="AK200" i="33"/>
  <c r="AD247" i="33"/>
  <c r="AB248" i="33"/>
  <c r="AD98" i="33"/>
  <c r="AC103" i="33"/>
  <c r="AI91" i="33"/>
  <c r="AI106" i="33"/>
  <c r="AH93" i="33"/>
  <c r="AC63" i="33"/>
  <c r="AB13" i="33"/>
  <c r="AC57" i="33"/>
  <c r="AD56" i="33"/>
  <c r="AF34" i="33"/>
  <c r="AG34" i="33"/>
  <c r="D27" i="35"/>
  <c r="M35" i="33"/>
  <c r="M244" i="33"/>
  <c r="AF83" i="33"/>
  <c r="AJ85" i="33"/>
  <c r="AE92" i="33"/>
  <c r="AE255" i="33"/>
  <c r="AG43" i="33"/>
  <c r="AE101" i="33"/>
  <c r="AF94" i="33"/>
  <c r="AE96" i="33"/>
  <c r="AI164" i="33"/>
  <c r="AJ162" i="33"/>
  <c r="AD66" i="33"/>
  <c r="AD61" i="33"/>
  <c r="AE59" i="33"/>
  <c r="AF136" i="33"/>
  <c r="AF194" i="33"/>
  <c r="AC248" i="33"/>
  <c r="AE50" i="33"/>
  <c r="AF48" i="33"/>
  <c r="AJ267" i="33"/>
  <c r="AJ285" i="33"/>
  <c r="AJ237" i="33"/>
  <c r="AE257" i="33"/>
  <c r="AF208" i="33"/>
  <c r="AE197" i="33"/>
  <c r="AE24" i="33"/>
  <c r="AF258" i="33"/>
  <c r="AH206" i="33"/>
  <c r="AG206" i="33"/>
  <c r="AO95" i="33"/>
  <c r="AP95" i="33"/>
  <c r="AK84" i="33"/>
  <c r="AJ102" i="33"/>
  <c r="AQ123" i="33"/>
  <c r="AQ124" i="33"/>
  <c r="AL139" i="33"/>
  <c r="AG136" i="33"/>
  <c r="AB112" i="33"/>
  <c r="AB105" i="33"/>
  <c r="AD112" i="33"/>
  <c r="AC111" i="33"/>
  <c r="AG48" i="33"/>
  <c r="AB109" i="33"/>
  <c r="AG94" i="33"/>
  <c r="AD109" i="33"/>
  <c r="AC108" i="33"/>
  <c r="AD71" i="33"/>
  <c r="AC104" i="33"/>
  <c r="AD105" i="33"/>
  <c r="AG83" i="33"/>
  <c r="AA73" i="33"/>
  <c r="AB73" i="33"/>
  <c r="AA76" i="33"/>
  <c r="AB76" i="33"/>
  <c r="AA69" i="33"/>
  <c r="AB69" i="33"/>
  <c r="W218" i="33"/>
  <c r="H234" i="33"/>
  <c r="H224" i="33"/>
  <c r="AH155" i="33"/>
  <c r="AF30" i="33"/>
  <c r="AA145" i="33"/>
  <c r="AA291" i="33"/>
  <c r="AA16" i="33"/>
  <c r="AB14" i="33"/>
  <c r="Z250" i="33"/>
  <c r="Z263" i="33"/>
  <c r="Z189" i="33"/>
  <c r="Z253" i="33"/>
  <c r="Z150" i="33"/>
  <c r="X218" i="33"/>
  <c r="Y273" i="33"/>
  <c r="AC14" i="33"/>
  <c r="AC68" i="33"/>
  <c r="AK238" i="33"/>
  <c r="AJ235" i="33"/>
  <c r="AG221" i="33"/>
  <c r="AH221" i="33"/>
  <c r="AL220" i="33"/>
  <c r="AL213" i="33"/>
  <c r="AL215" i="33"/>
  <c r="AE246" i="33"/>
  <c r="AL205" i="33"/>
  <c r="AG258" i="33"/>
  <c r="AL207" i="33"/>
  <c r="AL200" i="33"/>
  <c r="AH199" i="33"/>
  <c r="AG199" i="33"/>
  <c r="AL196" i="33"/>
  <c r="AE147" i="33"/>
  <c r="AD248" i="33"/>
  <c r="AE98" i="33"/>
  <c r="AD103" i="33"/>
  <c r="AJ91" i="33"/>
  <c r="AJ106" i="33"/>
  <c r="AI93" i="33"/>
  <c r="AD63" i="33"/>
  <c r="AD57" i="33"/>
  <c r="AE56" i="33"/>
  <c r="AD58" i="33"/>
  <c r="AD13" i="33"/>
  <c r="AH34" i="33"/>
  <c r="V41" i="35"/>
  <c r="Q41" i="35"/>
  <c r="W41" i="35"/>
  <c r="I41" i="35"/>
  <c r="AC41" i="35"/>
  <c r="O41" i="35"/>
  <c r="R41" i="35"/>
  <c r="H41" i="35"/>
  <c r="X41" i="35"/>
  <c r="Y41" i="35"/>
  <c r="AD41" i="35"/>
  <c r="AE41" i="35"/>
  <c r="S41" i="35"/>
  <c r="J41" i="35"/>
  <c r="Z41" i="35"/>
  <c r="F41" i="35"/>
  <c r="L41" i="35"/>
  <c r="P41" i="35"/>
  <c r="K41" i="35"/>
  <c r="AA41" i="35"/>
  <c r="M41" i="35"/>
  <c r="N41" i="35"/>
  <c r="T41" i="35"/>
  <c r="AB41" i="35"/>
  <c r="U41" i="35"/>
  <c r="AF255" i="33"/>
  <c r="AG191" i="33"/>
  <c r="AH83" i="33"/>
  <c r="AM85" i="33"/>
  <c r="AM91" i="33"/>
  <c r="AF92" i="33"/>
  <c r="AK85" i="33"/>
  <c r="AK237" i="33"/>
  <c r="AK285" i="33"/>
  <c r="AL212" i="33"/>
  <c r="AK267" i="33"/>
  <c r="AH48" i="33"/>
  <c r="AF50" i="33"/>
  <c r="AH194" i="33"/>
  <c r="AG194" i="33"/>
  <c r="AK162" i="33"/>
  <c r="AM162" i="33"/>
  <c r="AJ164" i="33"/>
  <c r="AH136" i="33"/>
  <c r="AF257" i="33"/>
  <c r="AH208" i="33"/>
  <c r="AG208" i="33"/>
  <c r="AF197" i="33"/>
  <c r="AF96" i="33"/>
  <c r="AH94" i="33"/>
  <c r="AF101" i="33"/>
  <c r="AE247" i="33"/>
  <c r="AE66" i="33"/>
  <c r="AE61" i="33"/>
  <c r="AF59" i="33"/>
  <c r="AF24" i="33"/>
  <c r="AH258" i="33"/>
  <c r="AI206" i="33"/>
  <c r="AQ95" i="33"/>
  <c r="AK102" i="33"/>
  <c r="AL84" i="33"/>
  <c r="AL102" i="33"/>
  <c r="AL101" i="33"/>
  <c r="AM84" i="33"/>
  <c r="AM106" i="33"/>
  <c r="AM93" i="33"/>
  <c r="AN162" i="33"/>
  <c r="AM164" i="33"/>
  <c r="AB77" i="33"/>
  <c r="AB70" i="33"/>
  <c r="AD104" i="33"/>
  <c r="AE105" i="33"/>
  <c r="AB74" i="33"/>
  <c r="AE112" i="33"/>
  <c r="AD111" i="33"/>
  <c r="AE71" i="33"/>
  <c r="AE109" i="33"/>
  <c r="AD108" i="33"/>
  <c r="AG59" i="33"/>
  <c r="AC73" i="33"/>
  <c r="AC69" i="33"/>
  <c r="AC76" i="33"/>
  <c r="AC291" i="33"/>
  <c r="AB16" i="33"/>
  <c r="AI155" i="33"/>
  <c r="AH30" i="33"/>
  <c r="AG30" i="33"/>
  <c r="AA189" i="33"/>
  <c r="AA250" i="33"/>
  <c r="AA263" i="33"/>
  <c r="AA150" i="33"/>
  <c r="AD68" i="33"/>
  <c r="AD14" i="33"/>
  <c r="AC145" i="33"/>
  <c r="AE57" i="33"/>
  <c r="AK164" i="33"/>
  <c r="Z273" i="33"/>
  <c r="AE58" i="33"/>
  <c r="Y218" i="33"/>
  <c r="AC16" i="33"/>
  <c r="AE13" i="33"/>
  <c r="AD144" i="33"/>
  <c r="AK235" i="33"/>
  <c r="AI221" i="33"/>
  <c r="AL285" i="33"/>
  <c r="AG257" i="33"/>
  <c r="AI199" i="33"/>
  <c r="AG255" i="33"/>
  <c r="AF247" i="33"/>
  <c r="AG247" i="33"/>
  <c r="AF98" i="33"/>
  <c r="AG98" i="33"/>
  <c r="AE103" i="33"/>
  <c r="AK91" i="33"/>
  <c r="AJ93" i="33"/>
  <c r="AE63" i="33"/>
  <c r="AF56" i="33"/>
  <c r="AI34" i="33"/>
  <c r="AH92" i="33"/>
  <c r="AI83" i="33"/>
  <c r="AN85" i="33"/>
  <c r="AN91" i="33"/>
  <c r="AH255" i="33"/>
  <c r="AF147" i="33"/>
  <c r="AH96" i="33"/>
  <c r="AI94" i="33"/>
  <c r="AH101" i="33"/>
  <c r="AH24" i="33"/>
  <c r="AF246" i="33"/>
  <c r="AG197" i="33"/>
  <c r="AI194" i="33"/>
  <c r="AI136" i="33"/>
  <c r="AH257" i="33"/>
  <c r="AI208" i="33"/>
  <c r="AH197" i="33"/>
  <c r="AH50" i="33"/>
  <c r="AI48" i="33"/>
  <c r="AI258" i="33"/>
  <c r="AJ206" i="33"/>
  <c r="AE248" i="33"/>
  <c r="AH59" i="33"/>
  <c r="AF61" i="33"/>
  <c r="AF66" i="33"/>
  <c r="AL66" i="33"/>
  <c r="AG24" i="33"/>
  <c r="AL267" i="33"/>
  <c r="AK77" i="33"/>
  <c r="AJ77" i="33"/>
  <c r="AI77" i="33"/>
  <c r="AH77" i="33"/>
  <c r="AH70" i="33"/>
  <c r="AK70" i="33"/>
  <c r="AJ70" i="33"/>
  <c r="AI70" i="33"/>
  <c r="AM102" i="33"/>
  <c r="AN84" i="33"/>
  <c r="AN102" i="33"/>
  <c r="AN93" i="33"/>
  <c r="AN106" i="33"/>
  <c r="AN164" i="33"/>
  <c r="AO162" i="33"/>
  <c r="AB263" i="33"/>
  <c r="AB150" i="33"/>
  <c r="AE111" i="33"/>
  <c r="AF112" i="33"/>
  <c r="AK106" i="33"/>
  <c r="AL106" i="33"/>
  <c r="AL91" i="33"/>
  <c r="AE104" i="33"/>
  <c r="AF105" i="33"/>
  <c r="AF71" i="33"/>
  <c r="AG71" i="33"/>
  <c r="AF109" i="33"/>
  <c r="AE108" i="33"/>
  <c r="AG56" i="33"/>
  <c r="AD76" i="33"/>
  <c r="AD73" i="33"/>
  <c r="AD69" i="33"/>
  <c r="AD16" i="33"/>
  <c r="AG155" i="33"/>
  <c r="AD145" i="33"/>
  <c r="AJ155" i="33"/>
  <c r="AI30" i="33"/>
  <c r="AD291" i="33"/>
  <c r="AB250" i="33"/>
  <c r="AB189" i="33"/>
  <c r="AA253" i="33"/>
  <c r="AB253" i="33"/>
  <c r="AF57" i="33"/>
  <c r="AF13" i="33"/>
  <c r="AF58" i="33"/>
  <c r="AL164" i="33"/>
  <c r="AA273" i="33"/>
  <c r="Z218" i="33"/>
  <c r="AC150" i="33"/>
  <c r="AC189" i="33"/>
  <c r="AC263" i="33"/>
  <c r="AC250" i="33"/>
  <c r="AE144" i="33"/>
  <c r="AE14" i="33"/>
  <c r="AE68" i="33"/>
  <c r="AJ221" i="33"/>
  <c r="AG246" i="33"/>
  <c r="AH246" i="33"/>
  <c r="AJ199" i="33"/>
  <c r="AH147" i="33"/>
  <c r="AF248" i="33"/>
  <c r="AH98" i="33"/>
  <c r="AF103" i="33"/>
  <c r="AG103" i="33"/>
  <c r="AK93" i="33"/>
  <c r="AF63" i="33"/>
  <c r="AH56" i="33"/>
  <c r="AJ34" i="33"/>
  <c r="AI255" i="33"/>
  <c r="AJ83" i="33"/>
  <c r="AO85" i="33"/>
  <c r="AO91" i="33"/>
  <c r="AI92" i="33"/>
  <c r="AH61" i="33"/>
  <c r="AI59" i="33"/>
  <c r="AH66" i="33"/>
  <c r="AI257" i="33"/>
  <c r="AJ208" i="33"/>
  <c r="AI197" i="33"/>
  <c r="AH247" i="33"/>
  <c r="AI50" i="33"/>
  <c r="AJ48" i="33"/>
  <c r="AI24" i="33"/>
  <c r="AI147" i="33"/>
  <c r="AJ136" i="33"/>
  <c r="AJ258" i="33"/>
  <c r="AK206" i="33"/>
  <c r="AJ194" i="33"/>
  <c r="AJ94" i="33"/>
  <c r="AI101" i="33"/>
  <c r="AI96" i="33"/>
  <c r="AP43" i="33"/>
  <c r="AO84" i="33"/>
  <c r="AO102" i="33"/>
  <c r="AO93" i="33"/>
  <c r="AO106" i="33"/>
  <c r="AO164" i="33"/>
  <c r="AP162" i="33"/>
  <c r="AP164" i="33"/>
  <c r="AD150" i="33"/>
  <c r="AD189" i="33"/>
  <c r="AD253" i="33"/>
  <c r="AB294" i="33"/>
  <c r="AF108" i="33"/>
  <c r="AG108" i="33"/>
  <c r="AG109" i="33"/>
  <c r="AH109" i="33"/>
  <c r="AG72" i="33"/>
  <c r="AF104" i="33"/>
  <c r="AG104" i="33"/>
  <c r="AG105" i="33"/>
  <c r="AH105" i="33"/>
  <c r="AL107" i="33"/>
  <c r="AG63" i="33"/>
  <c r="AF111" i="33"/>
  <c r="AG111" i="33"/>
  <c r="AG112" i="33"/>
  <c r="AH112" i="33"/>
  <c r="AH71" i="33"/>
  <c r="AE69" i="33"/>
  <c r="AD263" i="33"/>
  <c r="AE73" i="33"/>
  <c r="AE76" i="33"/>
  <c r="AG13" i="33"/>
  <c r="AE291" i="33"/>
  <c r="AK155" i="33"/>
  <c r="AJ30" i="33"/>
  <c r="AD250" i="33"/>
  <c r="AL43" i="33"/>
  <c r="AF144" i="33"/>
  <c r="AA218" i="33"/>
  <c r="AB273" i="33"/>
  <c r="AC253" i="33"/>
  <c r="AC273" i="33"/>
  <c r="AF68" i="33"/>
  <c r="AG68" i="33"/>
  <c r="AF14" i="33"/>
  <c r="AF145" i="33"/>
  <c r="AH58" i="33"/>
  <c r="AH13" i="33"/>
  <c r="AH144" i="33"/>
  <c r="AH57" i="33"/>
  <c r="AE16" i="33"/>
  <c r="AE145" i="33"/>
  <c r="AK221" i="33"/>
  <c r="AI246" i="33"/>
  <c r="AK199" i="33"/>
  <c r="AI247" i="33"/>
  <c r="AG248" i="33"/>
  <c r="AI98" i="33"/>
  <c r="AH103" i="33"/>
  <c r="AH63" i="33"/>
  <c r="AI56" i="33"/>
  <c r="AK34" i="33"/>
  <c r="AK83" i="33"/>
  <c r="AJ92" i="33"/>
  <c r="AJ255" i="33"/>
  <c r="AJ257" i="33"/>
  <c r="AK208" i="33"/>
  <c r="AJ197" i="33"/>
  <c r="AH248" i="33"/>
  <c r="AJ24" i="33"/>
  <c r="AJ147" i="33"/>
  <c r="AJ59" i="33"/>
  <c r="AI66" i="33"/>
  <c r="AI61" i="33"/>
  <c r="AK258" i="33"/>
  <c r="AL206" i="33"/>
  <c r="AK48" i="33"/>
  <c r="AJ50" i="33"/>
  <c r="AK136" i="33"/>
  <c r="AJ101" i="33"/>
  <c r="AK94" i="33"/>
  <c r="AM94" i="33"/>
  <c r="AJ96" i="33"/>
  <c r="AK194" i="33"/>
  <c r="AQ164" i="33"/>
  <c r="AQ43" i="33"/>
  <c r="AP84" i="33"/>
  <c r="AP102" i="33"/>
  <c r="AQ84" i="33"/>
  <c r="AQ102" i="33"/>
  <c r="AN94" i="33"/>
  <c r="AM96" i="33"/>
  <c r="AM98" i="33"/>
  <c r="AM103" i="33"/>
  <c r="AL83" i="33"/>
  <c r="AP85" i="33"/>
  <c r="AP91" i="33"/>
  <c r="AM83" i="33"/>
  <c r="AL48" i="33"/>
  <c r="AM48" i="33"/>
  <c r="AL136" i="33"/>
  <c r="AH104" i="33"/>
  <c r="AI105" i="33"/>
  <c r="AL94" i="33"/>
  <c r="AI109" i="33"/>
  <c r="AH108" i="33"/>
  <c r="AI71" i="33"/>
  <c r="AI112" i="33"/>
  <c r="AH111" i="33"/>
  <c r="AF73" i="33"/>
  <c r="AG73" i="33"/>
  <c r="AF76" i="33"/>
  <c r="AG76" i="33"/>
  <c r="AF69" i="33"/>
  <c r="AG69" i="33"/>
  <c r="AE250" i="33"/>
  <c r="AG14" i="33"/>
  <c r="AK30" i="33"/>
  <c r="AF291" i="33"/>
  <c r="AF16" i="33"/>
  <c r="AB218" i="33"/>
  <c r="AC218" i="33"/>
  <c r="AD273" i="33"/>
  <c r="AH68" i="33"/>
  <c r="AH14" i="33"/>
  <c r="AH16" i="33"/>
  <c r="AE263" i="33"/>
  <c r="AE189" i="33"/>
  <c r="AE150" i="33"/>
  <c r="AI58" i="33"/>
  <c r="AI13" i="33"/>
  <c r="AI57" i="33"/>
  <c r="AL34" i="33"/>
  <c r="AL221" i="33"/>
  <c r="AL258" i="33"/>
  <c r="AJ246" i="33"/>
  <c r="AL199" i="33"/>
  <c r="AJ247" i="33"/>
  <c r="AI248" i="33"/>
  <c r="AJ98" i="33"/>
  <c r="AI103" i="33"/>
  <c r="AK92" i="33"/>
  <c r="AI63" i="33"/>
  <c r="AJ56" i="33"/>
  <c r="AK50" i="33"/>
  <c r="AK255" i="33"/>
  <c r="AL191" i="33"/>
  <c r="AK257" i="33"/>
  <c r="AL208" i="33"/>
  <c r="AK197" i="33"/>
  <c r="AL194" i="33"/>
  <c r="AK101" i="33"/>
  <c r="AQ101" i="33"/>
  <c r="AK96" i="33"/>
  <c r="AJ66" i="33"/>
  <c r="AJ61" i="33"/>
  <c r="AK59" i="33"/>
  <c r="AM59" i="33"/>
  <c r="AK24" i="33"/>
  <c r="AO94" i="33"/>
  <c r="AN96" i="33"/>
  <c r="AN98" i="33"/>
  <c r="AN103" i="33"/>
  <c r="AP93" i="33"/>
  <c r="AP106" i="33"/>
  <c r="AQ106" i="33"/>
  <c r="AQ91" i="33"/>
  <c r="AM101" i="33"/>
  <c r="AN83" i="33"/>
  <c r="AM92" i="33"/>
  <c r="AN59" i="33"/>
  <c r="AM61" i="33"/>
  <c r="AM63" i="33"/>
  <c r="AM66" i="33"/>
  <c r="AM50" i="33"/>
  <c r="AM56" i="33"/>
  <c r="AN48" i="33"/>
  <c r="AK147" i="33"/>
  <c r="AG70" i="33"/>
  <c r="AG74" i="33"/>
  <c r="AG77" i="33"/>
  <c r="AJ109" i="33"/>
  <c r="AI108" i="33"/>
  <c r="AL59" i="33"/>
  <c r="AJ71" i="33"/>
  <c r="AI104" i="33"/>
  <c r="AJ105" i="33"/>
  <c r="AG16" i="33"/>
  <c r="AG150" i="33"/>
  <c r="AI111" i="33"/>
  <c r="AJ112" i="33"/>
  <c r="AH69" i="33"/>
  <c r="AH73" i="33"/>
  <c r="AH76" i="33"/>
  <c r="AH291" i="33"/>
  <c r="AH250" i="33"/>
  <c r="AL30" i="33"/>
  <c r="AF263" i="33"/>
  <c r="AG263" i="33"/>
  <c r="AF150" i="33"/>
  <c r="AF250" i="33"/>
  <c r="AG250" i="33"/>
  <c r="AF189" i="33"/>
  <c r="AE273" i="33"/>
  <c r="AD218" i="33"/>
  <c r="AH145" i="33"/>
  <c r="AI144" i="33"/>
  <c r="AI14" i="33"/>
  <c r="AI145" i="33"/>
  <c r="AI68" i="33"/>
  <c r="AE253" i="33"/>
  <c r="AJ57" i="33"/>
  <c r="AJ13" i="33"/>
  <c r="AJ58" i="33"/>
  <c r="AH150" i="33"/>
  <c r="AL257" i="33"/>
  <c r="AL255" i="33"/>
  <c r="AJ248" i="33"/>
  <c r="AH263" i="33"/>
  <c r="AK98" i="33"/>
  <c r="AL98" i="33"/>
  <c r="AJ103" i="33"/>
  <c r="AH189" i="33"/>
  <c r="AJ63" i="33"/>
  <c r="AK56" i="33"/>
  <c r="AK71" i="33"/>
  <c r="AK61" i="33"/>
  <c r="AK66" i="33"/>
  <c r="AQ66" i="33"/>
  <c r="AK247" i="33"/>
  <c r="AL24" i="33"/>
  <c r="AK246" i="33"/>
  <c r="AL197" i="33"/>
  <c r="AN77" i="33"/>
  <c r="AM77" i="33"/>
  <c r="AP77" i="33"/>
  <c r="AO77" i="33"/>
  <c r="AP70" i="33"/>
  <c r="AO70" i="33"/>
  <c r="AN70" i="33"/>
  <c r="AM70" i="33"/>
  <c r="AP94" i="33"/>
  <c r="AO96" i="33"/>
  <c r="AO98" i="33"/>
  <c r="AO103" i="33"/>
  <c r="AQ107" i="33"/>
  <c r="AO83" i="33"/>
  <c r="AN101" i="33"/>
  <c r="AN92" i="33"/>
  <c r="AM14" i="33"/>
  <c r="AM145" i="33"/>
  <c r="AN61" i="33"/>
  <c r="AN63" i="33"/>
  <c r="AN14" i="33"/>
  <c r="AN145" i="33"/>
  <c r="AO59" i="33"/>
  <c r="AO48" i="33"/>
  <c r="AN50" i="33"/>
  <c r="AN56" i="33"/>
  <c r="AN66" i="33"/>
  <c r="AM57" i="33"/>
  <c r="AM71" i="33"/>
  <c r="AM13" i="33"/>
  <c r="AM68" i="33"/>
  <c r="AM58" i="33"/>
  <c r="AM144" i="33"/>
  <c r="AL71" i="33"/>
  <c r="AL56" i="33"/>
  <c r="AK109" i="33"/>
  <c r="AM109" i="33"/>
  <c r="AJ108" i="33"/>
  <c r="AK112" i="33"/>
  <c r="AM112" i="33"/>
  <c r="AJ111" i="33"/>
  <c r="AK105" i="33"/>
  <c r="AM105" i="33"/>
  <c r="AJ104" i="33"/>
  <c r="AG189" i="33"/>
  <c r="AI73" i="33"/>
  <c r="AI76" i="33"/>
  <c r="AF253" i="33"/>
  <c r="AI69" i="33"/>
  <c r="AL155" i="33"/>
  <c r="AI16" i="33"/>
  <c r="AI291" i="33"/>
  <c r="AJ68" i="33"/>
  <c r="AF273" i="33"/>
  <c r="AE218" i="33"/>
  <c r="AJ144" i="33"/>
  <c r="AJ14" i="33"/>
  <c r="AH253" i="33"/>
  <c r="AL246" i="33"/>
  <c r="AK103" i="33"/>
  <c r="AL103" i="33"/>
  <c r="AK63" i="33"/>
  <c r="AK57" i="33"/>
  <c r="AK58" i="33"/>
  <c r="AK13" i="33"/>
  <c r="AK248" i="33"/>
  <c r="AL247" i="33"/>
  <c r="AN112" i="33"/>
  <c r="AM111" i="33"/>
  <c r="AN109" i="33"/>
  <c r="AM108" i="33"/>
  <c r="AN105" i="33"/>
  <c r="AM104" i="33"/>
  <c r="AQ94" i="33"/>
  <c r="AP96" i="33"/>
  <c r="AP98" i="33"/>
  <c r="AP83" i="33"/>
  <c r="AO101" i="33"/>
  <c r="AO92" i="33"/>
  <c r="AP59" i="33"/>
  <c r="AO61" i="33"/>
  <c r="AO63" i="33"/>
  <c r="AM73" i="33"/>
  <c r="AM18" i="33"/>
  <c r="AM16" i="33"/>
  <c r="AN58" i="33"/>
  <c r="AN57" i="33"/>
  <c r="AN71" i="33"/>
  <c r="AN18" i="33"/>
  <c r="AN68" i="33"/>
  <c r="AN73" i="33"/>
  <c r="AN13" i="33"/>
  <c r="AN16" i="33"/>
  <c r="AP48" i="33"/>
  <c r="AO50" i="33"/>
  <c r="AO56" i="33"/>
  <c r="AO66" i="33"/>
  <c r="AK104" i="33"/>
  <c r="AL72" i="33"/>
  <c r="AL63" i="33"/>
  <c r="AK108" i="33"/>
  <c r="AL108" i="33"/>
  <c r="AL109" i="33"/>
  <c r="AK111" i="33"/>
  <c r="AL111" i="33"/>
  <c r="AL112" i="33"/>
  <c r="AL104" i="33"/>
  <c r="AL105" i="33"/>
  <c r="AI189" i="33"/>
  <c r="AI253" i="33"/>
  <c r="AJ76" i="33"/>
  <c r="AJ69" i="33"/>
  <c r="AG253" i="33"/>
  <c r="AJ73" i="33"/>
  <c r="AI263" i="33"/>
  <c r="AI150" i="33"/>
  <c r="AJ291" i="33"/>
  <c r="AI250" i="33"/>
  <c r="AG294" i="33"/>
  <c r="AK14" i="33"/>
  <c r="AK16" i="33"/>
  <c r="AK68" i="33"/>
  <c r="AL68" i="33"/>
  <c r="AG273" i="33"/>
  <c r="AH273" i="33"/>
  <c r="AF218" i="33"/>
  <c r="AJ16" i="33"/>
  <c r="AJ145" i="33"/>
  <c r="AL248" i="33"/>
  <c r="AK144" i="33"/>
  <c r="AL13" i="33"/>
  <c r="AO112" i="33"/>
  <c r="AN111" i="33"/>
  <c r="AO109" i="33"/>
  <c r="AN108" i="33"/>
  <c r="AN19" i="33"/>
  <c r="AO105" i="33"/>
  <c r="AN104" i="33"/>
  <c r="AQ98" i="33"/>
  <c r="AP103" i="33"/>
  <c r="AN144" i="33"/>
  <c r="AQ83" i="33"/>
  <c r="AP101" i="33"/>
  <c r="AP92" i="33"/>
  <c r="AO14" i="33"/>
  <c r="AO145" i="33"/>
  <c r="AP61" i="33"/>
  <c r="AP63" i="33"/>
  <c r="AQ63" i="33"/>
  <c r="AQ59" i="33"/>
  <c r="AN189" i="33"/>
  <c r="AN263" i="33"/>
  <c r="AN250" i="33"/>
  <c r="AP50" i="33"/>
  <c r="AP56" i="33"/>
  <c r="AQ56" i="33"/>
  <c r="AQ48" i="33"/>
  <c r="AP66" i="33"/>
  <c r="AM19" i="33"/>
  <c r="AO71" i="33"/>
  <c r="AO18" i="33"/>
  <c r="AO13" i="33"/>
  <c r="AO58" i="33"/>
  <c r="AO57" i="33"/>
  <c r="AO68" i="33"/>
  <c r="AO73" i="33"/>
  <c r="AM263" i="33"/>
  <c r="AM189" i="33"/>
  <c r="AM250" i="33"/>
  <c r="AM150" i="33"/>
  <c r="AN150" i="33"/>
  <c r="AM76" i="33"/>
  <c r="AM69" i="33"/>
  <c r="AK73" i="33"/>
  <c r="AL73" i="33"/>
  <c r="AK69" i="33"/>
  <c r="AL69" i="33"/>
  <c r="AL14" i="33"/>
  <c r="AL16" i="33"/>
  <c r="AK145" i="33"/>
  <c r="AK76" i="33"/>
  <c r="AL76" i="33"/>
  <c r="AK291" i="33"/>
  <c r="AI273" i="33"/>
  <c r="AH218" i="33"/>
  <c r="AG218" i="33"/>
  <c r="AJ263" i="33"/>
  <c r="AJ150" i="33"/>
  <c r="AJ189" i="33"/>
  <c r="AJ250" i="33"/>
  <c r="AK150" i="33"/>
  <c r="AK189" i="33"/>
  <c r="AK263" i="33"/>
  <c r="AP112" i="33"/>
  <c r="AO111" i="33"/>
  <c r="AP109" i="33"/>
  <c r="AO108" i="33"/>
  <c r="AO19" i="33"/>
  <c r="AP105" i="33"/>
  <c r="AO104" i="33"/>
  <c r="AO16" i="33"/>
  <c r="AO150" i="33"/>
  <c r="AQ103" i="33"/>
  <c r="AP108" i="33"/>
  <c r="AQ108" i="33"/>
  <c r="AP104" i="33"/>
  <c r="AQ104" i="33"/>
  <c r="AQ105" i="33"/>
  <c r="AP111" i="33"/>
  <c r="AQ111" i="33"/>
  <c r="AQ112" i="33"/>
  <c r="AO144" i="33"/>
  <c r="AP14" i="33"/>
  <c r="AQ14" i="33"/>
  <c r="AM253" i="33"/>
  <c r="AP58" i="33"/>
  <c r="AP57" i="33"/>
  <c r="AP71" i="33"/>
  <c r="AP18" i="33"/>
  <c r="AQ18" i="33"/>
  <c r="AP68" i="33"/>
  <c r="AP73" i="33"/>
  <c r="AP13" i="33"/>
  <c r="AQ13" i="33"/>
  <c r="AN253" i="33"/>
  <c r="AM21" i="33"/>
  <c r="AN76" i="33"/>
  <c r="AN21" i="33"/>
  <c r="AN69" i="33"/>
  <c r="AN17" i="33"/>
  <c r="AN190" i="33"/>
  <c r="AM17" i="33"/>
  <c r="AL77" i="33"/>
  <c r="AL74" i="33"/>
  <c r="AL70" i="33"/>
  <c r="AK250" i="33"/>
  <c r="AJ253" i="33"/>
  <c r="AI218" i="33"/>
  <c r="AJ273" i="33"/>
  <c r="AL150" i="33"/>
  <c r="AL189" i="33"/>
  <c r="AK253" i="33"/>
  <c r="AL263" i="33"/>
  <c r="AP19" i="33"/>
  <c r="AQ19" i="33"/>
  <c r="AP145" i="33"/>
  <c r="AQ109" i="33"/>
  <c r="AO250" i="33"/>
  <c r="AO263" i="33"/>
  <c r="AO189" i="33"/>
  <c r="AO253" i="33"/>
  <c r="AQ68" i="33"/>
  <c r="AQ71" i="33"/>
  <c r="AQ72" i="33"/>
  <c r="AQ16" i="33"/>
  <c r="AQ150" i="33"/>
  <c r="AP16" i="33"/>
  <c r="AP189" i="33"/>
  <c r="AQ73" i="33"/>
  <c r="AQ74" i="33"/>
  <c r="AP144" i="33"/>
  <c r="AP263" i="33"/>
  <c r="AQ263" i="33"/>
  <c r="AQ294" i="33"/>
  <c r="AP250" i="33"/>
  <c r="AP150" i="33"/>
  <c r="AP76" i="33"/>
  <c r="AP21" i="33"/>
  <c r="AO76" i="33"/>
  <c r="AO21" i="33"/>
  <c r="AP69" i="33"/>
  <c r="AP17" i="33"/>
  <c r="AP190" i="33"/>
  <c r="AO69" i="33"/>
  <c r="AM190" i="33"/>
  <c r="AN254" i="33"/>
  <c r="AL253" i="33"/>
  <c r="AL250" i="33"/>
  <c r="AK273" i="33"/>
  <c r="AJ218" i="33"/>
  <c r="AL294" i="33"/>
  <c r="AQ250" i="33"/>
  <c r="AQ21" i="33"/>
  <c r="AQ189" i="33"/>
  <c r="AP253" i="33"/>
  <c r="AQ253" i="33"/>
  <c r="AQ76" i="33"/>
  <c r="AQ77" i="33"/>
  <c r="AQ190" i="33"/>
  <c r="AO17" i="33"/>
  <c r="AQ69" i="33"/>
  <c r="AQ70" i="33"/>
  <c r="AL273" i="33"/>
  <c r="AM273" i="33"/>
  <c r="AK218" i="33"/>
  <c r="AM218" i="33"/>
  <c r="AO190" i="33"/>
  <c r="AQ17" i="33"/>
  <c r="AN273" i="33"/>
  <c r="AL218" i="33"/>
  <c r="AO254" i="33"/>
  <c r="AP254" i="33"/>
  <c r="AO273" i="33"/>
  <c r="AN218" i="33"/>
  <c r="L68" i="33"/>
  <c r="AO218" i="33"/>
  <c r="AP273" i="33"/>
  <c r="AQ273" i="33"/>
  <c r="L77" i="33"/>
  <c r="L70" i="33"/>
  <c r="L74" i="33"/>
  <c r="M68" i="33"/>
  <c r="AP218" i="33"/>
  <c r="AQ218" i="33"/>
  <c r="L80" i="33"/>
  <c r="M80" i="33"/>
  <c r="L81" i="33"/>
  <c r="M81" i="33"/>
  <c r="L103" i="33"/>
  <c r="L105" i="33"/>
  <c r="M103" i="33"/>
  <c r="L109" i="33"/>
  <c r="L112" i="33"/>
  <c r="L145" i="33"/>
  <c r="M105" i="33"/>
  <c r="M112" i="33"/>
  <c r="M109" i="33"/>
  <c r="L116" i="33"/>
  <c r="M116" i="33"/>
  <c r="M117" i="33"/>
  <c r="L148" i="33"/>
  <c r="L117" i="33"/>
  <c r="N211" i="33"/>
  <c r="N177" i="33"/>
  <c r="N216" i="33"/>
  <c r="N179" i="33"/>
  <c r="N26" i="33"/>
  <c r="N182" i="33"/>
  <c r="N36" i="33"/>
  <c r="L42" i="33"/>
  <c r="D34" i="35"/>
  <c r="L156" i="33"/>
  <c r="M39" i="33"/>
  <c r="D31" i="35"/>
  <c r="L40" i="33"/>
  <c r="M38" i="33"/>
  <c r="L41" i="33"/>
  <c r="D30" i="35"/>
  <c r="M42" i="33"/>
  <c r="M41" i="33"/>
  <c r="M40" i="33"/>
  <c r="D32" i="35"/>
  <c r="D33" i="35"/>
  <c r="M271" i="33"/>
  <c r="L275" i="33"/>
  <c r="M275" i="33"/>
  <c r="M219" i="33"/>
  <c r="L222" i="33"/>
  <c r="M156" i="33"/>
  <c r="Q39" i="33"/>
  <c r="L236" i="33"/>
  <c r="O275" i="33"/>
  <c r="M222" i="33"/>
  <c r="Q38" i="33"/>
  <c r="S38" i="33"/>
  <c r="S39" i="33"/>
  <c r="P275" i="33"/>
  <c r="X160" i="33"/>
  <c r="Y160" i="33"/>
  <c r="M188" i="33"/>
  <c r="M198" i="33"/>
  <c r="Z160" i="33"/>
  <c r="T39" i="33"/>
  <c r="T38" i="33"/>
  <c r="M193" i="33"/>
  <c r="X161" i="33"/>
  <c r="Y161" i="33"/>
  <c r="U38" i="33"/>
  <c r="U39" i="33"/>
  <c r="M264" i="33"/>
  <c r="L265" i="33"/>
  <c r="M262" i="33"/>
  <c r="AA160" i="33"/>
  <c r="Z161" i="33"/>
  <c r="AA161" i="33"/>
  <c r="M265" i="33"/>
  <c r="AC160" i="33"/>
  <c r="AD160" i="33"/>
  <c r="V38" i="33"/>
  <c r="V39" i="33"/>
  <c r="AC161" i="33"/>
  <c r="X38" i="33"/>
  <c r="AE160" i="33"/>
  <c r="AF160" i="33"/>
  <c r="X39" i="33"/>
  <c r="AD161" i="33"/>
  <c r="AH160" i="33"/>
  <c r="Y39" i="33"/>
  <c r="AE161" i="33"/>
  <c r="Y38" i="33"/>
  <c r="AI160" i="33"/>
  <c r="Z39" i="33"/>
  <c r="AF161" i="33"/>
  <c r="AJ160" i="33"/>
  <c r="Z38" i="33"/>
  <c r="AA39" i="33"/>
  <c r="AA38" i="33"/>
  <c r="AK160" i="33"/>
  <c r="AH161" i="33"/>
  <c r="AM160" i="33"/>
  <c r="AC38" i="33"/>
  <c r="AC39" i="33"/>
  <c r="AI161" i="33"/>
  <c r="AN160" i="33"/>
  <c r="AO160" i="33"/>
  <c r="AP160" i="33"/>
  <c r="AJ161" i="33"/>
  <c r="AD38" i="33"/>
  <c r="AD39" i="33"/>
  <c r="AK161" i="33"/>
  <c r="AE39" i="33"/>
  <c r="AE38" i="33"/>
  <c r="AM161" i="33"/>
  <c r="AF38" i="33"/>
  <c r="AF39" i="33"/>
  <c r="AN161" i="33"/>
  <c r="AO161" i="33"/>
  <c r="AH39" i="33"/>
  <c r="AH38" i="33"/>
  <c r="AP161" i="33"/>
  <c r="AI38" i="33"/>
  <c r="AI39" i="33"/>
  <c r="AJ39" i="33"/>
  <c r="AJ38" i="33"/>
  <c r="AK38" i="33"/>
  <c r="AM38" i="33"/>
  <c r="AK39" i="33"/>
  <c r="AM39" i="33"/>
  <c r="AN39" i="33"/>
  <c r="AO39" i="33"/>
  <c r="AP39" i="33"/>
  <c r="AN38" i="33"/>
  <c r="AO38" i="33"/>
  <c r="AP38" i="33"/>
  <c r="AP271" i="33"/>
  <c r="AP275" i="33"/>
  <c r="AQ271" i="33"/>
  <c r="AQ275" i="33"/>
  <c r="L233" i="33"/>
  <c r="M203" i="33"/>
  <c r="L211" i="33"/>
  <c r="L216" i="33"/>
  <c r="L223" i="33"/>
  <c r="M256" i="33"/>
  <c r="M211" i="33"/>
  <c r="M216" i="33"/>
  <c r="M223" i="33"/>
  <c r="L260" i="33"/>
  <c r="L293" i="33"/>
  <c r="L157" i="33"/>
  <c r="L277" i="33"/>
  <c r="M245" i="33"/>
  <c r="Q239" i="33"/>
  <c r="S239" i="33"/>
  <c r="L279" i="33"/>
  <c r="M260" i="33"/>
  <c r="N141" i="33"/>
  <c r="M277" i="33"/>
  <c r="M293" i="33"/>
  <c r="M157" i="33"/>
  <c r="N23" i="33"/>
  <c r="S204" i="33"/>
  <c r="N142" i="33"/>
  <c r="T239" i="33"/>
  <c r="L187" i="33"/>
  <c r="N116" i="33"/>
  <c r="O141" i="33"/>
  <c r="O142" i="33"/>
  <c r="M187" i="33"/>
  <c r="L284" i="33"/>
  <c r="L154" i="33"/>
  <c r="L192" i="33"/>
  <c r="N25" i="33"/>
  <c r="M279" i="33"/>
  <c r="N117" i="33"/>
  <c r="U239" i="33"/>
  <c r="O114" i="33"/>
  <c r="O79" i="33"/>
  <c r="N27" i="33"/>
  <c r="N151" i="33"/>
  <c r="L201" i="33"/>
  <c r="S259" i="33"/>
  <c r="L286" i="33"/>
  <c r="R278" i="33"/>
  <c r="N278" i="33"/>
  <c r="M154" i="33"/>
  <c r="M284" i="33"/>
  <c r="M192" i="33"/>
  <c r="V239" i="33"/>
  <c r="M201" i="33"/>
  <c r="M286" i="33"/>
  <c r="N152" i="33"/>
  <c r="O80" i="33"/>
  <c r="P141" i="33"/>
  <c r="X239" i="33"/>
  <c r="Y239" i="33"/>
  <c r="Q245" i="33"/>
  <c r="Q138" i="33"/>
  <c r="R138" i="33"/>
  <c r="O116" i="33"/>
  <c r="L234" i="33"/>
  <c r="L224" i="33"/>
  <c r="R141" i="33"/>
  <c r="Q141" i="33"/>
  <c r="O117" i="33"/>
  <c r="Q110" i="33"/>
  <c r="R110" i="33"/>
  <c r="O81" i="33"/>
  <c r="P142" i="33"/>
  <c r="N31" i="33"/>
  <c r="N153" i="33"/>
  <c r="M224" i="33"/>
  <c r="R245" i="33"/>
  <c r="Q75" i="33"/>
  <c r="R75" i="33"/>
  <c r="Q195" i="33"/>
  <c r="Q125" i="33"/>
  <c r="R125" i="33"/>
  <c r="Z239" i="33"/>
  <c r="AA239" i="33"/>
  <c r="R142" i="33"/>
  <c r="R129" i="33"/>
  <c r="P114" i="33"/>
  <c r="P79" i="33"/>
  <c r="N33" i="33"/>
  <c r="R195" i="33"/>
  <c r="AC239" i="33"/>
  <c r="AD239" i="33"/>
  <c r="AE239" i="33"/>
  <c r="Q142" i="33"/>
  <c r="Q20" i="33"/>
  <c r="R131" i="33"/>
  <c r="R132" i="33"/>
  <c r="AF239" i="33"/>
  <c r="P116" i="33"/>
  <c r="S245" i="33"/>
  <c r="S195" i="33"/>
  <c r="N37" i="33"/>
  <c r="P80" i="33"/>
  <c r="N35" i="33"/>
  <c r="N244" i="33"/>
  <c r="R20" i="33"/>
  <c r="AH239" i="33"/>
  <c r="AI239" i="33"/>
  <c r="P117" i="33"/>
  <c r="S110" i="33"/>
  <c r="S138" i="33"/>
  <c r="S75" i="33"/>
  <c r="S125" i="33"/>
  <c r="N42" i="33"/>
  <c r="N40" i="33"/>
  <c r="N41" i="33"/>
  <c r="R106" i="33"/>
  <c r="R111" i="33"/>
  <c r="R108" i="33"/>
  <c r="P81" i="33"/>
  <c r="R73" i="33"/>
  <c r="R76" i="33"/>
  <c r="N260" i="33"/>
  <c r="R74" i="33"/>
  <c r="R112" i="33"/>
  <c r="R77" i="33"/>
  <c r="R109" i="33"/>
  <c r="R107" i="33"/>
  <c r="R104" i="33"/>
  <c r="Q114" i="33"/>
  <c r="Q79" i="33"/>
  <c r="R71" i="33"/>
  <c r="R72" i="33"/>
  <c r="AJ239" i="33"/>
  <c r="N156" i="33"/>
  <c r="N222" i="33"/>
  <c r="Q18" i="33"/>
  <c r="T245" i="33"/>
  <c r="T125" i="33"/>
  <c r="N157" i="33"/>
  <c r="N293" i="33"/>
  <c r="S20" i="33"/>
  <c r="S141" i="33"/>
  <c r="AK239" i="33"/>
  <c r="R114" i="33"/>
  <c r="R105" i="33"/>
  <c r="R79" i="33"/>
  <c r="T195" i="33"/>
  <c r="U245" i="33"/>
  <c r="T75" i="33"/>
  <c r="T138" i="33"/>
  <c r="Q116" i="33"/>
  <c r="N236" i="33"/>
  <c r="N223" i="33"/>
  <c r="Q80" i="33"/>
  <c r="S142" i="33"/>
  <c r="R18" i="33"/>
  <c r="T110" i="33"/>
  <c r="T141" i="33"/>
  <c r="U110" i="33"/>
  <c r="Q117" i="33"/>
  <c r="R116" i="33"/>
  <c r="Q81" i="33"/>
  <c r="R80" i="33"/>
  <c r="U195" i="33"/>
  <c r="T20" i="33"/>
  <c r="U138" i="33"/>
  <c r="U125" i="33"/>
  <c r="U75" i="33"/>
  <c r="T142" i="33"/>
  <c r="S114" i="33"/>
  <c r="S79" i="33"/>
  <c r="R81" i="33"/>
  <c r="V245" i="33"/>
  <c r="V110" i="33"/>
  <c r="U141" i="33"/>
  <c r="R117" i="33"/>
  <c r="U20" i="33"/>
  <c r="S18" i="33"/>
  <c r="W110" i="33"/>
  <c r="V195" i="33"/>
  <c r="W195" i="33"/>
  <c r="W245" i="33"/>
  <c r="U142" i="33"/>
  <c r="N265" i="33"/>
  <c r="V138" i="33"/>
  <c r="W138" i="33"/>
  <c r="V75" i="33"/>
  <c r="W75" i="33"/>
  <c r="V125" i="33"/>
  <c r="S116" i="33"/>
  <c r="S80" i="33"/>
  <c r="W141" i="33"/>
  <c r="W125" i="33"/>
  <c r="W79" i="33"/>
  <c r="W114" i="33"/>
  <c r="V20" i="33"/>
  <c r="N277" i="33"/>
  <c r="S117" i="33"/>
  <c r="V141" i="33"/>
  <c r="X245" i="33"/>
  <c r="X138" i="33"/>
  <c r="S81" i="33"/>
  <c r="W142" i="33"/>
  <c r="X110" i="33"/>
  <c r="W129" i="33"/>
  <c r="X125" i="33"/>
  <c r="X129" i="33"/>
  <c r="X131" i="33"/>
  <c r="X132" i="33"/>
  <c r="X114" i="33"/>
  <c r="X116" i="33"/>
  <c r="X117" i="33"/>
  <c r="T114" i="33"/>
  <c r="T79" i="33"/>
  <c r="X141" i="33"/>
  <c r="N279" i="33"/>
  <c r="X195" i="33"/>
  <c r="W20" i="33"/>
  <c r="X75" i="33"/>
  <c r="V142" i="33"/>
  <c r="T18" i="33"/>
  <c r="W131" i="33"/>
  <c r="W132" i="33"/>
  <c r="T80" i="33"/>
  <c r="Y245" i="33"/>
  <c r="X142" i="33"/>
  <c r="T116" i="33"/>
  <c r="X20" i="33"/>
  <c r="O278" i="33"/>
  <c r="N187" i="33"/>
  <c r="N154" i="33"/>
  <c r="Y75" i="33"/>
  <c r="Y125" i="33"/>
  <c r="Y110" i="33"/>
  <c r="Y114" i="33"/>
  <c r="Y116" i="33"/>
  <c r="Y117" i="33"/>
  <c r="Y195" i="33"/>
  <c r="Z245" i="33"/>
  <c r="T117" i="33"/>
  <c r="T81" i="33"/>
  <c r="N284" i="33"/>
  <c r="N192" i="33"/>
  <c r="Y138" i="33"/>
  <c r="Z125" i="33"/>
  <c r="Y129" i="33"/>
  <c r="Y131" i="33"/>
  <c r="Y132" i="33"/>
  <c r="Z110" i="33"/>
  <c r="U114" i="33"/>
  <c r="U79" i="33"/>
  <c r="Z195" i="33"/>
  <c r="N201" i="33"/>
  <c r="N234" i="33"/>
  <c r="U18" i="33"/>
  <c r="Z138" i="33"/>
  <c r="Y141" i="33"/>
  <c r="N286" i="33"/>
  <c r="Y20" i="33"/>
  <c r="Z75" i="33"/>
  <c r="AA245" i="33"/>
  <c r="Z129" i="33"/>
  <c r="Z131" i="33"/>
  <c r="Z132" i="33"/>
  <c r="AA110" i="33"/>
  <c r="AB110" i="33"/>
  <c r="Z114" i="33"/>
  <c r="Z116" i="33"/>
  <c r="AB245" i="33"/>
  <c r="AA75" i="33"/>
  <c r="AB75" i="33"/>
  <c r="Z20" i="33"/>
  <c r="AA138" i="33"/>
  <c r="AB138" i="33"/>
  <c r="Z141" i="33"/>
  <c r="U116" i="33"/>
  <c r="U80" i="33"/>
  <c r="N224" i="33"/>
  <c r="Y142" i="33"/>
  <c r="AA195" i="33"/>
  <c r="AA125" i="33"/>
  <c r="AA129" i="33"/>
  <c r="AA131" i="33"/>
  <c r="AA132" i="33"/>
  <c r="AB141" i="33"/>
  <c r="AA114" i="33"/>
  <c r="AA116" i="33"/>
  <c r="AA117" i="33"/>
  <c r="AB79" i="33"/>
  <c r="Z117" i="33"/>
  <c r="AB114" i="33"/>
  <c r="U117" i="33"/>
  <c r="V114" i="33"/>
  <c r="Z142" i="33"/>
  <c r="U81" i="33"/>
  <c r="AA141" i="33"/>
  <c r="AB195" i="33"/>
  <c r="AA20" i="33"/>
  <c r="AB125" i="33"/>
  <c r="AB116" i="33"/>
  <c r="AB117" i="33"/>
  <c r="AB142" i="33"/>
  <c r="AB129" i="33"/>
  <c r="V79" i="33"/>
  <c r="AC245" i="33"/>
  <c r="AA142" i="33"/>
  <c r="AB20" i="33"/>
  <c r="V18" i="33"/>
  <c r="AC110" i="33"/>
  <c r="AC114" i="33"/>
  <c r="AC116" i="33"/>
  <c r="AC117" i="33"/>
  <c r="AC125" i="33"/>
  <c r="AC129" i="33"/>
  <c r="AC131" i="33"/>
  <c r="AC132" i="33"/>
  <c r="AB131" i="33"/>
  <c r="AB132" i="33"/>
  <c r="V80" i="33"/>
  <c r="W80" i="33"/>
  <c r="W81" i="33"/>
  <c r="V116" i="33"/>
  <c r="W116" i="33"/>
  <c r="W117" i="33"/>
  <c r="W18" i="33"/>
  <c r="AC75" i="33"/>
  <c r="AC138" i="33"/>
  <c r="AC195" i="33"/>
  <c r="AC141" i="33"/>
  <c r="V117" i="33"/>
  <c r="AC20" i="33"/>
  <c r="V81" i="33"/>
  <c r="AD245" i="33"/>
  <c r="AD138" i="33"/>
  <c r="AD125" i="33"/>
  <c r="AD110" i="33"/>
  <c r="AD114" i="33"/>
  <c r="AD116" i="33"/>
  <c r="AD117" i="33"/>
  <c r="X79" i="33"/>
  <c r="AD195" i="33"/>
  <c r="AD75" i="33"/>
  <c r="X18" i="33"/>
  <c r="AC142" i="33"/>
  <c r="AD141" i="33"/>
  <c r="AD129" i="33"/>
  <c r="AD131" i="33"/>
  <c r="AD132" i="33"/>
  <c r="AE245" i="33"/>
  <c r="AD20" i="33"/>
  <c r="X80" i="33"/>
  <c r="AE110" i="33"/>
  <c r="AE114" i="33"/>
  <c r="AE116" i="33"/>
  <c r="AE117" i="33"/>
  <c r="AE195" i="33"/>
  <c r="AE138" i="33"/>
  <c r="AE141" i="33"/>
  <c r="AE75" i="33"/>
  <c r="AD142" i="33"/>
  <c r="AE125" i="33"/>
  <c r="X81" i="33"/>
  <c r="AF245" i="33"/>
  <c r="AE20" i="33"/>
  <c r="AF75" i="33"/>
  <c r="AG75" i="33"/>
  <c r="AF125" i="33"/>
  <c r="AG125" i="33"/>
  <c r="AE129" i="33"/>
  <c r="AE131" i="33"/>
  <c r="AE132" i="33"/>
  <c r="AF110" i="33"/>
  <c r="AG79" i="33"/>
  <c r="Y79" i="33"/>
  <c r="AF195" i="33"/>
  <c r="AE142" i="33"/>
  <c r="AF138" i="33"/>
  <c r="AG138" i="33"/>
  <c r="Y18" i="33"/>
  <c r="AG245" i="33"/>
  <c r="AG141" i="33"/>
  <c r="AF129" i="33"/>
  <c r="AF131" i="33"/>
  <c r="AF132" i="33"/>
  <c r="AG129" i="33"/>
  <c r="AF114" i="33"/>
  <c r="AF116" i="33"/>
  <c r="AG110" i="33"/>
  <c r="AG195" i="33"/>
  <c r="AH245" i="33"/>
  <c r="AH110" i="33"/>
  <c r="AF141" i="33"/>
  <c r="Y80" i="33"/>
  <c r="AF20" i="33"/>
  <c r="AG142" i="33"/>
  <c r="AH125" i="33"/>
  <c r="AH129" i="33"/>
  <c r="AH131" i="33"/>
  <c r="AH132" i="33"/>
  <c r="AG131" i="33"/>
  <c r="AG132" i="33"/>
  <c r="AH114" i="33"/>
  <c r="AH116" i="33"/>
  <c r="AH117" i="33"/>
  <c r="AG114" i="33"/>
  <c r="AF117" i="33"/>
  <c r="AG116" i="33"/>
  <c r="AG117" i="33"/>
  <c r="AH138" i="33"/>
  <c r="AH75" i="33"/>
  <c r="AG20" i="33"/>
  <c r="AH195" i="33"/>
  <c r="Y81" i="33"/>
  <c r="AF142" i="33"/>
  <c r="Z79" i="33"/>
  <c r="AH141" i="33"/>
  <c r="Z18" i="33"/>
  <c r="AI245" i="33"/>
  <c r="AH20" i="33"/>
  <c r="AI110" i="33"/>
  <c r="AI114" i="33"/>
  <c r="AI116" i="33"/>
  <c r="AI117" i="33"/>
  <c r="AI125" i="33"/>
  <c r="AH142" i="33"/>
  <c r="AI75" i="33"/>
  <c r="AI195" i="33"/>
  <c r="AJ245" i="33"/>
  <c r="Z80" i="33"/>
  <c r="AI138" i="33"/>
  <c r="AJ125" i="33"/>
  <c r="AI129" i="33"/>
  <c r="AI131" i="33"/>
  <c r="AI132" i="33"/>
  <c r="AJ110" i="33"/>
  <c r="AJ195" i="33"/>
  <c r="AK245" i="33"/>
  <c r="AI20" i="33"/>
  <c r="AJ75" i="33"/>
  <c r="AI141" i="33"/>
  <c r="AJ138" i="33"/>
  <c r="Z81" i="33"/>
  <c r="AK125" i="33"/>
  <c r="AJ129" i="33"/>
  <c r="AJ131" i="33"/>
  <c r="AJ132" i="33"/>
  <c r="AK110" i="33"/>
  <c r="AJ114" i="33"/>
  <c r="AJ116" i="33"/>
  <c r="AA79" i="33"/>
  <c r="AK195" i="33"/>
  <c r="AL245" i="33"/>
  <c r="AK75" i="33"/>
  <c r="AJ20" i="33"/>
  <c r="AI142" i="33"/>
  <c r="AJ141" i="33"/>
  <c r="AK138" i="33"/>
  <c r="AA18" i="33"/>
  <c r="AL138" i="33"/>
  <c r="AL141" i="33"/>
  <c r="AL75" i="33"/>
  <c r="AK114" i="33"/>
  <c r="AK116" i="33"/>
  <c r="AK117" i="33"/>
  <c r="AL110" i="33"/>
  <c r="AL114" i="33"/>
  <c r="AK129" i="33"/>
  <c r="AK131" i="33"/>
  <c r="AK132" i="33"/>
  <c r="AL125" i="33"/>
  <c r="AL195" i="33"/>
  <c r="AM245" i="33"/>
  <c r="AM195" i="33"/>
  <c r="AJ117" i="33"/>
  <c r="AL116" i="33"/>
  <c r="AL117" i="33"/>
  <c r="AL79" i="33"/>
  <c r="AK141" i="33"/>
  <c r="AK20" i="33"/>
  <c r="AJ142" i="33"/>
  <c r="AB18" i="33"/>
  <c r="AA80" i="33"/>
  <c r="AB80" i="33"/>
  <c r="AB81" i="33"/>
  <c r="AN245" i="33"/>
  <c r="AN195" i="33"/>
  <c r="AM110" i="33"/>
  <c r="AM125" i="33"/>
  <c r="AM75" i="33"/>
  <c r="AM138" i="33"/>
  <c r="AL142" i="33"/>
  <c r="AL129" i="33"/>
  <c r="AL20" i="33"/>
  <c r="AK142" i="33"/>
  <c r="AA81" i="33"/>
  <c r="AO245" i="33"/>
  <c r="AO195" i="33"/>
  <c r="AM141" i="33"/>
  <c r="AM142" i="33"/>
  <c r="AN138" i="33"/>
  <c r="AM20" i="33"/>
  <c r="AN75" i="33"/>
  <c r="AM79" i="33"/>
  <c r="AM80" i="33"/>
  <c r="AM129" i="33"/>
  <c r="AM131" i="33"/>
  <c r="AM132" i="33"/>
  <c r="AN125" i="33"/>
  <c r="AM114" i="33"/>
  <c r="AM116" i="33"/>
  <c r="AN110" i="33"/>
  <c r="AL131" i="33"/>
  <c r="AL132" i="33"/>
  <c r="AC79" i="33"/>
  <c r="AC18" i="33"/>
  <c r="AM81" i="33"/>
  <c r="AN129" i="33"/>
  <c r="AN131" i="33"/>
  <c r="AN132" i="33"/>
  <c r="AO125" i="33"/>
  <c r="AO138" i="33"/>
  <c r="AN141" i="33"/>
  <c r="AN142" i="33"/>
  <c r="AM117" i="33"/>
  <c r="AO110" i="33"/>
  <c r="AN114" i="33"/>
  <c r="AN116" i="33"/>
  <c r="AN117" i="33"/>
  <c r="AO75" i="33"/>
  <c r="AN20" i="33"/>
  <c r="AN23" i="33"/>
  <c r="AN25" i="33"/>
  <c r="AN79" i="33"/>
  <c r="AN80" i="33"/>
  <c r="AM23" i="33"/>
  <c r="AM25" i="33"/>
  <c r="AP245" i="33"/>
  <c r="AQ245" i="33"/>
  <c r="AC80" i="33"/>
  <c r="AP195" i="33"/>
  <c r="AQ195" i="33"/>
  <c r="AN148" i="33"/>
  <c r="AN81" i="33"/>
  <c r="AN27" i="33"/>
  <c r="AN151" i="33"/>
  <c r="AO20" i="33"/>
  <c r="AO23" i="33"/>
  <c r="AO25" i="33"/>
  <c r="AP75" i="33"/>
  <c r="AQ75" i="33"/>
  <c r="AQ79" i="33"/>
  <c r="AO79" i="33"/>
  <c r="AO80" i="33"/>
  <c r="AP138" i="33"/>
  <c r="AP141" i="33"/>
  <c r="AP142" i="33"/>
  <c r="AO141" i="33"/>
  <c r="AO142" i="33"/>
  <c r="AM27" i="33"/>
  <c r="AM151" i="33"/>
  <c r="AP110" i="33"/>
  <c r="AP114" i="33"/>
  <c r="AP116" i="33"/>
  <c r="AP117" i="33"/>
  <c r="AO114" i="33"/>
  <c r="AO116" i="33"/>
  <c r="AO117" i="33"/>
  <c r="AP125" i="33"/>
  <c r="AO129" i="33"/>
  <c r="AO131" i="33"/>
  <c r="AO132" i="33"/>
  <c r="AM148" i="33"/>
  <c r="AC81" i="33"/>
  <c r="AQ138" i="33"/>
  <c r="AQ141" i="33"/>
  <c r="AQ142" i="33"/>
  <c r="AQ110" i="33"/>
  <c r="AQ114" i="33"/>
  <c r="AQ116" i="33"/>
  <c r="AQ117" i="33"/>
  <c r="AM152" i="33"/>
  <c r="AO148" i="33"/>
  <c r="AO81" i="33"/>
  <c r="AP20" i="33"/>
  <c r="AP79" i="33"/>
  <c r="AP80" i="33"/>
  <c r="AP129" i="33"/>
  <c r="AP131" i="33"/>
  <c r="AP132" i="33"/>
  <c r="AQ125" i="33"/>
  <c r="AQ129" i="33"/>
  <c r="AQ131" i="33"/>
  <c r="AQ132" i="33"/>
  <c r="AO27" i="33"/>
  <c r="AO151" i="33"/>
  <c r="AN152" i="33"/>
  <c r="AD79" i="33"/>
  <c r="AD18" i="33"/>
  <c r="AP23" i="33"/>
  <c r="AP25" i="33"/>
  <c r="AP148" i="33"/>
  <c r="AQ20" i="33"/>
  <c r="AQ23" i="33"/>
  <c r="AQ25" i="33"/>
  <c r="AQ295" i="33"/>
  <c r="AO152" i="33"/>
  <c r="AP81" i="33"/>
  <c r="AQ80" i="33"/>
  <c r="AQ81" i="33"/>
  <c r="AD80" i="33"/>
  <c r="AQ151" i="33"/>
  <c r="AQ27" i="33"/>
  <c r="AP27" i="33"/>
  <c r="AP151" i="33"/>
  <c r="AD81" i="33"/>
  <c r="AP152" i="33"/>
  <c r="AQ152" i="33"/>
  <c r="AE79" i="33"/>
  <c r="AE18" i="33"/>
  <c r="AE80" i="33"/>
  <c r="AE81" i="33"/>
  <c r="AF79" i="33"/>
  <c r="AF18" i="33"/>
  <c r="AG18" i="33"/>
  <c r="AF80" i="33"/>
  <c r="AG80" i="33"/>
  <c r="AG81" i="33"/>
  <c r="AF81" i="33"/>
  <c r="AH79" i="33"/>
  <c r="AH18" i="33"/>
  <c r="AH80" i="33"/>
  <c r="AH81" i="33"/>
  <c r="AI79" i="33"/>
  <c r="AI18" i="33"/>
  <c r="AI80" i="33"/>
  <c r="AI81" i="33"/>
  <c r="AJ79" i="33"/>
  <c r="AJ18" i="33"/>
  <c r="AJ80" i="33"/>
  <c r="AJ81" i="33"/>
  <c r="AK79" i="33"/>
  <c r="AK18" i="33"/>
  <c r="AK80" i="33"/>
  <c r="AL80" i="33"/>
  <c r="AL81" i="33"/>
  <c r="AL18" i="33"/>
  <c r="AK81" i="33"/>
  <c r="N131" i="33"/>
  <c r="N132" i="33"/>
  <c r="N148" i="33"/>
  <c r="O129" i="33"/>
  <c r="O23" i="33"/>
  <c r="O131" i="33"/>
  <c r="O177" i="33"/>
  <c r="O211" i="33"/>
  <c r="T204" i="33"/>
  <c r="O25" i="33"/>
  <c r="O148" i="33"/>
  <c r="O132" i="33"/>
  <c r="P129" i="33"/>
  <c r="O31" i="33"/>
  <c r="O153" i="33"/>
  <c r="O151" i="33"/>
  <c r="O216" i="33"/>
  <c r="T259" i="33"/>
  <c r="O179" i="33"/>
  <c r="O182" i="33"/>
  <c r="O26" i="33"/>
  <c r="O33" i="33"/>
  <c r="P131" i="33"/>
  <c r="P23" i="33"/>
  <c r="O244" i="33"/>
  <c r="O35" i="33"/>
  <c r="Q129" i="33"/>
  <c r="P132" i="33"/>
  <c r="O36" i="33"/>
  <c r="U204" i="33"/>
  <c r="P25" i="33"/>
  <c r="P148" i="33"/>
  <c r="O27" i="33"/>
  <c r="P177" i="33"/>
  <c r="P211" i="33"/>
  <c r="U259" i="33"/>
  <c r="Q17" i="33"/>
  <c r="P151" i="33"/>
  <c r="P216" i="33"/>
  <c r="O37" i="33"/>
  <c r="O152" i="33"/>
  <c r="O41" i="33"/>
  <c r="O40" i="33"/>
  <c r="P179" i="33"/>
  <c r="P182" i="33"/>
  <c r="Q21" i="33"/>
  <c r="Q22" i="33"/>
  <c r="Q19" i="33"/>
  <c r="O260" i="33"/>
  <c r="O222" i="33"/>
  <c r="O42" i="33"/>
  <c r="O293" i="33"/>
  <c r="O157" i="33"/>
  <c r="P26" i="33"/>
  <c r="R21" i="33"/>
  <c r="Q131" i="33"/>
  <c r="Q23" i="33"/>
  <c r="R19" i="33"/>
  <c r="Q190" i="33"/>
  <c r="R17" i="33"/>
  <c r="R22" i="33"/>
  <c r="P27" i="33"/>
  <c r="Q177" i="33"/>
  <c r="R23" i="33"/>
  <c r="Q254" i="33"/>
  <c r="R190" i="33"/>
  <c r="O156" i="33"/>
  <c r="Q211" i="33"/>
  <c r="Q216" i="33"/>
  <c r="R203" i="33"/>
  <c r="R211" i="33"/>
  <c r="R216" i="33"/>
  <c r="Q256" i="33"/>
  <c r="O223" i="33"/>
  <c r="O236" i="33"/>
  <c r="P36" i="33"/>
  <c r="Q25" i="33"/>
  <c r="V204" i="33"/>
  <c r="Q132" i="33"/>
  <c r="Q148" i="33"/>
  <c r="S129" i="33"/>
  <c r="R254" i="33"/>
  <c r="V259" i="33"/>
  <c r="W204" i="33"/>
  <c r="Q151" i="33"/>
  <c r="S22" i="33"/>
  <c r="S19" i="33"/>
  <c r="R25" i="33"/>
  <c r="P152" i="33"/>
  <c r="S21" i="33"/>
  <c r="S211" i="33"/>
  <c r="S216" i="33"/>
  <c r="S17" i="33"/>
  <c r="R256" i="33"/>
  <c r="Q179" i="33"/>
  <c r="R151" i="33"/>
  <c r="S190" i="33"/>
  <c r="W259" i="33"/>
  <c r="S23" i="33"/>
  <c r="S172" i="33"/>
  <c r="S131" i="33"/>
  <c r="Q181" i="33"/>
  <c r="Q26" i="33"/>
  <c r="S132" i="33"/>
  <c r="S176" i="33"/>
  <c r="S254" i="33"/>
  <c r="Q36" i="33"/>
  <c r="X204" i="33"/>
  <c r="S25" i="33"/>
  <c r="T129" i="33"/>
  <c r="O265" i="33"/>
  <c r="Q27" i="33"/>
  <c r="Q152" i="33"/>
  <c r="R26" i="33"/>
  <c r="R27" i="33"/>
  <c r="R36" i="33"/>
  <c r="X259" i="33"/>
  <c r="S151" i="33"/>
  <c r="T17" i="33"/>
  <c r="T19" i="33"/>
  <c r="O277" i="33"/>
  <c r="T21" i="33"/>
  <c r="S148" i="33"/>
  <c r="T22" i="33"/>
  <c r="S177" i="33"/>
  <c r="T172" i="33"/>
  <c r="R152" i="33"/>
  <c r="T131" i="33"/>
  <c r="O279" i="33"/>
  <c r="T190" i="33"/>
  <c r="T256" i="33"/>
  <c r="T23" i="33"/>
  <c r="S179" i="33"/>
  <c r="T176" i="33"/>
  <c r="P278" i="33"/>
  <c r="O187" i="33"/>
  <c r="O154" i="33"/>
  <c r="T254" i="33"/>
  <c r="T132" i="33"/>
  <c r="U129" i="33"/>
  <c r="S26" i="33"/>
  <c r="S181" i="33"/>
  <c r="T25" i="33"/>
  <c r="T148" i="33"/>
  <c r="Y204" i="33"/>
  <c r="T177" i="33"/>
  <c r="T211" i="33"/>
  <c r="T216" i="33"/>
  <c r="S27" i="33"/>
  <c r="U22" i="33"/>
  <c r="U17" i="33"/>
  <c r="U19" i="33"/>
  <c r="T179" i="33"/>
  <c r="T151" i="33"/>
  <c r="O192" i="33"/>
  <c r="O284" i="33"/>
  <c r="U21" i="33"/>
  <c r="Y259" i="33"/>
  <c r="S36" i="33"/>
  <c r="U23" i="33"/>
  <c r="U190" i="33"/>
  <c r="U131" i="33"/>
  <c r="T26" i="33"/>
  <c r="T181" i="33"/>
  <c r="U172" i="33"/>
  <c r="O286" i="33"/>
  <c r="S152" i="33"/>
  <c r="U256" i="33"/>
  <c r="O201" i="33"/>
  <c r="O234" i="33"/>
  <c r="P31" i="33"/>
  <c r="P153" i="33"/>
  <c r="U254" i="33"/>
  <c r="U176" i="33"/>
  <c r="O224" i="33"/>
  <c r="U132" i="33"/>
  <c r="T27" i="33"/>
  <c r="T36" i="33"/>
  <c r="Z204" i="33"/>
  <c r="U25" i="33"/>
  <c r="U148" i="33"/>
  <c r="T153" i="33"/>
  <c r="V129" i="33"/>
  <c r="Z259" i="33"/>
  <c r="V17" i="33"/>
  <c r="V19" i="33"/>
  <c r="V22" i="33"/>
  <c r="P37" i="33"/>
  <c r="V21" i="33"/>
  <c r="U151" i="33"/>
  <c r="T152" i="33"/>
  <c r="U177" i="33"/>
  <c r="P33" i="33"/>
  <c r="V172" i="33"/>
  <c r="W22" i="33"/>
  <c r="V23" i="33"/>
  <c r="W19" i="33"/>
  <c r="V131" i="33"/>
  <c r="P42" i="33"/>
  <c r="V190" i="33"/>
  <c r="W17" i="33"/>
  <c r="W21" i="33"/>
  <c r="U179" i="33"/>
  <c r="V176" i="33"/>
  <c r="P244" i="33"/>
  <c r="P35" i="33"/>
  <c r="V254" i="33"/>
  <c r="W190" i="33"/>
  <c r="P40" i="33"/>
  <c r="P41" i="33"/>
  <c r="P260" i="33"/>
  <c r="U26" i="33"/>
  <c r="U181" i="33"/>
  <c r="V25" i="33"/>
  <c r="V148" i="33"/>
  <c r="AA204" i="33"/>
  <c r="V132" i="33"/>
  <c r="P156" i="33"/>
  <c r="W23" i="33"/>
  <c r="V177" i="33"/>
  <c r="X21" i="33"/>
  <c r="P157" i="33"/>
  <c r="P293" i="33"/>
  <c r="U36" i="33"/>
  <c r="X17" i="33"/>
  <c r="X22" i="33"/>
  <c r="W254" i="33"/>
  <c r="W25" i="33"/>
  <c r="W295" i="33"/>
  <c r="X19" i="33"/>
  <c r="P222" i="33"/>
  <c r="AA259" i="33"/>
  <c r="AB204" i="33"/>
  <c r="V151" i="33"/>
  <c r="U27" i="33"/>
  <c r="V179" i="33"/>
  <c r="AB259" i="33"/>
  <c r="P223" i="33"/>
  <c r="P236" i="33"/>
  <c r="X23" i="33"/>
  <c r="V26" i="33"/>
  <c r="V181" i="33"/>
  <c r="W151" i="33"/>
  <c r="U152" i="33"/>
  <c r="X172" i="33"/>
  <c r="X190" i="33"/>
  <c r="X211" i="33"/>
  <c r="X216" i="33"/>
  <c r="X25" i="33"/>
  <c r="X148" i="33"/>
  <c r="AC204" i="33"/>
  <c r="X176" i="33"/>
  <c r="V36" i="33"/>
  <c r="V27" i="33"/>
  <c r="W26" i="33"/>
  <c r="X254" i="33"/>
  <c r="W27" i="33"/>
  <c r="Y17" i="33"/>
  <c r="V152" i="33"/>
  <c r="AC259" i="33"/>
  <c r="Y21" i="33"/>
  <c r="Y22" i="33"/>
  <c r="W36" i="33"/>
  <c r="X177" i="33"/>
  <c r="Y19" i="33"/>
  <c r="X151" i="33"/>
  <c r="Y190" i="33"/>
  <c r="Y23" i="33"/>
  <c r="X179" i="33"/>
  <c r="Y172" i="33"/>
  <c r="P265" i="33"/>
  <c r="W152" i="33"/>
  <c r="P277" i="33"/>
  <c r="X181" i="33"/>
  <c r="X26" i="33"/>
  <c r="Y176" i="33"/>
  <c r="AD204" i="33"/>
  <c r="Y25" i="33"/>
  <c r="Y148" i="33"/>
  <c r="Y254" i="33"/>
  <c r="AD259" i="33"/>
  <c r="Z21" i="33"/>
  <c r="X36" i="33"/>
  <c r="P279" i="33"/>
  <c r="Z17" i="33"/>
  <c r="Z22" i="33"/>
  <c r="Z19" i="33"/>
  <c r="X27" i="33"/>
  <c r="Y177" i="33"/>
  <c r="Y151" i="33"/>
  <c r="Y179" i="33"/>
  <c r="Z23" i="33"/>
  <c r="X152" i="33"/>
  <c r="Z172" i="33"/>
  <c r="Z176" i="33"/>
  <c r="P187" i="33"/>
  <c r="P154" i="33"/>
  <c r="Q278" i="33"/>
  <c r="Z190" i="33"/>
  <c r="Q154" i="33"/>
  <c r="Q29" i="33"/>
  <c r="P192" i="33"/>
  <c r="P284" i="33"/>
  <c r="Z177" i="33"/>
  <c r="Y181" i="33"/>
  <c r="Y26" i="33"/>
  <c r="Z25" i="33"/>
  <c r="Z148" i="33"/>
  <c r="AE204" i="33"/>
  <c r="Z254" i="33"/>
  <c r="S154" i="33"/>
  <c r="AA21" i="33"/>
  <c r="AA19" i="33"/>
  <c r="AE259" i="33"/>
  <c r="Z151" i="33"/>
  <c r="Y27" i="33"/>
  <c r="Z179" i="33"/>
  <c r="P286" i="33"/>
  <c r="AA17" i="33"/>
  <c r="Y36" i="33"/>
  <c r="P201" i="33"/>
  <c r="P234" i="33"/>
  <c r="AA22" i="33"/>
  <c r="Q31" i="33"/>
  <c r="R29" i="33"/>
  <c r="Q234" i="33"/>
  <c r="T154" i="33"/>
  <c r="AA190" i="33"/>
  <c r="AB17" i="33"/>
  <c r="R31" i="33"/>
  <c r="Q32" i="33"/>
  <c r="Q33" i="33"/>
  <c r="Y152" i="33"/>
  <c r="AA23" i="33"/>
  <c r="AB19" i="33"/>
  <c r="AA172" i="33"/>
  <c r="AB22" i="33"/>
  <c r="P224" i="33"/>
  <c r="Z26" i="33"/>
  <c r="Z181" i="33"/>
  <c r="AB21" i="33"/>
  <c r="U154" i="33"/>
  <c r="S234" i="33"/>
  <c r="Z36" i="33"/>
  <c r="Z27" i="33"/>
  <c r="AF204" i="33"/>
  <c r="AA25" i="33"/>
  <c r="AA148" i="33"/>
  <c r="AA254" i="33"/>
  <c r="AB190" i="33"/>
  <c r="AA176" i="33"/>
  <c r="AB23" i="33"/>
  <c r="V154" i="33"/>
  <c r="T234" i="33"/>
  <c r="Z152" i="33"/>
  <c r="AC17" i="33"/>
  <c r="AC21" i="33"/>
  <c r="AC19" i="33"/>
  <c r="AA151" i="33"/>
  <c r="AF259" i="33"/>
  <c r="AG204" i="33"/>
  <c r="AB254" i="33"/>
  <c r="AB25" i="33"/>
  <c r="AB295" i="33"/>
  <c r="AC22" i="33"/>
  <c r="AA177" i="33"/>
  <c r="X154" i="33"/>
  <c r="U234" i="33"/>
  <c r="AB151" i="33"/>
  <c r="AC190" i="33"/>
  <c r="AA179" i="33"/>
  <c r="AC23" i="33"/>
  <c r="AC172" i="33"/>
  <c r="AC176" i="33"/>
  <c r="AG259" i="33"/>
  <c r="V234" i="33"/>
  <c r="X234" i="33"/>
  <c r="Y154" i="33"/>
  <c r="Y234" i="33"/>
  <c r="AC25" i="33"/>
  <c r="AC148" i="33"/>
  <c r="AH204" i="33"/>
  <c r="AC177" i="33"/>
  <c r="AA181" i="33"/>
  <c r="AA26" i="33"/>
  <c r="AC254" i="33"/>
  <c r="Z154" i="33"/>
  <c r="Z234" i="33"/>
  <c r="AD22" i="33"/>
  <c r="AD17" i="33"/>
  <c r="AD21" i="33"/>
  <c r="AD19" i="33"/>
  <c r="AB26" i="33"/>
  <c r="AA27" i="33"/>
  <c r="AH259" i="33"/>
  <c r="AC179" i="33"/>
  <c r="AC151" i="33"/>
  <c r="AA36" i="33"/>
  <c r="AA234" i="33"/>
  <c r="AC234" i="33"/>
  <c r="AA154" i="33"/>
  <c r="AD190" i="33"/>
  <c r="AB27" i="33"/>
  <c r="AA152" i="33"/>
  <c r="AB36" i="33"/>
  <c r="AC26" i="33"/>
  <c r="AC181" i="33"/>
  <c r="AD23" i="33"/>
  <c r="AD172" i="33"/>
  <c r="AC154" i="33"/>
  <c r="AD234" i="33"/>
  <c r="AE234" i="33"/>
  <c r="AF234" i="33"/>
  <c r="AD176" i="33"/>
  <c r="AB152" i="33"/>
  <c r="AC27" i="33"/>
  <c r="AI204" i="33"/>
  <c r="AD25" i="33"/>
  <c r="AD148" i="33"/>
  <c r="AD254" i="33"/>
  <c r="AC36" i="33"/>
  <c r="AH234" i="33"/>
  <c r="AI234" i="33"/>
  <c r="AD154" i="33"/>
  <c r="AJ234" i="33"/>
  <c r="AE19" i="33"/>
  <c r="AE17" i="33"/>
  <c r="AI259" i="33"/>
  <c r="AE22" i="33"/>
  <c r="AD151" i="33"/>
  <c r="AC152" i="33"/>
  <c r="AE21" i="33"/>
  <c r="AD177" i="33"/>
  <c r="AK234" i="33"/>
  <c r="AE154" i="33"/>
  <c r="AE172" i="33"/>
  <c r="AE176" i="33"/>
  <c r="AE190" i="33"/>
  <c r="AD179" i="33"/>
  <c r="AE23" i="33"/>
  <c r="AF154" i="33"/>
  <c r="AE254" i="33"/>
  <c r="AE25" i="33"/>
  <c r="AE148" i="33"/>
  <c r="AJ204" i="33"/>
  <c r="AE177" i="33"/>
  <c r="AD26" i="33"/>
  <c r="AD181" i="33"/>
  <c r="AH154" i="33"/>
  <c r="AF17" i="33"/>
  <c r="AF19" i="33"/>
  <c r="AJ259" i="33"/>
  <c r="AF22" i="33"/>
  <c r="AE151" i="33"/>
  <c r="AF21" i="33"/>
  <c r="AD36" i="33"/>
  <c r="AD27" i="33"/>
  <c r="AE179" i="33"/>
  <c r="AI154" i="33"/>
  <c r="AF172" i="33"/>
  <c r="AG22" i="33"/>
  <c r="AF23" i="33"/>
  <c r="AG19" i="33"/>
  <c r="AE26" i="33"/>
  <c r="AE181" i="33"/>
  <c r="AF190" i="33"/>
  <c r="AG17" i="33"/>
  <c r="AG21" i="33"/>
  <c r="AD152" i="33"/>
  <c r="AJ154" i="33"/>
  <c r="AG23" i="33"/>
  <c r="AE27" i="33"/>
  <c r="AF176" i="33"/>
  <c r="AG190" i="33"/>
  <c r="AF254" i="33"/>
  <c r="AK204" i="33"/>
  <c r="AF25" i="33"/>
  <c r="AF148" i="33"/>
  <c r="AE36" i="33"/>
  <c r="AK154" i="33"/>
  <c r="AL204" i="33"/>
  <c r="AK259" i="33"/>
  <c r="AH21" i="33"/>
  <c r="AH17" i="33"/>
  <c r="AG25" i="33"/>
  <c r="AG295" i="33"/>
  <c r="AH19" i="33"/>
  <c r="AH22" i="33"/>
  <c r="AF177" i="33"/>
  <c r="AE152" i="33"/>
  <c r="AG254" i="33"/>
  <c r="AF151" i="33"/>
  <c r="AH190" i="33"/>
  <c r="AH23" i="33"/>
  <c r="AM204" i="33"/>
  <c r="AH172" i="33"/>
  <c r="AG151" i="33"/>
  <c r="AL259" i="33"/>
  <c r="AF179" i="33"/>
  <c r="AM259" i="33"/>
  <c r="AF181" i="33"/>
  <c r="AF26" i="33"/>
  <c r="AH25" i="33"/>
  <c r="AH254" i="33"/>
  <c r="AH176" i="33"/>
  <c r="AI17" i="33"/>
  <c r="AI21" i="33"/>
  <c r="AI22" i="33"/>
  <c r="AH151" i="33"/>
  <c r="AF36" i="33"/>
  <c r="AH148" i="33"/>
  <c r="AH177" i="33"/>
  <c r="AI19" i="33"/>
  <c r="AG26" i="33"/>
  <c r="AF27" i="33"/>
  <c r="AH179" i="33"/>
  <c r="AI23" i="33"/>
  <c r="AN204" i="33"/>
  <c r="AI190" i="33"/>
  <c r="AF152" i="33"/>
  <c r="AI172" i="33"/>
  <c r="AI176" i="33"/>
  <c r="AG27" i="33"/>
  <c r="AG152" i="33"/>
  <c r="AG36" i="33"/>
  <c r="AN259" i="33"/>
  <c r="AI25" i="33"/>
  <c r="AI254" i="33"/>
  <c r="AH181" i="33"/>
  <c r="AH26" i="33"/>
  <c r="AI177" i="33"/>
  <c r="AI179" i="33"/>
  <c r="AJ22" i="33"/>
  <c r="AH36" i="33"/>
  <c r="AJ19" i="33"/>
  <c r="AJ17" i="33"/>
  <c r="AI151" i="33"/>
  <c r="AH27" i="33"/>
  <c r="AI148" i="33"/>
  <c r="AJ21" i="33"/>
  <c r="AH152" i="33"/>
  <c r="AJ23" i="33"/>
  <c r="AO204" i="33"/>
  <c r="AJ172" i="33"/>
  <c r="AJ190" i="33"/>
  <c r="AI26" i="33"/>
  <c r="AI181" i="33"/>
  <c r="AO259" i="33"/>
  <c r="AJ176" i="33"/>
  <c r="AI27" i="33"/>
  <c r="AJ25" i="33"/>
  <c r="AI36" i="33"/>
  <c r="AJ254" i="33"/>
  <c r="AK17" i="33"/>
  <c r="AJ151" i="33"/>
  <c r="AI152" i="33"/>
  <c r="AK19" i="33"/>
  <c r="AJ177" i="33"/>
  <c r="AK21" i="33"/>
  <c r="AJ148" i="33"/>
  <c r="AK22" i="33"/>
  <c r="AK172" i="33"/>
  <c r="AL22" i="33"/>
  <c r="AJ179" i="33"/>
  <c r="AK176" i="33"/>
  <c r="AL21" i="33"/>
  <c r="AK190" i="33"/>
  <c r="AM254" i="33"/>
  <c r="AQ254" i="33"/>
  <c r="AL17" i="33"/>
  <c r="AK23" i="33"/>
  <c r="AP204" i="33"/>
  <c r="AL19" i="33"/>
  <c r="AQ204" i="33"/>
  <c r="AP259" i="33"/>
  <c r="AQ259" i="33"/>
  <c r="AK25" i="33"/>
  <c r="AK148" i="33"/>
  <c r="AK177" i="33"/>
  <c r="AJ181" i="33"/>
  <c r="AJ26" i="33"/>
  <c r="AL23" i="33"/>
  <c r="AL190" i="33"/>
  <c r="AK254" i="33"/>
  <c r="AL254" i="33"/>
  <c r="AK179" i="33"/>
  <c r="AK151" i="33"/>
  <c r="AL25" i="33"/>
  <c r="AL295" i="33"/>
  <c r="AJ27" i="33"/>
  <c r="AJ36" i="33"/>
  <c r="AK26" i="33"/>
  <c r="AK181" i="33"/>
  <c r="AJ152" i="33"/>
  <c r="AL151" i="33"/>
  <c r="AL26" i="33"/>
  <c r="AK27" i="33"/>
  <c r="AK36" i="33"/>
  <c r="AL36" i="33"/>
  <c r="AK152" i="33"/>
  <c r="AL27" i="33"/>
  <c r="AL152" i="33"/>
  <c r="AA232" i="33"/>
  <c r="V211" i="33"/>
  <c r="V216" i="33"/>
  <c r="V233" i="33"/>
  <c r="S256" i="33"/>
  <c r="AC211" i="33"/>
  <c r="AC216" i="33"/>
  <c r="Y256" i="33"/>
  <c r="AM232" i="33"/>
  <c r="AE232" i="33"/>
  <c r="AJ232" i="33"/>
  <c r="Z233" i="33"/>
  <c r="AI233" i="33"/>
  <c r="AH211" i="33"/>
  <c r="AH216" i="33"/>
  <c r="AM211" i="33"/>
  <c r="AM216" i="33"/>
  <c r="AM233" i="33"/>
  <c r="AN232" i="33"/>
  <c r="AF232" i="33"/>
  <c r="U211" i="33"/>
  <c r="U216" i="33"/>
  <c r="Y211" i="33"/>
  <c r="Y216" i="33"/>
  <c r="Q35" i="33"/>
  <c r="Q244" i="33"/>
  <c r="Q37" i="33"/>
  <c r="Q42" i="33"/>
  <c r="U153" i="33"/>
  <c r="R32" i="33"/>
  <c r="AA233" i="33"/>
  <c r="V256" i="33"/>
  <c r="W256" i="33"/>
  <c r="AA256" i="33"/>
  <c r="X256" i="33"/>
  <c r="W203" i="33"/>
  <c r="W211" i="33"/>
  <c r="W216" i="33"/>
  <c r="AD211" i="33"/>
  <c r="AD216" i="33"/>
  <c r="AD256" i="33"/>
  <c r="AF233" i="33"/>
  <c r="AN233" i="33"/>
  <c r="AI256" i="33"/>
  <c r="AI211" i="33"/>
  <c r="AI216" i="33"/>
  <c r="AJ233" i="33"/>
  <c r="AO232" i="33"/>
  <c r="AE233" i="33"/>
  <c r="AK232" i="33"/>
  <c r="Z256" i="33"/>
  <c r="Z211" i="33"/>
  <c r="Z216" i="33"/>
  <c r="R153" i="33"/>
  <c r="C317" i="33"/>
  <c r="R37" i="33"/>
  <c r="R33" i="33"/>
  <c r="Q40" i="33"/>
  <c r="Q41" i="33"/>
  <c r="V153" i="33"/>
  <c r="Q156" i="33"/>
  <c r="Q260" i="33"/>
  <c r="AA211" i="33"/>
  <c r="AA216" i="33"/>
  <c r="AB203" i="33"/>
  <c r="AB211" i="33"/>
  <c r="AB216" i="33"/>
  <c r="AC256" i="33"/>
  <c r="AB256" i="33"/>
  <c r="AO233" i="33"/>
  <c r="AE256" i="33"/>
  <c r="AE211" i="33"/>
  <c r="AE216" i="33"/>
  <c r="AJ211" i="33"/>
  <c r="AJ216" i="33"/>
  <c r="AJ256" i="33"/>
  <c r="AP232" i="33"/>
  <c r="AP233" i="33"/>
  <c r="AK233" i="33"/>
  <c r="AN256" i="33"/>
  <c r="AN211" i="33"/>
  <c r="AN216" i="33"/>
  <c r="AF256" i="33"/>
  <c r="AG203" i="33"/>
  <c r="AG211" i="33"/>
  <c r="AG216" i="33"/>
  <c r="AH256" i="33"/>
  <c r="AF211" i="33"/>
  <c r="AF216" i="33"/>
  <c r="AM256" i="33"/>
  <c r="AL203" i="33"/>
  <c r="AL211" i="33"/>
  <c r="AL216" i="33"/>
  <c r="AK211" i="33"/>
  <c r="AK216" i="33"/>
  <c r="AK256" i="33"/>
  <c r="R219" i="33"/>
  <c r="R222" i="33"/>
  <c r="R223" i="33"/>
  <c r="R244" i="33"/>
  <c r="R260" i="33"/>
  <c r="R35" i="33"/>
  <c r="Q293" i="33"/>
  <c r="Q157" i="33"/>
  <c r="Q280" i="33"/>
  <c r="X153" i="33"/>
  <c r="I280" i="33"/>
  <c r="K280" i="33"/>
  <c r="J280" i="33"/>
  <c r="L280" i="33"/>
  <c r="O280" i="33"/>
  <c r="P280" i="33"/>
  <c r="D280" i="33"/>
  <c r="F280" i="33"/>
  <c r="N280" i="33"/>
  <c r="E280" i="33"/>
  <c r="G280" i="33"/>
  <c r="AG256" i="33"/>
  <c r="AP211" i="33"/>
  <c r="AP216" i="33"/>
  <c r="AL256" i="33"/>
  <c r="AO256" i="33"/>
  <c r="AO211" i="33"/>
  <c r="AO216" i="33"/>
  <c r="J158" i="33"/>
  <c r="O158" i="33"/>
  <c r="K158" i="33"/>
  <c r="I158" i="33"/>
  <c r="M280" i="33"/>
  <c r="R157" i="33"/>
  <c r="R293" i="33"/>
  <c r="Q158" i="33"/>
  <c r="L158" i="33"/>
  <c r="N158" i="33"/>
  <c r="R280" i="33"/>
  <c r="Y153" i="33"/>
  <c r="H280" i="33"/>
  <c r="Q236" i="33"/>
  <c r="R38" i="33"/>
  <c r="R40" i="33"/>
  <c r="R39" i="33"/>
  <c r="R42" i="33"/>
  <c r="R156" i="33"/>
  <c r="P158" i="33"/>
  <c r="AQ203" i="33"/>
  <c r="AQ211" i="33"/>
  <c r="AQ216" i="33"/>
  <c r="AP256" i="33"/>
  <c r="AQ256" i="33"/>
  <c r="H282" i="33"/>
  <c r="R193" i="33"/>
  <c r="R158" i="33"/>
  <c r="M158" i="33"/>
  <c r="M282" i="33"/>
  <c r="R41" i="33"/>
  <c r="R44" i="33"/>
  <c r="Z153" i="33"/>
  <c r="AA153" i="33"/>
  <c r="AC153" i="33"/>
  <c r="R198" i="33"/>
  <c r="R188" i="33"/>
  <c r="AD153" i="33"/>
  <c r="W278" i="33"/>
  <c r="Q284" i="33"/>
  <c r="Q286" i="33"/>
  <c r="R187" i="33"/>
  <c r="Q192" i="33"/>
  <c r="Q201" i="33"/>
  <c r="Q224" i="33"/>
  <c r="AE153" i="33"/>
  <c r="R192" i="33"/>
  <c r="R201" i="33"/>
  <c r="R224" i="33"/>
  <c r="R284" i="33"/>
  <c r="R286" i="33"/>
  <c r="R154" i="33"/>
  <c r="AF153" i="33"/>
  <c r="AH153" i="33"/>
  <c r="AI153" i="33"/>
  <c r="S35" i="33"/>
  <c r="AJ153" i="33"/>
  <c r="S156" i="33"/>
  <c r="S41" i="33"/>
  <c r="S40" i="33"/>
  <c r="S157" i="33"/>
  <c r="S293" i="33"/>
  <c r="AK153" i="33"/>
  <c r="S236" i="33"/>
  <c r="AM153" i="33"/>
  <c r="AN153" i="33"/>
  <c r="S158" i="33"/>
  <c r="AO153" i="33"/>
  <c r="AP153" i="33"/>
  <c r="S284" i="33"/>
  <c r="S286" i="33"/>
  <c r="S192" i="33"/>
  <c r="S201" i="33"/>
  <c r="S224" i="33"/>
  <c r="T35" i="33"/>
  <c r="T156" i="33"/>
  <c r="T40" i="33"/>
  <c r="T41" i="33"/>
  <c r="T293" i="33"/>
  <c r="T157" i="33"/>
  <c r="T158" i="33"/>
  <c r="T236" i="33"/>
  <c r="T284" i="33"/>
  <c r="T286" i="33"/>
  <c r="T192" i="33"/>
  <c r="T201" i="33"/>
  <c r="T224" i="33"/>
  <c r="U35" i="33"/>
  <c r="U156" i="33"/>
  <c r="C6" i="33"/>
  <c r="U40" i="33"/>
  <c r="U41" i="33"/>
  <c r="U157" i="33"/>
  <c r="U293" i="33"/>
  <c r="U236" i="33"/>
  <c r="U158" i="33"/>
  <c r="U192" i="33"/>
  <c r="U201" i="33"/>
  <c r="U224" i="33"/>
  <c r="U284" i="33"/>
  <c r="U286" i="33"/>
  <c r="V35" i="33"/>
  <c r="V37" i="33"/>
  <c r="V42" i="33"/>
  <c r="V156" i="33"/>
  <c r="W35" i="33"/>
  <c r="W153" i="33"/>
  <c r="W37" i="33"/>
  <c r="V40" i="33"/>
  <c r="V41" i="33"/>
  <c r="W293" i="33"/>
  <c r="W157" i="33"/>
  <c r="W219" i="33"/>
  <c r="W222" i="33"/>
  <c r="V293" i="33"/>
  <c r="V157" i="33"/>
  <c r="W39" i="33"/>
  <c r="W42" i="33"/>
  <c r="W156" i="33"/>
  <c r="W38" i="33"/>
  <c r="W40" i="33"/>
  <c r="W223" i="33"/>
  <c r="W236" i="33"/>
  <c r="W41" i="33"/>
  <c r="W44" i="33"/>
  <c r="V236" i="33"/>
  <c r="V158" i="33"/>
  <c r="W158" i="33"/>
  <c r="W193" i="33"/>
  <c r="W188" i="33"/>
  <c r="W198" i="33"/>
  <c r="AB278" i="33"/>
  <c r="W187" i="33"/>
  <c r="V284" i="33"/>
  <c r="V286" i="33"/>
  <c r="V192" i="33"/>
  <c r="V201" i="33"/>
  <c r="V224" i="33"/>
  <c r="W284" i="33"/>
  <c r="W286" i="33"/>
  <c r="W192" i="33"/>
  <c r="W201" i="33"/>
  <c r="W224" i="33"/>
  <c r="W154" i="33"/>
  <c r="X35" i="33"/>
  <c r="X37" i="33"/>
  <c r="X42" i="33"/>
  <c r="X156" i="33"/>
  <c r="X40" i="33"/>
  <c r="X41" i="33"/>
  <c r="X158" i="33"/>
  <c r="X157" i="33"/>
  <c r="X293" i="33"/>
  <c r="X236" i="33"/>
  <c r="X284" i="33"/>
  <c r="X286" i="33"/>
  <c r="X192" i="33"/>
  <c r="X201" i="33"/>
  <c r="X224" i="33"/>
  <c r="Y35" i="33"/>
  <c r="Y37" i="33"/>
  <c r="Y42" i="33"/>
  <c r="Y156" i="33"/>
  <c r="Y40" i="33"/>
  <c r="Y41" i="33"/>
  <c r="Y293" i="33"/>
  <c r="Y157" i="33"/>
  <c r="Y236" i="33"/>
  <c r="Y158" i="33"/>
  <c r="Y192" i="33"/>
  <c r="Y201" i="33"/>
  <c r="Y224" i="33"/>
  <c r="Y284" i="33"/>
  <c r="Y286" i="33"/>
  <c r="Z37" i="33"/>
  <c r="Z42" i="33"/>
  <c r="Z156" i="33"/>
  <c r="Z35" i="33"/>
  <c r="Z40" i="33"/>
  <c r="Z41" i="33"/>
  <c r="Z157" i="33"/>
  <c r="Z293" i="33"/>
  <c r="Z158" i="33"/>
  <c r="Z236" i="33"/>
  <c r="Z284" i="33"/>
  <c r="Z286" i="33"/>
  <c r="Z192" i="33"/>
  <c r="Z201" i="33"/>
  <c r="Z224" i="33"/>
  <c r="AA35" i="33"/>
  <c r="AA37" i="33"/>
  <c r="AA42" i="33"/>
  <c r="AA156" i="33"/>
  <c r="AB35" i="33"/>
  <c r="AB153" i="33"/>
  <c r="AB37" i="33"/>
  <c r="AA40" i="33"/>
  <c r="AA41" i="33"/>
  <c r="AB219" i="33"/>
  <c r="AB222" i="33"/>
  <c r="AB223" i="33"/>
  <c r="AA293" i="33"/>
  <c r="AA157" i="33"/>
  <c r="AB38" i="33"/>
  <c r="AB40" i="33"/>
  <c r="AB39" i="33"/>
  <c r="AB42" i="33"/>
  <c r="AB156" i="33"/>
  <c r="AB293" i="33"/>
  <c r="AB157" i="33"/>
  <c r="AB41" i="33"/>
  <c r="AB44" i="33"/>
  <c r="AA158" i="33"/>
  <c r="AA236" i="33"/>
  <c r="AB193" i="33"/>
  <c r="AB158" i="33"/>
  <c r="AB198" i="33"/>
  <c r="AB188" i="33"/>
  <c r="AG278" i="33"/>
  <c r="AA284" i="33"/>
  <c r="AA286" i="33"/>
  <c r="AB187" i="33"/>
  <c r="AB298" i="33"/>
  <c r="AA192" i="33"/>
  <c r="AA201" i="33"/>
  <c r="AA224" i="33"/>
  <c r="AB192" i="33"/>
  <c r="AB201" i="33"/>
  <c r="AB224" i="33"/>
  <c r="AB284" i="33"/>
  <c r="AB286" i="33"/>
  <c r="AB154" i="33"/>
  <c r="AC35" i="33"/>
  <c r="AC37" i="33"/>
  <c r="AC42" i="33"/>
  <c r="AC156" i="33"/>
  <c r="AC40" i="33"/>
  <c r="AC41" i="33"/>
  <c r="AC157" i="33"/>
  <c r="AC293" i="33"/>
  <c r="AC158" i="33"/>
  <c r="AC236" i="33"/>
  <c r="AC192" i="33"/>
  <c r="AC201" i="33"/>
  <c r="AC224" i="33"/>
  <c r="AC284" i="33"/>
  <c r="AC286" i="33"/>
  <c r="AD35" i="33"/>
  <c r="AD37" i="33"/>
  <c r="AD42" i="33"/>
  <c r="AD156" i="33"/>
  <c r="AD41" i="33"/>
  <c r="AD40" i="33"/>
  <c r="AD157" i="33"/>
  <c r="AD293" i="33"/>
  <c r="AD158" i="33"/>
  <c r="AD236" i="33"/>
  <c r="AD192" i="33"/>
  <c r="AD201" i="33"/>
  <c r="AD224" i="33"/>
  <c r="AD284" i="33"/>
  <c r="AD286" i="33"/>
  <c r="AE35" i="33"/>
  <c r="AE37" i="33"/>
  <c r="AE42" i="33"/>
  <c r="AE156" i="33"/>
  <c r="AE41" i="33"/>
  <c r="AE40" i="33"/>
  <c r="AE293" i="33"/>
  <c r="AE157" i="33"/>
  <c r="AE236" i="33"/>
  <c r="AE158" i="33"/>
  <c r="AE284" i="33"/>
  <c r="AE286" i="33"/>
  <c r="AE192" i="33"/>
  <c r="AE201" i="33"/>
  <c r="AE224" i="33"/>
  <c r="AF37" i="33"/>
  <c r="AF42" i="33"/>
  <c r="AF156" i="33"/>
  <c r="AF35" i="33"/>
  <c r="AG153" i="33"/>
  <c r="AG37" i="33"/>
  <c r="AG35" i="33"/>
  <c r="AF40" i="33"/>
  <c r="AF41" i="33"/>
  <c r="AG219" i="33"/>
  <c r="AG222" i="33"/>
  <c r="AG223" i="33"/>
  <c r="AG38" i="33"/>
  <c r="AG40" i="33"/>
  <c r="AG39" i="33"/>
  <c r="AG42" i="33"/>
  <c r="AG156" i="33"/>
  <c r="AF293" i="33"/>
  <c r="AF157" i="33"/>
  <c r="AG293" i="33"/>
  <c r="AG157" i="33"/>
  <c r="AF236" i="33"/>
  <c r="AF158" i="33"/>
  <c r="AG41" i="33"/>
  <c r="AG44" i="33"/>
  <c r="AG158" i="33"/>
  <c r="AG193" i="33"/>
  <c r="AG188" i="33"/>
  <c r="AG198" i="33"/>
  <c r="AL278" i="33"/>
  <c r="AF284" i="33"/>
  <c r="AF286" i="33"/>
  <c r="AF192" i="33"/>
  <c r="AF201" i="33"/>
  <c r="AF224" i="33"/>
  <c r="AG187" i="33"/>
  <c r="AG284" i="33"/>
  <c r="AG286" i="33"/>
  <c r="AG192" i="33"/>
  <c r="AG201" i="33"/>
  <c r="AG224" i="33"/>
  <c r="AG154" i="33"/>
  <c r="AH35" i="33"/>
  <c r="AH37" i="33"/>
  <c r="AH42" i="33"/>
  <c r="AH156" i="33"/>
  <c r="AH41" i="33"/>
  <c r="AH40" i="33"/>
  <c r="AH293" i="33"/>
  <c r="AH157" i="33"/>
  <c r="AH158" i="33"/>
  <c r="AH236" i="33"/>
  <c r="AH192" i="33"/>
  <c r="AH201" i="33"/>
  <c r="AH224" i="33"/>
  <c r="AH284" i="33"/>
  <c r="AH286" i="33"/>
  <c r="AI35" i="33"/>
  <c r="AI37" i="33"/>
  <c r="AI42" i="33"/>
  <c r="AI156" i="33"/>
  <c r="AI40" i="33"/>
  <c r="AI41" i="33"/>
  <c r="AI157" i="33"/>
  <c r="AI293" i="33"/>
  <c r="AI158" i="33"/>
  <c r="AI236" i="33"/>
  <c r="AI284" i="33"/>
  <c r="AI286" i="33"/>
  <c r="AI192" i="33"/>
  <c r="AI201" i="33"/>
  <c r="AI224" i="33"/>
  <c r="AJ35" i="33"/>
  <c r="AJ37" i="33"/>
  <c r="AJ42" i="33"/>
  <c r="AJ156" i="33"/>
  <c r="AJ41" i="33"/>
  <c r="AJ40" i="33"/>
  <c r="AJ293" i="33"/>
  <c r="AJ157" i="33"/>
  <c r="AJ158" i="33"/>
  <c r="AJ236" i="33"/>
  <c r="AJ284" i="33"/>
  <c r="AJ286" i="33"/>
  <c r="AJ192" i="33"/>
  <c r="AJ201" i="33"/>
  <c r="AJ224" i="33"/>
  <c r="AK35" i="33"/>
  <c r="AK37" i="33"/>
  <c r="AK42" i="33"/>
  <c r="AK156" i="33"/>
  <c r="AL35" i="33"/>
  <c r="AL153" i="33"/>
  <c r="AL37" i="33"/>
  <c r="AK40" i="33"/>
  <c r="AK41" i="33"/>
  <c r="AK293" i="33"/>
  <c r="AK157" i="33"/>
  <c r="AL293" i="33"/>
  <c r="AL157" i="33"/>
  <c r="AL219" i="33"/>
  <c r="AL222" i="33"/>
  <c r="AL223" i="33"/>
  <c r="AL38" i="33"/>
  <c r="AL40" i="33"/>
  <c r="AL39" i="33"/>
  <c r="AL42" i="33"/>
  <c r="AL156" i="33"/>
  <c r="AL41" i="33"/>
  <c r="AL44" i="33"/>
  <c r="AK236" i="33"/>
  <c r="AK158" i="33"/>
  <c r="AL158" i="33"/>
  <c r="AL193" i="33"/>
  <c r="AL198" i="33"/>
  <c r="AL188" i="33"/>
  <c r="AQ278" i="33"/>
  <c r="AK284" i="33"/>
  <c r="AK286" i="33"/>
  <c r="AL187" i="33"/>
  <c r="AK192" i="33"/>
  <c r="AK201" i="33"/>
  <c r="AK224" i="33"/>
  <c r="AL284" i="33"/>
  <c r="AL286" i="33"/>
  <c r="AL192" i="33"/>
  <c r="AL201" i="33"/>
  <c r="AL224" i="33"/>
  <c r="AL154" i="33"/>
  <c r="AM35" i="33"/>
  <c r="AM37" i="33"/>
  <c r="AM42" i="33"/>
  <c r="AM156" i="33"/>
  <c r="AM41" i="33"/>
  <c r="AM40" i="33"/>
  <c r="AM157" i="33"/>
  <c r="AM293" i="33"/>
  <c r="AM236" i="33"/>
  <c r="AM158" i="33"/>
  <c r="AM192" i="33"/>
  <c r="AM201" i="33"/>
  <c r="AM224" i="33"/>
  <c r="AM284" i="33"/>
  <c r="AM286" i="33"/>
  <c r="AN35" i="33"/>
  <c r="AN37" i="33"/>
  <c r="AN42" i="33"/>
  <c r="AN156" i="33"/>
  <c r="AN41" i="33"/>
  <c r="AN40" i="33"/>
  <c r="AN293" i="33"/>
  <c r="AN157" i="33"/>
  <c r="AN158" i="33"/>
  <c r="AN236" i="33"/>
  <c r="AN284" i="33"/>
  <c r="AN286" i="33"/>
  <c r="AN192" i="33"/>
  <c r="AN201" i="33"/>
  <c r="AN224" i="33"/>
  <c r="AO35" i="33"/>
  <c r="AO37" i="33"/>
  <c r="AO42" i="33"/>
  <c r="AO156" i="33"/>
  <c r="AO40" i="33"/>
  <c r="AO41" i="33"/>
  <c r="AO293" i="33"/>
  <c r="AO157" i="33"/>
  <c r="AO158" i="33"/>
  <c r="AO236" i="33"/>
  <c r="AP278" i="33"/>
  <c r="AO192" i="33"/>
  <c r="AO201" i="33"/>
  <c r="AO224" i="33"/>
  <c r="AO284" i="33"/>
  <c r="AO286" i="33"/>
  <c r="AP35" i="33"/>
  <c r="AP37" i="33"/>
  <c r="AP42" i="33"/>
  <c r="AP156" i="33"/>
  <c r="AP41" i="33"/>
  <c r="AP40" i="33"/>
  <c r="AQ153" i="33"/>
  <c r="AQ37" i="33"/>
  <c r="AP219" i="33"/>
  <c r="AP293" i="33"/>
  <c r="AP157" i="33"/>
  <c r="AQ219" i="33"/>
  <c r="AQ222" i="33"/>
  <c r="AQ223" i="33"/>
  <c r="AP222" i="33"/>
  <c r="AQ35" i="33"/>
  <c r="AQ293" i="33"/>
  <c r="AQ157" i="33"/>
  <c r="AQ38" i="33"/>
  <c r="AQ40" i="33"/>
  <c r="AQ39" i="33"/>
  <c r="AQ42" i="33"/>
  <c r="AQ156" i="33"/>
  <c r="AP223" i="33"/>
  <c r="AP236" i="33"/>
  <c r="AP158" i="33"/>
  <c r="AP193" i="33"/>
  <c r="AQ193" i="33"/>
  <c r="AP188" i="33"/>
  <c r="AP198" i="33"/>
  <c r="AQ41" i="33"/>
  <c r="AQ44" i="33"/>
  <c r="AQ158" i="33"/>
  <c r="C329" i="33"/>
  <c r="C303" i="33"/>
  <c r="C7" i="33"/>
  <c r="C8" i="33"/>
  <c r="C334" i="33"/>
  <c r="AQ198" i="33"/>
  <c r="AP264" i="33"/>
  <c r="AQ264" i="33"/>
  <c r="AP262" i="33"/>
  <c r="AQ188" i="33"/>
  <c r="AP265" i="33"/>
  <c r="AP277" i="33"/>
  <c r="AP279" i="33"/>
  <c r="AP187" i="33"/>
  <c r="AQ262" i="33"/>
  <c r="AQ265" i="33"/>
  <c r="AQ277" i="33"/>
  <c r="AQ279" i="33"/>
  <c r="C335" i="33"/>
  <c r="C336" i="33"/>
  <c r="C9" i="33"/>
  <c r="AP284" i="33"/>
  <c r="AP286" i="33"/>
  <c r="AQ187" i="33"/>
  <c r="AP192" i="33"/>
  <c r="AP201" i="33"/>
  <c r="AP224" i="33"/>
  <c r="AQ284" i="33"/>
  <c r="AQ286" i="33"/>
  <c r="AQ192" i="33"/>
  <c r="AQ201" i="33"/>
  <c r="AQ224" i="33"/>
  <c r="AQ154"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Gutenberg Research</author>
    <author>GE User</author>
    <author>Owner</author>
  </authors>
  <commentList>
    <comment ref="C9" authorId="0" shapeId="0" xr:uid="{69657CC1-DD80-4CCD-B0AD-6898C205AA37}">
      <text>
        <r>
          <rPr>
            <b/>
            <sz val="9"/>
            <color indexed="81"/>
            <rFont val="Tahoma"/>
            <family val="2"/>
          </rPr>
          <t xml:space="preserve">Primary Output: </t>
        </r>
        <r>
          <rPr>
            <sz val="9"/>
            <color indexed="81"/>
            <rFont val="Tahoma"/>
            <family val="2"/>
          </rPr>
          <t>After you adjust the Primary Inputs in the model below, your new earnings forecast will recalculate based on the new assumptions resulting in a new EPS estimate, and theoretical target share price band.</t>
        </r>
      </text>
    </comment>
    <comment ref="N16" authorId="1" shapeId="0" xr:uid="{97E2062A-241B-4FD1-8ACF-F33B6FC6A84D}">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16" authorId="1" shapeId="0" xr:uid="{C2EB9CFC-91FF-4400-9B3F-F77185887020}">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16" authorId="1" shapeId="0" xr:uid="{1F438ADE-D15A-4F0A-901A-C9FDB9262D10}">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17" authorId="0" shapeId="0" xr:uid="{48A6A263-C63E-40EE-985F-BC99A97174AE}">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17" authorId="1" shapeId="0" xr:uid="{F6912652-44F3-4303-A71C-898E7030ACF7}">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17" authorId="1" shapeId="0" xr:uid="{1EED7FE6-04A2-4384-829E-E05E9A1FD061}">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8" authorId="1" shapeId="0" xr:uid="{ACBF19DD-184F-47DE-BB0F-1FD921C1FA8B}">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8" authorId="1" shapeId="0" xr:uid="{762B664D-28AC-4BB5-981B-670448591CBF}">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9" authorId="1" shapeId="0" xr:uid="{1DD03B61-7A16-4D6A-B503-BC36FAB128EA}">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9" authorId="1" shapeId="0" xr:uid="{F1806720-6420-4126-8482-559405A16789}">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20" authorId="1" shapeId="0" xr:uid="{416D0735-DDFA-4CA5-A6A3-52BC6E20A628}">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20" authorId="1" shapeId="0" xr:uid="{4D2181AD-CF6E-4038-8457-71109F309112}">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21" authorId="1" shapeId="0" xr:uid="{75B2E5B3-19B0-4DF7-B953-80DBD8D01D49}">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21" authorId="1" shapeId="0" xr:uid="{900C9F29-B0B7-49A2-954D-A96BDCC24821}">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22" authorId="2" shapeId="0" xr:uid="{3B40F72F-0C0B-4868-A4AA-BD2A9FF3B1F0}">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22" authorId="1" shapeId="0" xr:uid="{F016DE31-A506-4A39-8CFB-AA8F4A978909}">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22" authorId="1" shapeId="0" xr:uid="{770A4602-CE61-4BB9-87A6-4D666A1A2532}">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24" authorId="0" shapeId="0" xr:uid="{B6859B09-B84B-47E8-BF8F-705426EC1083}">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24" authorId="1" shapeId="0" xr:uid="{CED09781-8C10-474F-988B-751F89F46FBA}">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24" authorId="1" shapeId="0" xr:uid="{148CBB67-2E09-45C8-A1D5-FDAE006E146A}">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9" authorId="1" shapeId="0" xr:uid="{C082714A-A63D-4515-A631-1F70E0473FFE}">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30" authorId="0" shapeId="0" xr:uid="{B1EDA2A7-EA47-4D6A-A549-112DFAC881D1}">
      <text>
        <r>
          <rPr>
            <b/>
            <sz val="9"/>
            <color indexed="81"/>
            <rFont val="Tahoma"/>
            <family val="2"/>
          </rPr>
          <t>F3Q2019 Earnings call (7/25/2019) guidance for FY2019:</t>
        </r>
        <r>
          <rPr>
            <sz val="9"/>
            <color indexed="81"/>
            <rFont val="Tahoma"/>
            <family val="2"/>
          </rPr>
          <t xml:space="preserve"> Interest Expense guided to $330M.</t>
        </r>
      </text>
    </comment>
    <comment ref="M30" authorId="0" shapeId="0" xr:uid="{C6D49EEC-F9F1-431E-81A7-1B99C42C5469}">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30" authorId="1" shapeId="0" xr:uid="{A7F9209E-EFA5-4713-8BAD-260E27F63601}">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30" authorId="1" shapeId="0" xr:uid="{F02953ED-ACCE-45B1-A795-B9FD5CE218A4}">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30" authorId="1" shapeId="0" xr:uid="{AD94A8B3-4F6C-4248-99DB-598A0B5686CA}">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32" authorId="1" shapeId="0" xr:uid="{6AF15D64-6A38-458B-83DD-3C7D86D069BE}">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32" authorId="1" shapeId="0" xr:uid="{61CB1735-A376-4B7C-98AA-FF4BD8114B64}">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41" authorId="0" shapeId="0" xr:uid="{9884D8C9-16F0-4D18-A2EA-223432045C46}">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41" authorId="0" shapeId="0" xr:uid="{8D84F864-93FB-4135-8DBD-C8E4B1542E5D}">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41" authorId="0" shapeId="0" xr:uid="{9EEB2254-664C-441B-A134-1F5D93D8C1C2}">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41" authorId="1" shapeId="0" xr:uid="{DFF69648-14AC-4524-BA01-CBFFA973B448}">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41" authorId="1" shapeId="0" xr:uid="{FDBCCCF9-CD08-40FB-8CB4-BCF5F80AB72F}">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42" authorId="0" shapeId="0" xr:uid="{83E0A6D4-BDE8-4423-AA7A-2AD23DD1A1EE}">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42" authorId="0" shapeId="0" xr:uid="{96A12B67-BF98-4EEC-B83E-5C9F72029BD0}">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42" authorId="0" shapeId="0" xr:uid="{4DF23C7F-A7C4-4C04-A680-139B16C8860F}">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42" authorId="1" shapeId="0" xr:uid="{E0C3B47B-E15C-43EA-8FF9-0008FDDE9591}">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42" authorId="1" shapeId="0" xr:uid="{BE127F8C-4B2F-433F-B5F6-1477B158D4A2}">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L43" authorId="0" shapeId="0" xr:uid="{24AC5956-2A71-47B0-B420-BEA1E538834C}">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G44" authorId="1" shapeId="0" xr:uid="{4043FE28-8827-4F18-BE2D-8E20F98FE210}">
      <text>
        <r>
          <rPr>
            <b/>
            <sz val="9"/>
            <color indexed="81"/>
            <rFont val="Tahoma"/>
            <family val="2"/>
          </rPr>
          <t>Management Guidance:</t>
        </r>
        <r>
          <rPr>
            <sz val="9"/>
            <color indexed="81"/>
            <rFont val="Tahoma"/>
            <family val="2"/>
          </rPr>
          <t xml:space="preserve"> "We are committed to sustaining an attractive dividend, targeting an earnings payout ratio of approximately 50% on a stabilized basis."
</t>
        </r>
        <r>
          <rPr>
            <b/>
            <sz val="9"/>
            <color indexed="81"/>
            <rFont val="Tahoma"/>
            <family val="2"/>
          </rPr>
          <t>Source:</t>
        </r>
        <r>
          <rPr>
            <sz val="9"/>
            <color indexed="81"/>
            <rFont val="Tahoma"/>
            <family val="2"/>
          </rPr>
          <t xml:space="preserve"> Biennial Investor Day (December-2020)</t>
        </r>
      </text>
    </comment>
    <comment ref="Q49" authorId="1" shapeId="0" xr:uid="{58F5EFBE-AF4A-497A-A87F-A4BC322E1DC0}">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L54" authorId="0" shapeId="0" xr:uid="{7C04332F-06B5-4652-9BA5-478943268C02}">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54" authorId="1" shapeId="0" xr:uid="{39CF8333-C0EB-486B-B16B-802B05342B1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AA54" authorId="1" shapeId="0" xr:uid="{9B09D2E3-3BF0-40FF-9CF7-58B6D10FE3B8}">
      <text>
        <r>
          <rPr>
            <b/>
            <sz val="9"/>
            <color indexed="81"/>
            <rFont val="Tahoma"/>
            <family val="2"/>
          </rPr>
          <t>Management Guidance:</t>
        </r>
        <r>
          <rPr>
            <sz val="9"/>
            <color indexed="81"/>
            <rFont val="Tahoma"/>
            <family val="2"/>
          </rPr>
          <t xml:space="preserve"> Guided long-term average comp growth for U.S. between 4% to 5%. This input assumes U.S. will be a relatively good proxy for the Americas segment. 
</t>
        </r>
        <r>
          <rPr>
            <b/>
            <sz val="9"/>
            <color indexed="81"/>
            <rFont val="Tahoma"/>
            <family val="2"/>
          </rPr>
          <t>Source:</t>
        </r>
        <r>
          <rPr>
            <sz val="9"/>
            <color indexed="81"/>
            <rFont val="Tahoma"/>
            <family val="2"/>
          </rPr>
          <t xml:space="preserve"> Biennial Investor Day (December-2020)
</t>
        </r>
      </text>
    </comment>
    <comment ref="AF54" authorId="1" shapeId="0" xr:uid="{1AE8B7EE-0315-4996-B616-57BB5F1B3AB4}">
      <text>
        <r>
          <rPr>
            <b/>
            <sz val="9"/>
            <color indexed="81"/>
            <rFont val="Tahoma"/>
            <family val="2"/>
          </rPr>
          <t>Management Guidance:</t>
        </r>
        <r>
          <rPr>
            <sz val="9"/>
            <color indexed="81"/>
            <rFont val="Tahoma"/>
            <family val="2"/>
          </rPr>
          <t xml:space="preserve"> Guided long-term average comp growth for U.S. between 4% to 5%. This input assumes U.S. will be a relatively good proxy for the Americas segment. 
</t>
        </r>
        <r>
          <rPr>
            <b/>
            <sz val="9"/>
            <color indexed="81"/>
            <rFont val="Tahoma"/>
            <family val="2"/>
          </rPr>
          <t>Source:</t>
        </r>
        <r>
          <rPr>
            <sz val="9"/>
            <color indexed="81"/>
            <rFont val="Tahoma"/>
            <family val="2"/>
          </rPr>
          <t xml:space="preserve"> Biennial Investor Day (December-2020)
</t>
        </r>
      </text>
    </comment>
    <comment ref="Q55" authorId="1" shapeId="0" xr:uid="{E474CC8C-1D20-46F4-9D48-B409B40ACFA7}">
      <text>
        <r>
          <rPr>
            <sz val="9"/>
            <color indexed="81"/>
            <rFont val="Tahoma"/>
            <family val="2"/>
          </rPr>
          <t>This cell inludes the last reported value, plus a $500M adjustment for the impact of the 53rd week based on management's guidance, with 80% of the impact in the Americas, and 20% in International.</t>
        </r>
      </text>
    </comment>
    <comment ref="AA55" authorId="1" shapeId="0" xr:uid="{51F91A61-4CFA-416D-BB33-ADF4BE0A179C}">
      <text>
        <r>
          <rPr>
            <sz val="9"/>
            <color indexed="81"/>
            <rFont val="Tahoma"/>
            <family val="2"/>
          </rPr>
          <t>This will likely be higher than the historic average due to the sharp increase in expected new stores.</t>
        </r>
      </text>
    </comment>
    <comment ref="N56" authorId="1" shapeId="0" xr:uid="{1546D13F-0E68-4356-9E19-597E9593EB17}">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56" authorId="1" shapeId="0" xr:uid="{248983DB-ACDB-4B96-9ABF-0DECE9AB914A}">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N63" authorId="1" shapeId="0" xr:uid="{AF842751-591C-4486-8D94-F956144E246A}">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AB66" authorId="1" shapeId="0" xr:uid="{43B598AF-5DAD-402A-B4F3-0C7D55728A0E}">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t>
        </r>
        <r>
          <rPr>
            <b/>
            <sz val="9"/>
            <color indexed="81"/>
            <rFont val="Tahoma"/>
            <family val="2"/>
          </rPr>
          <t xml:space="preserve">
Source:</t>
        </r>
        <r>
          <rPr>
            <sz val="9"/>
            <color indexed="81"/>
            <rFont val="Tahoma"/>
            <family val="2"/>
          </rPr>
          <t xml:space="preserve"> Biennial Investor Day (December-2020)</t>
        </r>
        <r>
          <rPr>
            <b/>
            <sz val="9"/>
            <color indexed="81"/>
            <rFont val="Tahoma"/>
            <family val="2"/>
          </rPr>
          <t xml:space="preserve">
</t>
        </r>
      </text>
    </comment>
    <comment ref="AG66" authorId="1" shapeId="0" xr:uid="{8A892819-8F70-4E24-A9B7-2809F69CA938}">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t>
        </r>
        <r>
          <rPr>
            <b/>
            <sz val="9"/>
            <color indexed="81"/>
            <rFont val="Tahoma"/>
            <family val="2"/>
          </rPr>
          <t xml:space="preserve">
Source: </t>
        </r>
        <r>
          <rPr>
            <sz val="9"/>
            <color indexed="81"/>
            <rFont val="Tahoma"/>
            <family val="2"/>
          </rPr>
          <t>Biennial Investor Day (December-2020)</t>
        </r>
      </text>
    </comment>
    <comment ref="H67" authorId="0" shapeId="0" xr:uid="{D4CFD86E-643D-47D1-82DB-874BDBACBD96}">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67" authorId="0" shapeId="0" xr:uid="{80817A1E-233C-456B-8576-416A7E1F3DDC}">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67" authorId="1" shapeId="0" xr:uid="{D68155A2-0845-4754-B893-5D16F1D6990E}">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81" authorId="0" shapeId="0" xr:uid="{B1093199-2D61-4630-B8F3-EBE0FE5662A1}">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81" authorId="1" shapeId="0" xr:uid="{25996A48-B724-4961-9197-E3DF1CBE13B6}">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81" authorId="0" shapeId="0" xr:uid="{47E971AA-C952-4A05-BD82-D2742874193E}">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81" authorId="1" shapeId="0" xr:uid="{5EC28885-389C-420B-A945-2F29D95EF5F1}">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84" authorId="0" shapeId="0" xr:uid="{C70CB550-35F5-4C4E-93DD-5855C7276455}">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F89" authorId="0" shapeId="0" xr:uid="{9F9C2C0F-0459-4BAF-B057-1BB8D994D0FC}">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9" authorId="0" shapeId="0" xr:uid="{0350670A-D3DD-45FA-96AE-7F6DF650E69F}">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9" authorId="1" shapeId="0" xr:uid="{441FBFEC-D1B4-42FE-A99F-8EBB81552FC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AA89" authorId="1" shapeId="0" xr:uid="{B03E719A-E38B-4168-B7D5-6DBCC809B998}">
      <text>
        <r>
          <rPr>
            <b/>
            <sz val="9"/>
            <color indexed="81"/>
            <rFont val="Tahoma"/>
            <family val="2"/>
          </rPr>
          <t>Management Guidance:</t>
        </r>
        <r>
          <rPr>
            <sz val="9"/>
            <color indexed="81"/>
            <rFont val="Tahoma"/>
            <family val="2"/>
          </rPr>
          <t xml:space="preserve"> Guided long-term average global comp growth of between 4% to 5%. The U.S. is expected to grow between 4% to 5%, so a 4% to 5% growth for International is also implied.
</t>
        </r>
        <r>
          <rPr>
            <b/>
            <sz val="9"/>
            <color indexed="81"/>
            <rFont val="Tahoma"/>
            <family val="2"/>
          </rPr>
          <t>Source:</t>
        </r>
        <r>
          <rPr>
            <sz val="9"/>
            <color indexed="81"/>
            <rFont val="Tahoma"/>
            <family val="2"/>
          </rPr>
          <t xml:space="preserve"> Biennial Investor Day (December-2020)
</t>
        </r>
      </text>
    </comment>
    <comment ref="AF89" authorId="1" shapeId="0" xr:uid="{17CF2B23-E146-4FFC-87DB-082A5FE71D72}">
      <text>
        <r>
          <rPr>
            <b/>
            <sz val="9"/>
            <color indexed="81"/>
            <rFont val="Tahoma"/>
            <family val="2"/>
          </rPr>
          <t>Management Guidance:</t>
        </r>
        <r>
          <rPr>
            <sz val="9"/>
            <color indexed="81"/>
            <rFont val="Tahoma"/>
            <family val="2"/>
          </rPr>
          <t xml:space="preserve"> Guided long-term average global comp growth of between 4% to 5%. The U.S. is expected to grow between 4% to 5%, so a 4% to 5% growth for International is also implied.
</t>
        </r>
        <r>
          <rPr>
            <b/>
            <sz val="9"/>
            <color indexed="81"/>
            <rFont val="Tahoma"/>
            <family val="2"/>
          </rPr>
          <t>Source:</t>
        </r>
        <r>
          <rPr>
            <sz val="9"/>
            <color indexed="81"/>
            <rFont val="Tahoma"/>
            <family val="2"/>
          </rPr>
          <t xml:space="preserve"> Biennial Investor Day (December-2020)
</t>
        </r>
      </text>
    </comment>
    <comment ref="Q90" authorId="1" shapeId="0" xr:uid="{BC69C3C1-6D76-4D7E-AF6B-17FE2EDEC28A}">
      <text>
        <r>
          <rPr>
            <sz val="9"/>
            <color indexed="81"/>
            <rFont val="Tahoma"/>
            <family val="2"/>
          </rPr>
          <t>This cell inludes the last reported value, plus a $500M adjustment for the impact of the 53rd week based on management's guidance, with 80% of the impact in the Americas, and 20% in International.</t>
        </r>
      </text>
    </comment>
    <comment ref="N91" authorId="1" shapeId="0" xr:uid="{A6F016EB-F318-43A7-A9A5-8A142EF965E7}">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91" authorId="1" shapeId="0" xr:uid="{10D3C02F-C683-4F6A-9AC1-B131D6E56CA4}">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M95" authorId="0" shapeId="0" xr:uid="{2B08263E-FA33-4748-8487-01B3EF513FBB}">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97" authorId="0" shapeId="0" xr:uid="{FAA7F6AE-9A1D-4BD4-A49E-24EAA45B1B6F}">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98" authorId="1" shapeId="0" xr:uid="{EF14D250-BA2B-42A8-8992-116F4E368EB8}">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AB101" authorId="1" shapeId="0" xr:uid="{629B851E-2AD5-4F45-90D2-BA8318E0D840}">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 . And for China, we expect continued robust store development with a net unit growth rate in the low-teens."</t>
        </r>
        <r>
          <rPr>
            <b/>
            <sz val="9"/>
            <color indexed="81"/>
            <rFont val="Tahoma"/>
            <family val="2"/>
          </rPr>
          <t xml:space="preserve">
Source: </t>
        </r>
        <r>
          <rPr>
            <sz val="9"/>
            <color indexed="81"/>
            <rFont val="Tahoma"/>
            <family val="2"/>
          </rPr>
          <t>Biennial Investor Day (December-2020)</t>
        </r>
      </text>
    </comment>
    <comment ref="AG101" authorId="1" shapeId="0" xr:uid="{6FB142C3-ECF9-4950-AECE-D002A65D02B8}">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 . And for China, we expect continued robust store development with a net unit growth rate in the low-teens."</t>
        </r>
        <r>
          <rPr>
            <b/>
            <sz val="9"/>
            <color indexed="81"/>
            <rFont val="Tahoma"/>
            <family val="2"/>
          </rPr>
          <t xml:space="preserve">
Source: </t>
        </r>
        <r>
          <rPr>
            <sz val="9"/>
            <color indexed="81"/>
            <rFont val="Tahoma"/>
            <family val="2"/>
          </rPr>
          <t>Biennial Investor Day (December-2020)</t>
        </r>
      </text>
    </comment>
    <comment ref="R102" authorId="1" shapeId="0" xr:uid="{69313573-1B4B-4C29-966F-A56AA04EC5B8}">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17" authorId="1" shapeId="0" xr:uid="{3D4FAFAD-6072-4829-AB7D-BCD308840FD6}">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17" authorId="0" shapeId="0" xr:uid="{2EF09211-45CF-4978-97D0-702C3EC3434F}">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17" authorId="1" shapeId="0" xr:uid="{419718FA-56CC-44F9-BF7B-00D47C95CD64}">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18" authorId="0" shapeId="0" xr:uid="{2F60098B-9558-4816-B61F-46FB058C21C4}">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19" authorId="0" shapeId="0" xr:uid="{4D82C449-85EA-4632-ACEB-4FA694B3C9FA}">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19" authorId="1" shapeId="0" xr:uid="{A124A469-A2B3-4DC2-B71D-57937A86A538}">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19" authorId="1" shapeId="0" xr:uid="{5B41226C-9D6C-4162-A218-EF3177D6D5F3}">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19" authorId="1" shapeId="0" xr:uid="{D604F213-E8D4-4336-BDD3-0E42CBF13A71}">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20" authorId="0" shapeId="0" xr:uid="{5BC8CF29-71BC-4463-AAE6-598E62D9F4EA}">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AB120" authorId="1" shapeId="0" xr:uid="{102B544F-01A2-434C-9FCB-5BB7E8534686}">
      <text>
        <r>
          <rPr>
            <b/>
            <sz val="9"/>
            <color indexed="81"/>
            <rFont val="Tahoma"/>
            <family val="2"/>
          </rPr>
          <t xml:space="preserve">Management Guidance: </t>
        </r>
        <r>
          <rPr>
            <sz val="9"/>
            <color indexed="81"/>
            <rFont val="Tahoma"/>
            <family val="2"/>
          </rPr>
          <t>5% to 6% growth</t>
        </r>
        <r>
          <rPr>
            <b/>
            <sz val="9"/>
            <color indexed="81"/>
            <rFont val="Tahoma"/>
            <family val="2"/>
          </rPr>
          <t xml:space="preserve">
Source:</t>
        </r>
        <r>
          <rPr>
            <sz val="9"/>
            <color indexed="81"/>
            <rFont val="Tahoma"/>
            <family val="2"/>
          </rPr>
          <t xml:space="preserve"> Biennial Investor Day (December-2020)</t>
        </r>
      </text>
    </comment>
    <comment ref="AG120" authorId="1" shapeId="0" xr:uid="{42C5F425-DE58-408F-A236-E92C64D7AD62}">
      <text>
        <r>
          <rPr>
            <b/>
            <sz val="9"/>
            <color indexed="81"/>
            <rFont val="Tahoma"/>
            <family val="2"/>
          </rPr>
          <t>Management Guidance:</t>
        </r>
        <r>
          <rPr>
            <sz val="9"/>
            <color indexed="81"/>
            <rFont val="Tahoma"/>
            <family val="2"/>
          </rPr>
          <t xml:space="preserve"> 5% to 6% growth
</t>
        </r>
        <r>
          <rPr>
            <b/>
            <sz val="9"/>
            <color indexed="81"/>
            <rFont val="Tahoma"/>
            <family val="2"/>
          </rPr>
          <t>Source:</t>
        </r>
        <r>
          <rPr>
            <sz val="9"/>
            <color indexed="81"/>
            <rFont val="Tahoma"/>
            <family val="2"/>
          </rPr>
          <t xml:space="preserve"> Biennial Investor Day (December-2020)</t>
        </r>
      </text>
    </comment>
    <comment ref="N131" authorId="1" shapeId="0" xr:uid="{301BA517-1256-4BD2-8197-1D811A1C6069}">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31" authorId="1" shapeId="0" xr:uid="{4A33F6A9-436B-4B5E-AC53-6657749E265A}">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32" authorId="0" shapeId="0" xr:uid="{30DE9B08-ECAA-4F91-84C7-A5332061AF73}">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32" authorId="0" shapeId="0" xr:uid="{1FEBD087-20B1-450A-93EF-A406A720B738}">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42" authorId="1" shapeId="0" xr:uid="{D5E4134B-4EB8-4CAC-AFEF-4C6E7E0E90D5}">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42" authorId="1" shapeId="0" xr:uid="{8F4836D2-287B-4DD1-8DE7-AD61D0561DAD}">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H150" authorId="0" shapeId="0" xr:uid="{D8FD5B5F-AA9C-44BF-B32F-7C0451B2C77E}">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50" authorId="0" shapeId="0" xr:uid="{8174DB42-2FE6-4062-9DAA-AC7D7C1AAD85}">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B150" authorId="1" shapeId="0" xr:uid="{2B94134D-703E-4DBD-AB3C-5F07EFDE64D0}">
      <text>
        <r>
          <rPr>
            <b/>
            <sz val="9"/>
            <color indexed="81"/>
            <rFont val="Tahoma"/>
            <family val="2"/>
          </rPr>
          <t xml:space="preserve">Management Guidance: </t>
        </r>
        <r>
          <rPr>
            <sz val="9"/>
            <color indexed="81"/>
            <rFont val="Tahoma"/>
            <family val="2"/>
          </rPr>
          <t xml:space="preserve">"Combining comp growth with unit growth, we expect enterprise revenue growth of 8% to 10% annually"
</t>
        </r>
        <r>
          <rPr>
            <b/>
            <sz val="9"/>
            <color indexed="81"/>
            <rFont val="Tahoma"/>
            <family val="2"/>
          </rPr>
          <t>Source:</t>
        </r>
        <r>
          <rPr>
            <sz val="9"/>
            <color indexed="81"/>
            <rFont val="Tahoma"/>
            <family val="2"/>
          </rPr>
          <t xml:space="preserve"> Biennial Investor Day (December-2020)</t>
        </r>
      </text>
    </comment>
    <comment ref="AG150" authorId="1" shapeId="0" xr:uid="{8E708178-070F-40D3-B8BC-B987D59AD1A3}">
      <text>
        <r>
          <rPr>
            <b/>
            <sz val="9"/>
            <color indexed="81"/>
            <rFont val="Tahoma"/>
            <family val="2"/>
          </rPr>
          <t xml:space="preserve">Management Guidance: </t>
        </r>
        <r>
          <rPr>
            <sz val="9"/>
            <color indexed="81"/>
            <rFont val="Tahoma"/>
            <family val="2"/>
          </rPr>
          <t xml:space="preserve">"Combining comp growth with unit growth, we expect enterprise revenue growth of 8% to 10% annually"
</t>
        </r>
        <r>
          <rPr>
            <b/>
            <sz val="9"/>
            <color indexed="81"/>
            <rFont val="Tahoma"/>
            <family val="2"/>
          </rPr>
          <t>Source:</t>
        </r>
        <r>
          <rPr>
            <sz val="9"/>
            <color indexed="81"/>
            <rFont val="Tahoma"/>
            <family val="2"/>
          </rPr>
          <t xml:space="preserve"> Biennial Investor Day (December-2020)</t>
        </r>
      </text>
    </comment>
    <comment ref="R151" authorId="1" shapeId="0" xr:uid="{B1DA7F9B-04FB-4E8A-AFD9-57D9A541A9B8}">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52" authorId="1" shapeId="0" xr:uid="{A6AB186F-6DD9-4FB3-A9B1-F331F4392DC9}">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B152" authorId="1" shapeId="0" xr:uid="{032DBC25-5216-49E5-872A-9A6A8E136B9E}">
      <text>
        <r>
          <rPr>
            <b/>
            <sz val="9"/>
            <color indexed="81"/>
            <rFont val="Tahoma"/>
            <family val="2"/>
          </rPr>
          <t xml:space="preserve">Management Guidance: </t>
        </r>
        <r>
          <rPr>
            <sz val="9"/>
            <color indexed="81"/>
            <rFont val="Tahoma"/>
            <family val="2"/>
          </rPr>
          <t>"Moving on to non-GAAP operating margin. We continue to expect a modest amount of margin expansion each year...to a new range of 18% to 19% beyond fiscal 2021"</t>
        </r>
        <r>
          <rPr>
            <b/>
            <sz val="9"/>
            <color indexed="81"/>
            <rFont val="Tahoma"/>
            <family val="2"/>
          </rPr>
          <t xml:space="preserve">
Source: </t>
        </r>
        <r>
          <rPr>
            <sz val="9"/>
            <color indexed="81"/>
            <rFont val="Tahoma"/>
            <family val="2"/>
          </rPr>
          <t>Biennial Investor Day (December-2020)</t>
        </r>
      </text>
    </comment>
    <comment ref="AG152" authorId="1" shapeId="0" xr:uid="{681F1ABA-3274-4E6E-82A8-51337DD75A0C}">
      <text>
        <r>
          <rPr>
            <b/>
            <sz val="9"/>
            <color indexed="81"/>
            <rFont val="Tahoma"/>
            <family val="2"/>
          </rPr>
          <t xml:space="preserve">Management Guidance: </t>
        </r>
        <r>
          <rPr>
            <sz val="9"/>
            <color indexed="81"/>
            <rFont val="Tahoma"/>
            <family val="2"/>
          </rPr>
          <t>"Moving on to non-GAAP operating margin. We continue to expect a modest amount of margin expansion each year...to a new range of 18% to 19% beyond fiscal 2021"</t>
        </r>
        <r>
          <rPr>
            <b/>
            <sz val="9"/>
            <color indexed="81"/>
            <rFont val="Tahoma"/>
            <family val="2"/>
          </rPr>
          <t xml:space="preserve">
Source: </t>
        </r>
        <r>
          <rPr>
            <sz val="9"/>
            <color indexed="81"/>
            <rFont val="Tahoma"/>
            <family val="2"/>
          </rPr>
          <t>Biennial Investor Day (December-2020)</t>
        </r>
      </text>
    </comment>
    <comment ref="H153" authorId="0" shapeId="0" xr:uid="{7FDCDCF9-46A7-4111-9817-3DEDFCE70582}">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53" authorId="0" shapeId="0" xr:uid="{FABFCBCC-A2C6-49B9-9889-93AB09C34665}">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53" authorId="1" shapeId="0" xr:uid="{CFA9E4EB-3C76-4C06-8C1E-DB0DDC3659EC}">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W156" authorId="1" shapeId="0" xr:uid="{DEB4D30A-60EB-41E7-98F1-EE37923E1CCE}">
      <text>
        <r>
          <rPr>
            <b/>
            <sz val="9"/>
            <color indexed="81"/>
            <rFont val="Tahoma"/>
            <family val="2"/>
          </rPr>
          <t>Management Guidance:</t>
        </r>
        <r>
          <rPr>
            <sz val="9"/>
            <color indexed="81"/>
            <rFont val="Tahoma"/>
            <family val="2"/>
          </rPr>
          <t xml:space="preserve"> "For fiscal 2022, we're expecting a year of outsized EPS growth even though we'll be lapping the 53rd week from fiscal 2021 because we'll also be lapping significant recovery impacts from fiscal 2021, yielding non-GAAP EPS growth of at least 20%. And for fiscal 2023, we expect to stabilize our ongoing non-GAAP EPS growth algorithm of 10% to 12%."
</t>
        </r>
        <r>
          <rPr>
            <b/>
            <sz val="9"/>
            <color indexed="81"/>
            <rFont val="Tahoma"/>
            <family val="2"/>
          </rPr>
          <t xml:space="preserve">Source: </t>
        </r>
        <r>
          <rPr>
            <sz val="9"/>
            <color indexed="81"/>
            <rFont val="Tahoma"/>
            <family val="2"/>
          </rPr>
          <t xml:space="preserve">Biennial Investor Day (December-2020)
</t>
        </r>
        <r>
          <rPr>
            <b/>
            <sz val="9"/>
            <color indexed="81"/>
            <rFont val="Tahoma"/>
            <family val="2"/>
          </rPr>
          <t>NOTE: This cell is calculated after removing the 0.10 impact of the extra week.</t>
        </r>
      </text>
    </comment>
    <comment ref="AB156" authorId="1" shapeId="0" xr:uid="{F66377CB-578A-41D3-A983-6A5A1F751368}">
      <text>
        <r>
          <rPr>
            <b/>
            <sz val="9"/>
            <color indexed="81"/>
            <rFont val="Tahoma"/>
            <family val="2"/>
          </rPr>
          <t>Management Guidance:</t>
        </r>
        <r>
          <rPr>
            <sz val="9"/>
            <color indexed="81"/>
            <rFont val="Tahoma"/>
            <family val="2"/>
          </rPr>
          <t xml:space="preserve"> "For fiscal 2022, we're expecting a year of outsized EPS growth even though we'll be lapping the 53rd week from fiscal 2021 because we'll also be lapping significant recovery impacts from fiscal 2021, yielding non-GAAP EPS growth of at least 20%. And for fiscal 2023, we expect to stabilize our ongoing non-GAAP EPS growth algorithm of 10% to 12%."
</t>
        </r>
        <r>
          <rPr>
            <b/>
            <sz val="9"/>
            <color indexed="81"/>
            <rFont val="Tahoma"/>
            <family val="2"/>
          </rPr>
          <t xml:space="preserve">Source: </t>
        </r>
        <r>
          <rPr>
            <sz val="9"/>
            <color indexed="81"/>
            <rFont val="Tahoma"/>
            <family val="2"/>
          </rPr>
          <t>Biennial Investor Day (December-2020)</t>
        </r>
      </text>
    </comment>
    <comment ref="B159" authorId="0" shapeId="0" xr:uid="{54180DF1-E234-4AB1-9B97-EF6A3A0441BA}">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W163" authorId="1" shapeId="0" xr:uid="{FAD4EAFE-289A-4FAA-880B-571B27F5FC00}">
      <text>
        <r>
          <rPr>
            <b/>
            <sz val="9"/>
            <color indexed="81"/>
            <rFont val="Tahoma"/>
            <family val="2"/>
          </rPr>
          <t>Management Guidance:</t>
        </r>
        <r>
          <rPr>
            <sz val="9"/>
            <color indexed="81"/>
            <rFont val="Tahoma"/>
            <family val="2"/>
          </rPr>
          <t xml:space="preserve"> "Subsequently, we anticipate a healthy and relatively steady return of shareholder capital to resume in fiscal 2022 through ongoing share repurchases. However, given our greatly enhanced valuation compared to where we were two years ago, we expect this will yield an EPS benefit of about 1% net of incremental interest expense as we maintain our long-term leverage target. This is down from an EPS growth contribution of about 2% previously."
</t>
        </r>
        <r>
          <rPr>
            <b/>
            <sz val="9"/>
            <color indexed="81"/>
            <rFont val="Tahoma"/>
            <family val="2"/>
          </rPr>
          <t>Source:</t>
        </r>
        <r>
          <rPr>
            <sz val="9"/>
            <color indexed="81"/>
            <rFont val="Tahoma"/>
            <family val="2"/>
          </rPr>
          <t xml:space="preserve"> Biennial Investor Day (December-2020)</t>
        </r>
      </text>
    </comment>
    <comment ref="W166" authorId="1" shapeId="0" xr:uid="{8EAD1320-4FFA-475F-8D07-6F48A0440D52}">
      <text>
        <r>
          <rPr>
            <b/>
            <sz val="9"/>
            <color indexed="81"/>
            <rFont val="Tahoma"/>
            <family val="2"/>
          </rPr>
          <t>Management Guidance:</t>
        </r>
        <r>
          <rPr>
            <sz val="9"/>
            <color indexed="81"/>
            <rFont val="Tahoma"/>
            <family val="2"/>
          </rPr>
          <t xml:space="preserve"> "For fiscal 2022, we're expecting a year of outsized EPS growth even though we'll be lapping the 53rd week from fiscal 2021 because we'll also be lapping significant recovery impacts from fiscal 2021, yielding non-GAAP EPS growth of at least 20%. And for fiscal 2023, we expect to stabilize our ongoing non-GAAP EPS growth algorithm of 10% to 12%."
</t>
        </r>
        <r>
          <rPr>
            <b/>
            <sz val="9"/>
            <color indexed="81"/>
            <rFont val="Tahoma"/>
            <family val="2"/>
          </rPr>
          <t xml:space="preserve">Source: </t>
        </r>
        <r>
          <rPr>
            <sz val="9"/>
            <color indexed="81"/>
            <rFont val="Tahoma"/>
            <family val="2"/>
          </rPr>
          <t>Biennial Investor Day (December-2020)</t>
        </r>
      </text>
    </comment>
    <comment ref="B174" authorId="0" shapeId="0" xr:uid="{4C857200-62F1-4C8B-85D3-1869F9E5F244}">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78" authorId="1" shapeId="0" xr:uid="{27D84101-559F-4826-BE36-45EE5F69F105}">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81" authorId="0" shapeId="0" xr:uid="{7D090521-37E3-4D68-B699-0E6F659756F0}">
      <text>
        <r>
          <rPr>
            <b/>
            <sz val="9"/>
            <color indexed="81"/>
            <rFont val="Tahoma"/>
            <family val="2"/>
          </rPr>
          <t>Enter negative EPS income tax effect as positive on this line</t>
        </r>
      </text>
    </comment>
    <comment ref="B234" authorId="0" shapeId="0" xr:uid="{C13AF9DC-4484-40BF-AB14-FB9CE64C7EC7}">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B243" authorId="0" shapeId="0" xr:uid="{4658E6B9-F1F7-4BAE-B438-3265949B13F7}">
      <text>
        <r>
          <rPr>
            <b/>
            <sz val="9"/>
            <color indexed="81"/>
            <rFont val="Tahoma"/>
            <family val="2"/>
          </rPr>
          <t>Note: Use the company's 10-K not SEC web data</t>
        </r>
      </text>
    </comment>
    <comment ref="B255" authorId="0" shapeId="0" xr:uid="{01C646FA-D363-4D2C-9418-A4806F1FE70F}">
      <text>
        <r>
          <rPr>
            <b/>
            <sz val="9"/>
            <color indexed="81"/>
            <rFont val="Tahoma"/>
            <family val="2"/>
          </rPr>
          <t>Change sign</t>
        </r>
      </text>
    </comment>
    <comment ref="B259" authorId="0" shapeId="0" xr:uid="{50A7A551-173D-4660-884A-4DE640AB23F8}">
      <text>
        <r>
          <rPr>
            <b/>
            <sz val="9"/>
            <color indexed="81"/>
            <rFont val="Tahoma"/>
            <family val="2"/>
          </rPr>
          <t>Change sign</t>
        </r>
      </text>
    </comment>
    <comment ref="H263" authorId="0" shapeId="0" xr:uid="{B10C16FA-2D48-4AE6-B8B5-790BAF0673F8}">
      <text>
        <r>
          <rPr>
            <b/>
            <sz val="9"/>
            <color indexed="81"/>
            <rFont val="Tahoma"/>
            <family val="2"/>
          </rPr>
          <t xml:space="preserve">3Q2019 Earnings call (7/25/2019) guidance for FY2019:
</t>
        </r>
        <r>
          <rPr>
            <sz val="9"/>
            <color indexed="81"/>
            <rFont val="Tahoma"/>
            <family val="2"/>
          </rPr>
          <t>Capex ~ $2B</t>
        </r>
      </text>
    </comment>
    <comment ref="M263" authorId="0" shapeId="0" xr:uid="{17C1CD12-3871-4BDA-875A-86D64EDA0515}">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63" authorId="1" shapeId="0" xr:uid="{8D429D7C-3482-482B-A0EB-8164C2878B5E}">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W263" authorId="1" shapeId="0" xr:uid="{C229A8B4-1266-4015-A101-06071F8703AD}">
      <text>
        <r>
          <rPr>
            <b/>
            <sz val="9"/>
            <color indexed="81"/>
            <rFont val="Tahoma"/>
            <family val="2"/>
          </rPr>
          <t xml:space="preserve">Management Guidance: </t>
        </r>
        <r>
          <rPr>
            <sz val="9"/>
            <color indexed="81"/>
            <rFont val="Tahoma"/>
            <family val="2"/>
          </rPr>
          <t xml:space="preserve">"...expect annual CapEx to range from $1.9 billion to $2 billion over the next three years"
</t>
        </r>
        <r>
          <rPr>
            <b/>
            <sz val="9"/>
            <color indexed="81"/>
            <rFont val="Tahoma"/>
            <family val="2"/>
          </rPr>
          <t>Source:</t>
        </r>
        <r>
          <rPr>
            <sz val="9"/>
            <color indexed="81"/>
            <rFont val="Tahoma"/>
            <family val="2"/>
          </rPr>
          <t xml:space="preserve"> Biennial Investor Day (December-2020)</t>
        </r>
      </text>
    </comment>
    <comment ref="AB263" authorId="1" shapeId="0" xr:uid="{9971E2C5-882A-4659-A27B-689496B67B8F}">
      <text>
        <r>
          <rPr>
            <b/>
            <sz val="9"/>
            <color indexed="81"/>
            <rFont val="Tahoma"/>
            <family val="2"/>
          </rPr>
          <t xml:space="preserve">Management Guidance: </t>
        </r>
        <r>
          <rPr>
            <sz val="9"/>
            <color indexed="81"/>
            <rFont val="Tahoma"/>
            <family val="2"/>
          </rPr>
          <t xml:space="preserve">"...expect annual CapEx to range from $1.9 billion to $2 billion over the next three years"
</t>
        </r>
        <r>
          <rPr>
            <b/>
            <sz val="9"/>
            <color indexed="81"/>
            <rFont val="Tahoma"/>
            <family val="2"/>
          </rPr>
          <t>Source:</t>
        </r>
        <r>
          <rPr>
            <sz val="9"/>
            <color indexed="81"/>
            <rFont val="Tahoma"/>
            <family val="2"/>
          </rPr>
          <t xml:space="preserve"> Biennial Investor Day (December-2020)</t>
        </r>
      </text>
    </comment>
    <comment ref="AG263" authorId="1" shapeId="0" xr:uid="{DA58465B-5BB3-4B4B-AC76-9B29926476F7}">
      <text>
        <r>
          <rPr>
            <b/>
            <sz val="9"/>
            <color indexed="81"/>
            <rFont val="Tahoma"/>
            <family val="2"/>
          </rPr>
          <t xml:space="preserve">Management Guidance: </t>
        </r>
        <r>
          <rPr>
            <sz val="9"/>
            <color indexed="81"/>
            <rFont val="Tahoma"/>
            <family val="2"/>
          </rPr>
          <t xml:space="preserve">"...expect annual CapEx to range from $1.9 billion to $2 billion over the next three years"
</t>
        </r>
        <r>
          <rPr>
            <b/>
            <sz val="9"/>
            <color indexed="81"/>
            <rFont val="Tahoma"/>
            <family val="2"/>
          </rPr>
          <t>Source:</t>
        </r>
        <r>
          <rPr>
            <sz val="9"/>
            <color indexed="81"/>
            <rFont val="Tahoma"/>
            <family val="2"/>
          </rPr>
          <t xml:space="preserve"> Biennial Investor Day (December-2020)</t>
        </r>
      </text>
    </comment>
    <comment ref="B267" authorId="0" shapeId="0" xr:uid="{C2E55DBF-8D85-4C39-BD25-E982300AF639}">
      <text>
        <r>
          <rPr>
            <b/>
            <sz val="9"/>
            <color indexed="81"/>
            <rFont val="Tahoma"/>
            <family val="2"/>
          </rPr>
          <t>Change sign for payments of debt</t>
        </r>
      </text>
    </comment>
    <comment ref="B280" authorId="0" shapeId="0" xr:uid="{B232C25C-A8B2-4027-A2FA-70CE1DA6025F}">
      <text>
        <r>
          <rPr>
            <sz val="9"/>
            <color indexed="81"/>
            <rFont val="Tahoma"/>
            <family val="2"/>
          </rPr>
          <t>Cash Flow from Operations - Capital Expenditures + After tax Interest Expense</t>
        </r>
      </text>
    </comment>
    <comment ref="R295" authorId="1" shapeId="0" xr:uid="{9260D032-B6E1-400E-96B2-BD626C9803A7}">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B296" authorId="0" shapeId="0" xr:uid="{74C14E45-55C3-4858-A90C-916E831B5D87}">
      <text>
        <r>
          <rPr>
            <b/>
            <sz val="9"/>
            <color indexed="81"/>
            <rFont val="Tahoma"/>
            <family val="2"/>
          </rPr>
          <t xml:space="preserve">Multiple Note 1) </t>
        </r>
        <r>
          <rPr>
            <sz val="9"/>
            <color indexed="81"/>
            <rFont val="Tahoma"/>
            <family val="2"/>
          </rPr>
          <t>There are many different multiples which could be applied to various earnings metrics, each of which result in different valuations. This calculation is for demonstration only. Please refer to the Terms of Use link for important details.  The DCF and Multiple valuation metrics are kept constant at certain points during each quarter to isolate the impact from changes in earnings estimates.   The multiple  in this section was last updated on 9/21/2021.</t>
        </r>
      </text>
    </comment>
    <comment ref="C301" authorId="0" shapeId="0" xr:uid="{322D46CF-F007-4E3B-A5B3-AC9A2DB4FE59}">
      <text>
        <r>
          <rPr>
            <b/>
            <sz val="9"/>
            <color indexed="81"/>
            <rFont val="Tahoma"/>
            <family val="2"/>
          </rPr>
          <t xml:space="preserve">Multiple Note 2) </t>
        </r>
        <r>
          <rPr>
            <sz val="9"/>
            <color indexed="81"/>
            <rFont val="Tahoma"/>
            <family val="2"/>
          </rPr>
          <t xml:space="preserve">Multiples in this section are calculated including the value of net cash and are based on the 3-month average daily share price compared to the consensus EPS estimates for the next twelve month period. </t>
        </r>
      </text>
    </comment>
    <comment ref="B304" authorId="0" shapeId="0" xr:uid="{DB156FAF-55FC-400B-B0BB-93B693851B66}">
      <text>
        <r>
          <rPr>
            <sz val="9"/>
            <color indexed="81"/>
            <rFont val="Tahoma"/>
            <family val="2"/>
          </rPr>
          <t>There are many different methods to calculate a DCF-based valuation, each of which result in different final valuation estimates. This calculation is for demonstration only. Different inputs and assumptions can result in significantly different valuation estimates. Refer to the Terms of Use link for important information regarding this demonstration.  The DCF and Multiple valuation metrics are kept constant at certain points during each quarter to isolate the impact from changes in earnings estimates.  The  Beta, Volatility, and Risk-Free rate used in this DCF section was last updated on 9/21/2021.</t>
        </r>
      </text>
    </comment>
    <comment ref="C306" authorId="0" shapeId="0" xr:uid="{7B2FCA62-4D07-468D-AB59-3BE26C97F061}">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DCF target price of $150 came to pass,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C310" authorId="0" shapeId="0" xr:uid="{1006CFD1-A895-404A-8A72-4130D99B7343}">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t>
        </r>
      </text>
    </comment>
    <comment ref="C311" authorId="0" shapeId="0" xr:uid="{10DE98A1-5BC8-40B4-8D53-01E93BB5F1CC}">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trailing  average is used (based on a 12-month forecast, refer to the ERP model for details).</t>
        </r>
      </text>
    </comment>
    <comment ref="B320" authorId="0" shapeId="0" xr:uid="{E2AD39FD-E08A-426F-8D85-389900343D2A}">
      <text>
        <r>
          <rPr>
            <sz val="9"/>
            <color indexed="81"/>
            <rFont val="Tahoma"/>
            <family val="2"/>
          </rPr>
          <t xml:space="preserve">&gt;Assumes constant networking capital in the constant growth stage.
&gt;Assumes debt balance and interest expense remains constant in the constant growth stage, and that book value of debt approximates fair value.
</t>
        </r>
      </text>
    </comment>
    <comment ref="C324" authorId="0" shapeId="0" xr:uid="{05D55088-F224-456A-A3EB-B81849B8F7FC}">
      <text>
        <r>
          <rPr>
            <sz val="9"/>
            <color indexed="81"/>
            <rFont val="Tahoma"/>
            <family val="2"/>
          </rPr>
          <t>The Stage 2 long-term WACC assumes the weight and cost of debt remains constant, and cost of equity reaches the long-term average based on a long-term beta of 0.908 using the historic average VIX of 19.12%, the historic average 10-year U.S. Treasury rate of 6.1%, and the Historic Constant Sharpe of 0.351.</t>
        </r>
      </text>
    </comment>
    <comment ref="C326" authorId="3" shapeId="0" xr:uid="{182B7025-A5E4-4742-886C-31FDD40EF0D7}">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C328" authorId="4" shapeId="0" xr:uid="{B7B2F634-84D5-4BD1-B283-2068620CEE43}">
      <text>
        <r>
          <rPr>
            <sz val="9"/>
            <color indexed="81"/>
            <rFont val="Tahoma"/>
            <family val="2"/>
          </rPr>
          <t xml:space="preserve">This adds back cash and removes debt from the enterprise value to arrive at the equity only value
</t>
        </r>
      </text>
    </comment>
    <comment ref="B331" authorId="0" shapeId="0" xr:uid="{EA9DCBB4-5FC1-4466-BCAF-9EC127728A6F}">
      <text>
        <r>
          <rPr>
            <sz val="9"/>
            <color indexed="81"/>
            <rFont val="Tahoma"/>
            <family val="2"/>
          </rPr>
          <t>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This analysis is for demonstration only, refer to full Terms of Use at GutenbergResearch.com. The mean &amp; standard deviation in this section were last updated on 9/18/2021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Gutenberg Research</author>
    <author>GE User</author>
    <author>Owner</author>
  </authors>
  <commentList>
    <comment ref="C9" authorId="0" shapeId="0" xr:uid="{31596950-6367-43A3-BD1A-AF11602648A4}">
      <text>
        <r>
          <rPr>
            <b/>
            <sz val="9"/>
            <color indexed="81"/>
            <rFont val="Tahoma"/>
            <family val="2"/>
          </rPr>
          <t xml:space="preserve">Primary Output: </t>
        </r>
        <r>
          <rPr>
            <sz val="9"/>
            <color indexed="81"/>
            <rFont val="Tahoma"/>
            <family val="2"/>
          </rPr>
          <t>After you adjust the Primary Inputs in the model below, your new earnings forecast will recalculate based on the new assumptions resulting in a new EPS estimate, and theoretical target share price band.</t>
        </r>
      </text>
    </comment>
    <comment ref="N16" authorId="1" shapeId="0" xr:uid="{0CABC0D6-52AF-4261-9CB6-200DAF25426E}">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16" authorId="1" shapeId="0" xr:uid="{3F399263-668B-4AA3-985D-59F4CC3C7E6D}">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16" authorId="1" shapeId="0" xr:uid="{F41AD145-14E7-4ADD-8376-338A2A30CF13}">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17" authorId="0" shapeId="0" xr:uid="{D3326D8C-7B0E-4E25-A4C5-1D005CE9FF07}">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17" authorId="1" shapeId="0" xr:uid="{280BF64D-5789-47C0-BEAB-575E9E185346}">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17" authorId="1" shapeId="0" xr:uid="{1BA93748-E532-4D91-80AD-CEBA54687A0B}">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8" authorId="1" shapeId="0" xr:uid="{67A699A0-270F-4155-B19E-7DC0A6CDE974}">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8" authorId="1" shapeId="0" xr:uid="{8FDC8976-1C73-4021-B4DB-43E0E6F304FE}">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9" authorId="1" shapeId="0" xr:uid="{0ADFE671-4D36-4FA1-B0DD-19FF4C3C9E03}">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9" authorId="1" shapeId="0" xr:uid="{96627279-AB5F-4EFF-B409-61A2174EB276}">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20" authorId="1" shapeId="0" xr:uid="{DCB871A0-0F1C-4A91-912A-5DD260433DBB}">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20" authorId="1" shapeId="0" xr:uid="{892C71C3-B5C6-4C65-AAB3-CB231E8FF2B7}">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21" authorId="1" shapeId="0" xr:uid="{BC02C875-0078-485F-BDA0-FF5F223567EA}">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21" authorId="1" shapeId="0" xr:uid="{87D769F0-0C4A-4756-B654-61A332429D31}">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22" authorId="2" shapeId="0" xr:uid="{80D11B59-8D75-47FE-8B3B-9E41B8F0B4E8}">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22" authorId="1" shapeId="0" xr:uid="{9A73E1A6-FF12-46CC-AC74-BB6B8EDD257B}">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22" authorId="1" shapeId="0" xr:uid="{8A55D332-D9FC-4598-82C6-4C3C0BD1415C}">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24" authorId="0" shapeId="0" xr:uid="{B5212652-CD8C-4E88-8A30-4F4005960DAB}">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24" authorId="1" shapeId="0" xr:uid="{42D37E8C-F625-4BF7-8D6B-45CB323250E0}">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24" authorId="1" shapeId="0" xr:uid="{7B0C6206-37C4-46BC-8ABE-5C269C27DC99}">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9" authorId="1" shapeId="0" xr:uid="{863D98F9-3F78-47A6-9BB0-EA394FBE1727}">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30" authorId="0" shapeId="0" xr:uid="{D5A60134-A2C2-4D47-80C3-871E9C31DEAD}">
      <text>
        <r>
          <rPr>
            <b/>
            <sz val="9"/>
            <color indexed="81"/>
            <rFont val="Tahoma"/>
            <family val="2"/>
          </rPr>
          <t>F3Q2019 Earnings call (7/25/2019) guidance for FY2019:</t>
        </r>
        <r>
          <rPr>
            <sz val="9"/>
            <color indexed="81"/>
            <rFont val="Tahoma"/>
            <family val="2"/>
          </rPr>
          <t xml:space="preserve"> Interest Expense guided to $330M.</t>
        </r>
      </text>
    </comment>
    <comment ref="M30" authorId="0" shapeId="0" xr:uid="{011DB464-AB69-4D8F-AA32-9A467E9A4567}">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30" authorId="1" shapeId="0" xr:uid="{05E405FA-EC47-468B-80FD-47D288695CC9}">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30" authorId="1" shapeId="0" xr:uid="{205106AF-EF3F-4EF6-81D1-CE2F3B32A967}">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30" authorId="1" shapeId="0" xr:uid="{5CE63927-D2FF-4AC6-823D-3C721221DE1C}">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32" authorId="1" shapeId="0" xr:uid="{50879CA9-0BC8-465C-B08A-2D35686E7BC3}">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32" authorId="1" shapeId="0" xr:uid="{8913DE78-5932-41D8-9561-4FAB08F09251}">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41" authorId="0" shapeId="0" xr:uid="{1063FE23-2878-4BFE-972D-66DFF32309DA}">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41" authorId="0" shapeId="0" xr:uid="{08F42CFA-8E99-472C-8C10-4111D8FA3F1E}">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41" authorId="0" shapeId="0" xr:uid="{50C6855B-9413-4C48-8D40-8E46259A03EE}">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41" authorId="1" shapeId="0" xr:uid="{72B4CFA2-0DB6-45B9-A070-0C2189E74482}">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41" authorId="1" shapeId="0" xr:uid="{677CFE09-76D5-4DC1-A324-FCD70A2F5AC7}">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42" authorId="0" shapeId="0" xr:uid="{FC14613E-2DC2-475E-B462-5AE1D9EF7F14}">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42" authorId="0" shapeId="0" xr:uid="{25B7F9BB-A98E-4D0C-992A-51DD68DB9670}">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42" authorId="0" shapeId="0" xr:uid="{CB6A502C-F010-4ECB-9396-0DEC8B8C024C}">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42" authorId="1" shapeId="0" xr:uid="{CC373603-D31A-4338-B2A3-3943B809A7BD}">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42" authorId="1" shapeId="0" xr:uid="{F3718621-B233-40E1-A3C5-7045ED20F083}">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L43" authorId="0" shapeId="0" xr:uid="{AD484EF5-313C-439D-B1F4-6F228791F6E3}">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G44" authorId="1" shapeId="0" xr:uid="{F2E6F7AC-6DD2-4C49-A3EA-A9863C42AF41}">
      <text>
        <r>
          <rPr>
            <b/>
            <sz val="9"/>
            <color indexed="81"/>
            <rFont val="Tahoma"/>
            <family val="2"/>
          </rPr>
          <t>Management Guidance:</t>
        </r>
        <r>
          <rPr>
            <sz val="9"/>
            <color indexed="81"/>
            <rFont val="Tahoma"/>
            <family val="2"/>
          </rPr>
          <t xml:space="preserve"> "We are committed to sustaining an attractive dividend, targeting an earnings payout ratio of approximately 50% on a stabilized basis."
</t>
        </r>
        <r>
          <rPr>
            <b/>
            <sz val="9"/>
            <color indexed="81"/>
            <rFont val="Tahoma"/>
            <family val="2"/>
          </rPr>
          <t>Source:</t>
        </r>
        <r>
          <rPr>
            <sz val="9"/>
            <color indexed="81"/>
            <rFont val="Tahoma"/>
            <family val="2"/>
          </rPr>
          <t xml:space="preserve"> Biennial Investor Day (December-2020)</t>
        </r>
      </text>
    </comment>
    <comment ref="Q49" authorId="1" shapeId="0" xr:uid="{01B3B8A5-EF1B-4D32-9F3A-22247207E69F}">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L54" authorId="0" shapeId="0" xr:uid="{6F94FD80-B5C8-4A6D-85D9-A0D601E818E4}">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54" authorId="1" shapeId="0" xr:uid="{9B8CA27F-1F40-4E54-8976-2BDECBEEC2B5}">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AA54" authorId="1" shapeId="0" xr:uid="{8A66283D-6183-4E15-98D8-8D1859A476DD}">
      <text>
        <r>
          <rPr>
            <b/>
            <sz val="9"/>
            <color indexed="81"/>
            <rFont val="Tahoma"/>
            <family val="2"/>
          </rPr>
          <t>Management Guidance:</t>
        </r>
        <r>
          <rPr>
            <sz val="9"/>
            <color indexed="81"/>
            <rFont val="Tahoma"/>
            <family val="2"/>
          </rPr>
          <t xml:space="preserve"> Guided long-term average comp growth for U.S. between 4% to 5%. This input assumes U.S. will be a relatively good proxy for the Americas segment. 
</t>
        </r>
        <r>
          <rPr>
            <b/>
            <sz val="9"/>
            <color indexed="81"/>
            <rFont val="Tahoma"/>
            <family val="2"/>
          </rPr>
          <t>Source:</t>
        </r>
        <r>
          <rPr>
            <sz val="9"/>
            <color indexed="81"/>
            <rFont val="Tahoma"/>
            <family val="2"/>
          </rPr>
          <t xml:space="preserve"> Biennial Investor Day (December-2020)
</t>
        </r>
      </text>
    </comment>
    <comment ref="AF54" authorId="1" shapeId="0" xr:uid="{D7D225E6-189E-41F2-B77A-3E9775097B86}">
      <text>
        <r>
          <rPr>
            <b/>
            <sz val="9"/>
            <color indexed="81"/>
            <rFont val="Tahoma"/>
            <family val="2"/>
          </rPr>
          <t>Management Guidance:</t>
        </r>
        <r>
          <rPr>
            <sz val="9"/>
            <color indexed="81"/>
            <rFont val="Tahoma"/>
            <family val="2"/>
          </rPr>
          <t xml:space="preserve"> Guided long-term average comp growth for U.S. between 4% to 5%. This input assumes U.S. will be a relatively good proxy for the Americas segment. 
</t>
        </r>
        <r>
          <rPr>
            <b/>
            <sz val="9"/>
            <color indexed="81"/>
            <rFont val="Tahoma"/>
            <family val="2"/>
          </rPr>
          <t>Source:</t>
        </r>
        <r>
          <rPr>
            <sz val="9"/>
            <color indexed="81"/>
            <rFont val="Tahoma"/>
            <family val="2"/>
          </rPr>
          <t xml:space="preserve"> Biennial Investor Day (December-2020)
</t>
        </r>
      </text>
    </comment>
    <comment ref="Q55" authorId="1" shapeId="0" xr:uid="{988E773E-2684-467C-A0EE-CE1416FF1037}">
      <text>
        <r>
          <rPr>
            <sz val="9"/>
            <color indexed="81"/>
            <rFont val="Tahoma"/>
            <family val="2"/>
          </rPr>
          <t>This cell inludes the last reported value, plus a $500M adjustment for the impact of the 53rd week based on management's guidance, with 80% of the impact in the Americas, and 20% in International.</t>
        </r>
      </text>
    </comment>
    <comment ref="AA55" authorId="1" shapeId="0" xr:uid="{18681B2A-19A4-4449-A711-B9A994765A96}">
      <text>
        <r>
          <rPr>
            <sz val="9"/>
            <color indexed="81"/>
            <rFont val="Tahoma"/>
            <family val="2"/>
          </rPr>
          <t>This will likely be higher than the historic average due to the sharp increase in expected new stores.</t>
        </r>
      </text>
    </comment>
    <comment ref="N56" authorId="1" shapeId="0" xr:uid="{932250B2-D36F-453E-B07C-985A9F95953E}">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56" authorId="1" shapeId="0" xr:uid="{45513C04-70F4-4998-913B-D82AD799EEED}">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N63" authorId="1" shapeId="0" xr:uid="{0F7719BA-C627-4446-920B-D0132281555B}">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AB66" authorId="1" shapeId="0" xr:uid="{F47C51C6-6F63-46A8-8961-798504144F2E}">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t>
        </r>
        <r>
          <rPr>
            <b/>
            <sz val="9"/>
            <color indexed="81"/>
            <rFont val="Tahoma"/>
            <family val="2"/>
          </rPr>
          <t xml:space="preserve">
Source:</t>
        </r>
        <r>
          <rPr>
            <sz val="9"/>
            <color indexed="81"/>
            <rFont val="Tahoma"/>
            <family val="2"/>
          </rPr>
          <t xml:space="preserve"> Biennial Investor Day (December-2020)</t>
        </r>
        <r>
          <rPr>
            <b/>
            <sz val="9"/>
            <color indexed="81"/>
            <rFont val="Tahoma"/>
            <family val="2"/>
          </rPr>
          <t xml:space="preserve">
</t>
        </r>
      </text>
    </comment>
    <comment ref="AG66" authorId="1" shapeId="0" xr:uid="{117DDEEF-BDE7-4CF2-807F-C25582343B8C}">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t>
        </r>
        <r>
          <rPr>
            <b/>
            <sz val="9"/>
            <color indexed="81"/>
            <rFont val="Tahoma"/>
            <family val="2"/>
          </rPr>
          <t xml:space="preserve">
Source: </t>
        </r>
        <r>
          <rPr>
            <sz val="9"/>
            <color indexed="81"/>
            <rFont val="Tahoma"/>
            <family val="2"/>
          </rPr>
          <t>Biennial Investor Day (December-2020)</t>
        </r>
      </text>
    </comment>
    <comment ref="H67" authorId="0" shapeId="0" xr:uid="{8EBC4E48-B868-4BAA-9825-89122AD6163A}">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67" authorId="0" shapeId="0" xr:uid="{6717E11C-6E79-4030-8073-C0F21DF9BD28}">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67" authorId="1" shapeId="0" xr:uid="{2ECFEB94-AFBC-466D-92A5-353750B339B2}">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81" authorId="0" shapeId="0" xr:uid="{AEF38CB9-A670-47D1-8A29-CC71282B450D}">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81" authorId="1" shapeId="0" xr:uid="{6648ECCC-7094-4ECA-A1A7-49F1A04CCE86}">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81" authorId="0" shapeId="0" xr:uid="{AC18259E-825F-4E4C-A5A6-82675188B75E}">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81" authorId="1" shapeId="0" xr:uid="{6F311A8C-ECDA-484D-9F41-CA7F519F43B8}">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84" authorId="0" shapeId="0" xr:uid="{048DD503-7049-488B-9595-899DFC068BA9}">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F89" authorId="0" shapeId="0" xr:uid="{6D5DF916-2D28-4C3D-8A49-01E725F74636}">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9" authorId="0" shapeId="0" xr:uid="{D3F4B386-7799-40EF-A0D4-52E9E62ACFF2}">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9" authorId="1" shapeId="0" xr:uid="{513030BA-C52E-47E8-98F2-63FF660112C6}">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AA89" authorId="1" shapeId="0" xr:uid="{A72F327E-05DF-45F4-B2E1-72AA44DA0F2C}">
      <text>
        <r>
          <rPr>
            <b/>
            <sz val="9"/>
            <color indexed="81"/>
            <rFont val="Tahoma"/>
            <family val="2"/>
          </rPr>
          <t>Management Guidance:</t>
        </r>
        <r>
          <rPr>
            <sz val="9"/>
            <color indexed="81"/>
            <rFont val="Tahoma"/>
            <family val="2"/>
          </rPr>
          <t xml:space="preserve"> Guided long-term average global comp growth of between 4% to 5%. The U.S. is expected to grow between 4% to 5%, so a 4% to 5% growth for International is also implied.
</t>
        </r>
        <r>
          <rPr>
            <b/>
            <sz val="9"/>
            <color indexed="81"/>
            <rFont val="Tahoma"/>
            <family val="2"/>
          </rPr>
          <t>Source:</t>
        </r>
        <r>
          <rPr>
            <sz val="9"/>
            <color indexed="81"/>
            <rFont val="Tahoma"/>
            <family val="2"/>
          </rPr>
          <t xml:space="preserve"> Biennial Investor Day (December-2020)
</t>
        </r>
      </text>
    </comment>
    <comment ref="AF89" authorId="1" shapeId="0" xr:uid="{530C9E20-1B46-4A99-A7DC-98ACDED96415}">
      <text>
        <r>
          <rPr>
            <b/>
            <sz val="9"/>
            <color indexed="81"/>
            <rFont val="Tahoma"/>
            <family val="2"/>
          </rPr>
          <t>Management Guidance:</t>
        </r>
        <r>
          <rPr>
            <sz val="9"/>
            <color indexed="81"/>
            <rFont val="Tahoma"/>
            <family val="2"/>
          </rPr>
          <t xml:space="preserve"> Guided long-term average global comp growth of between 4% to 5%. The U.S. is expected to grow between 4% to 5%, so a 4% to 5% growth for International is also implied.
</t>
        </r>
        <r>
          <rPr>
            <b/>
            <sz val="9"/>
            <color indexed="81"/>
            <rFont val="Tahoma"/>
            <family val="2"/>
          </rPr>
          <t>Source:</t>
        </r>
        <r>
          <rPr>
            <sz val="9"/>
            <color indexed="81"/>
            <rFont val="Tahoma"/>
            <family val="2"/>
          </rPr>
          <t xml:space="preserve"> Biennial Investor Day (December-2020)
</t>
        </r>
      </text>
    </comment>
    <comment ref="Q90" authorId="1" shapeId="0" xr:uid="{234BCF86-6D09-4D96-90A7-55CF3F75B617}">
      <text>
        <r>
          <rPr>
            <sz val="9"/>
            <color indexed="81"/>
            <rFont val="Tahoma"/>
            <family val="2"/>
          </rPr>
          <t>This cell inludes the last reported value, plus a $500M adjustment for the impact of the 53rd week based on management's guidance, with 80% of the impact in the Americas, and 20% in International.</t>
        </r>
      </text>
    </comment>
    <comment ref="N91" authorId="1" shapeId="0" xr:uid="{EA932BC1-F3D5-42F5-A255-1C5C48277834}">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91" authorId="1" shapeId="0" xr:uid="{CD8496AD-C150-479E-A278-D71A511F3052}">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M95" authorId="0" shapeId="0" xr:uid="{AB5DAC01-6D95-4162-88C3-FF4C6C705FAB}">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97" authorId="0" shapeId="0" xr:uid="{72E23A68-3B1A-459F-9B11-D3877EE891B0}">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98" authorId="1" shapeId="0" xr:uid="{300ACE67-4DBD-4D7E-B28F-38DE4CE5E88F}">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AB101" authorId="1" shapeId="0" xr:uid="{5AF591E0-2105-40E9-B81E-E733C10E6E8A}">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 . And for China, we expect continued robust store development with a net unit growth rate in the low-teens."</t>
        </r>
        <r>
          <rPr>
            <b/>
            <sz val="9"/>
            <color indexed="81"/>
            <rFont val="Tahoma"/>
            <family val="2"/>
          </rPr>
          <t xml:space="preserve">
Source: </t>
        </r>
        <r>
          <rPr>
            <sz val="9"/>
            <color indexed="81"/>
            <rFont val="Tahoma"/>
            <family val="2"/>
          </rPr>
          <t>Biennial Investor Day (December-2020)</t>
        </r>
      </text>
    </comment>
    <comment ref="AG101" authorId="1" shapeId="0" xr:uid="{F217AF64-E35C-47A9-90BA-84DB62BC104A}">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 . And for China, we expect continued robust store development with a net unit growth rate in the low-teens."</t>
        </r>
        <r>
          <rPr>
            <b/>
            <sz val="9"/>
            <color indexed="81"/>
            <rFont val="Tahoma"/>
            <family val="2"/>
          </rPr>
          <t xml:space="preserve">
Source: </t>
        </r>
        <r>
          <rPr>
            <sz val="9"/>
            <color indexed="81"/>
            <rFont val="Tahoma"/>
            <family val="2"/>
          </rPr>
          <t>Biennial Investor Day (December-2020)</t>
        </r>
      </text>
    </comment>
    <comment ref="R102" authorId="1" shapeId="0" xr:uid="{8A948C60-0070-40DB-BF72-1962F2EBD4CE}">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17" authorId="1" shapeId="0" xr:uid="{582E1614-16F0-4896-AA32-7770F114C536}">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17" authorId="0" shapeId="0" xr:uid="{C79D31E1-3727-41E7-8C55-36AAFC3B4F8D}">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17" authorId="1" shapeId="0" xr:uid="{D2DE0882-0544-4A72-B4C4-1398D5C04CDA}">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18" authorId="0" shapeId="0" xr:uid="{B7BC65A9-F42C-4C07-93E7-4B8A219E17B2}">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19" authorId="0" shapeId="0" xr:uid="{6F6C19D5-F2E3-417F-A9B0-263EF9490D35}">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19" authorId="1" shapeId="0" xr:uid="{431A0587-4BF9-4156-984F-7F6A95D3A0D9}">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19" authorId="1" shapeId="0" xr:uid="{E1F0B6E1-5C9C-4B97-B768-04E0E2F3DBE6}">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19" authorId="1" shapeId="0" xr:uid="{62B5511D-B960-40A6-B3B6-6C614934836A}">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20" authorId="0" shapeId="0" xr:uid="{F8896D82-57F1-4182-A52A-4B15CD6FDF4E}">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AB120" authorId="1" shapeId="0" xr:uid="{2A0D279D-F45C-48A6-B77F-B4D835A92D7A}">
      <text>
        <r>
          <rPr>
            <b/>
            <sz val="9"/>
            <color indexed="81"/>
            <rFont val="Tahoma"/>
            <family val="2"/>
          </rPr>
          <t xml:space="preserve">Management Guidance: </t>
        </r>
        <r>
          <rPr>
            <sz val="9"/>
            <color indexed="81"/>
            <rFont val="Tahoma"/>
            <family val="2"/>
          </rPr>
          <t>5% to 6% growth</t>
        </r>
        <r>
          <rPr>
            <b/>
            <sz val="9"/>
            <color indexed="81"/>
            <rFont val="Tahoma"/>
            <family val="2"/>
          </rPr>
          <t xml:space="preserve">
Source:</t>
        </r>
        <r>
          <rPr>
            <sz val="9"/>
            <color indexed="81"/>
            <rFont val="Tahoma"/>
            <family val="2"/>
          </rPr>
          <t xml:space="preserve"> Biennial Investor Day (December-2020)</t>
        </r>
      </text>
    </comment>
    <comment ref="AG120" authorId="1" shapeId="0" xr:uid="{C55AD9B8-7F7A-41E2-8543-96B13BF3F4F6}">
      <text>
        <r>
          <rPr>
            <b/>
            <sz val="9"/>
            <color indexed="81"/>
            <rFont val="Tahoma"/>
            <family val="2"/>
          </rPr>
          <t>Management Guidance:</t>
        </r>
        <r>
          <rPr>
            <sz val="9"/>
            <color indexed="81"/>
            <rFont val="Tahoma"/>
            <family val="2"/>
          </rPr>
          <t xml:space="preserve"> 5% to 6% growth
</t>
        </r>
        <r>
          <rPr>
            <b/>
            <sz val="9"/>
            <color indexed="81"/>
            <rFont val="Tahoma"/>
            <family val="2"/>
          </rPr>
          <t>Source:</t>
        </r>
        <r>
          <rPr>
            <sz val="9"/>
            <color indexed="81"/>
            <rFont val="Tahoma"/>
            <family val="2"/>
          </rPr>
          <t xml:space="preserve"> Biennial Investor Day (December-2020)</t>
        </r>
      </text>
    </comment>
    <comment ref="N131" authorId="1" shapeId="0" xr:uid="{CC456F0C-D171-44EF-865B-10126EC27CB5}">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31" authorId="1" shapeId="0" xr:uid="{A12FD6AD-A3A4-43D8-AB97-BA8688A92641}">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32" authorId="0" shapeId="0" xr:uid="{48332F33-9A49-4097-B2CC-EF0676AE2253}">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32" authorId="0" shapeId="0" xr:uid="{166A2DFE-39E8-4EFA-8318-9395BBC0878C}">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42" authorId="1" shapeId="0" xr:uid="{14CC98D8-BBE4-47B2-9D12-BD1B3D8D3216}">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42" authorId="1" shapeId="0" xr:uid="{4903B6D2-92C9-4273-9C76-AFA314C6126D}">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H150" authorId="0" shapeId="0" xr:uid="{1C35AB1C-01D5-48EC-AD8C-3A03EDDDD7EE}">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50" authorId="0" shapeId="0" xr:uid="{9437506E-AAE8-4EA5-8DCE-54BE76CB84C9}">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B150" authorId="1" shapeId="0" xr:uid="{3D375B17-FE10-440E-83FC-7FC8A0F1B142}">
      <text>
        <r>
          <rPr>
            <b/>
            <sz val="9"/>
            <color indexed="81"/>
            <rFont val="Tahoma"/>
            <family val="2"/>
          </rPr>
          <t xml:space="preserve">Management Guidance: </t>
        </r>
        <r>
          <rPr>
            <sz val="9"/>
            <color indexed="81"/>
            <rFont val="Tahoma"/>
            <family val="2"/>
          </rPr>
          <t xml:space="preserve">"Combining comp growth with unit growth, we expect enterprise revenue growth of 8% to 10% annually"
</t>
        </r>
        <r>
          <rPr>
            <b/>
            <sz val="9"/>
            <color indexed="81"/>
            <rFont val="Tahoma"/>
            <family val="2"/>
          </rPr>
          <t>Source:</t>
        </r>
        <r>
          <rPr>
            <sz val="9"/>
            <color indexed="81"/>
            <rFont val="Tahoma"/>
            <family val="2"/>
          </rPr>
          <t xml:space="preserve"> Biennial Investor Day (December-2020)</t>
        </r>
      </text>
    </comment>
    <comment ref="AG150" authorId="1" shapeId="0" xr:uid="{E73912F3-275C-46E0-9EC3-93C3FD81624A}">
      <text>
        <r>
          <rPr>
            <b/>
            <sz val="9"/>
            <color indexed="81"/>
            <rFont val="Tahoma"/>
            <family val="2"/>
          </rPr>
          <t xml:space="preserve">Management Guidance: </t>
        </r>
        <r>
          <rPr>
            <sz val="9"/>
            <color indexed="81"/>
            <rFont val="Tahoma"/>
            <family val="2"/>
          </rPr>
          <t xml:space="preserve">"Combining comp growth with unit growth, we expect enterprise revenue growth of 8% to 10% annually"
</t>
        </r>
        <r>
          <rPr>
            <b/>
            <sz val="9"/>
            <color indexed="81"/>
            <rFont val="Tahoma"/>
            <family val="2"/>
          </rPr>
          <t>Source:</t>
        </r>
        <r>
          <rPr>
            <sz val="9"/>
            <color indexed="81"/>
            <rFont val="Tahoma"/>
            <family val="2"/>
          </rPr>
          <t xml:space="preserve"> Biennial Investor Day (December-2020)</t>
        </r>
      </text>
    </comment>
    <comment ref="R151" authorId="1" shapeId="0" xr:uid="{175518A7-74E8-4CB6-8C29-4645E45ED5A4}">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52" authorId="1" shapeId="0" xr:uid="{049A39DD-5FCD-4BB3-824B-3AF70F305F0D}">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B152" authorId="1" shapeId="0" xr:uid="{6F58B0E9-9DA8-4AD6-8A5E-CFB9C0AABFC2}">
      <text>
        <r>
          <rPr>
            <b/>
            <sz val="9"/>
            <color indexed="81"/>
            <rFont val="Tahoma"/>
            <family val="2"/>
          </rPr>
          <t xml:space="preserve">Management Guidance: </t>
        </r>
        <r>
          <rPr>
            <sz val="9"/>
            <color indexed="81"/>
            <rFont val="Tahoma"/>
            <family val="2"/>
          </rPr>
          <t>"Moving on to non-GAAP operating margin. We continue to expect a modest amount of margin expansion each year...to a new range of 18% to 19% beyond fiscal 2021"</t>
        </r>
        <r>
          <rPr>
            <b/>
            <sz val="9"/>
            <color indexed="81"/>
            <rFont val="Tahoma"/>
            <family val="2"/>
          </rPr>
          <t xml:space="preserve">
Source: </t>
        </r>
        <r>
          <rPr>
            <sz val="9"/>
            <color indexed="81"/>
            <rFont val="Tahoma"/>
            <family val="2"/>
          </rPr>
          <t>Biennial Investor Day (December-2020)</t>
        </r>
      </text>
    </comment>
    <comment ref="AG152" authorId="1" shapeId="0" xr:uid="{D3451536-2699-4B7D-AA23-3AC6EF134237}">
      <text>
        <r>
          <rPr>
            <b/>
            <sz val="9"/>
            <color indexed="81"/>
            <rFont val="Tahoma"/>
            <family val="2"/>
          </rPr>
          <t xml:space="preserve">Management Guidance: </t>
        </r>
        <r>
          <rPr>
            <sz val="9"/>
            <color indexed="81"/>
            <rFont val="Tahoma"/>
            <family val="2"/>
          </rPr>
          <t>"Moving on to non-GAAP operating margin. We continue to expect a modest amount of margin expansion each year...to a new range of 18% to 19% beyond fiscal 2021"</t>
        </r>
        <r>
          <rPr>
            <b/>
            <sz val="9"/>
            <color indexed="81"/>
            <rFont val="Tahoma"/>
            <family val="2"/>
          </rPr>
          <t xml:space="preserve">
Source: </t>
        </r>
        <r>
          <rPr>
            <sz val="9"/>
            <color indexed="81"/>
            <rFont val="Tahoma"/>
            <family val="2"/>
          </rPr>
          <t>Biennial Investor Day (December-2020)</t>
        </r>
      </text>
    </comment>
    <comment ref="H153" authorId="0" shapeId="0" xr:uid="{FF8C1753-1E46-4A26-9CE9-6BD26F86F0ED}">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53" authorId="0" shapeId="0" xr:uid="{B48C6209-ABE8-48D3-A364-927840B5D627}">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53" authorId="1" shapeId="0" xr:uid="{BE69E549-E84A-4CEA-A31F-64F9C50D3E5A}">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W156" authorId="1" shapeId="0" xr:uid="{5DB1FB83-8B5F-418A-ACDB-7BB82380B290}">
      <text>
        <r>
          <rPr>
            <b/>
            <sz val="9"/>
            <color indexed="81"/>
            <rFont val="Tahoma"/>
            <family val="2"/>
          </rPr>
          <t>Management Guidance:</t>
        </r>
        <r>
          <rPr>
            <sz val="9"/>
            <color indexed="81"/>
            <rFont val="Tahoma"/>
            <family val="2"/>
          </rPr>
          <t xml:space="preserve"> "For fiscal 2022, we're expecting a year of outsized EPS growth even though we'll be lapping the 53rd week from fiscal 2021 because we'll also be lapping significant recovery impacts from fiscal 2021, yielding non-GAAP EPS growth of at least 20%. And for fiscal 2023, we expect to stabilize our ongoing non-GAAP EPS growth algorithm of 10% to 12%."
</t>
        </r>
        <r>
          <rPr>
            <b/>
            <sz val="9"/>
            <color indexed="81"/>
            <rFont val="Tahoma"/>
            <family val="2"/>
          </rPr>
          <t xml:space="preserve">Source: </t>
        </r>
        <r>
          <rPr>
            <sz val="9"/>
            <color indexed="81"/>
            <rFont val="Tahoma"/>
            <family val="2"/>
          </rPr>
          <t xml:space="preserve">Biennial Investor Day (December-2020)
</t>
        </r>
        <r>
          <rPr>
            <b/>
            <sz val="9"/>
            <color indexed="81"/>
            <rFont val="Tahoma"/>
            <family val="2"/>
          </rPr>
          <t>NOTE: This cell is calculated after removing the 0.10 impact of the extra week.</t>
        </r>
      </text>
    </comment>
    <comment ref="AB156" authorId="1" shapeId="0" xr:uid="{ED1FCDD3-E5F3-4028-9454-D749CEF80F25}">
      <text>
        <r>
          <rPr>
            <b/>
            <sz val="9"/>
            <color indexed="81"/>
            <rFont val="Tahoma"/>
            <family val="2"/>
          </rPr>
          <t>Management Guidance:</t>
        </r>
        <r>
          <rPr>
            <sz val="9"/>
            <color indexed="81"/>
            <rFont val="Tahoma"/>
            <family val="2"/>
          </rPr>
          <t xml:space="preserve"> "For fiscal 2022, we're expecting a year of outsized EPS growth even though we'll be lapping the 53rd week from fiscal 2021 because we'll also be lapping significant recovery impacts from fiscal 2021, yielding non-GAAP EPS growth of at least 20%. And for fiscal 2023, we expect to stabilize our ongoing non-GAAP EPS growth algorithm of 10% to 12%."
</t>
        </r>
        <r>
          <rPr>
            <b/>
            <sz val="9"/>
            <color indexed="81"/>
            <rFont val="Tahoma"/>
            <family val="2"/>
          </rPr>
          <t xml:space="preserve">Source: </t>
        </r>
        <r>
          <rPr>
            <sz val="9"/>
            <color indexed="81"/>
            <rFont val="Tahoma"/>
            <family val="2"/>
          </rPr>
          <t>Biennial Investor Day (December-2020)</t>
        </r>
      </text>
    </comment>
    <comment ref="B159" authorId="0" shapeId="0" xr:uid="{5E57D7F0-93DF-49AD-AB4A-A75ED4E476EB}">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W163" authorId="1" shapeId="0" xr:uid="{61A65BCC-83D3-48B4-8BB4-03100DD561C6}">
      <text>
        <r>
          <rPr>
            <b/>
            <sz val="9"/>
            <color indexed="81"/>
            <rFont val="Tahoma"/>
            <family val="2"/>
          </rPr>
          <t>Management Guidance:</t>
        </r>
        <r>
          <rPr>
            <sz val="9"/>
            <color indexed="81"/>
            <rFont val="Tahoma"/>
            <family val="2"/>
          </rPr>
          <t xml:space="preserve"> "Subsequently, we anticipate a healthy and relatively steady return of shareholder capital to resume in fiscal 2022 through ongoing share repurchases. However, given our greatly enhanced valuation compared to where we were two years ago, we expect this will yield an EPS benefit of about 1% net of incremental interest expense as we maintain our long-term leverage target. This is down from an EPS growth contribution of about 2% previously."
</t>
        </r>
        <r>
          <rPr>
            <b/>
            <sz val="9"/>
            <color indexed="81"/>
            <rFont val="Tahoma"/>
            <family val="2"/>
          </rPr>
          <t>Source:</t>
        </r>
        <r>
          <rPr>
            <sz val="9"/>
            <color indexed="81"/>
            <rFont val="Tahoma"/>
            <family val="2"/>
          </rPr>
          <t xml:space="preserve"> Biennial Investor Day (December-2020)</t>
        </r>
      </text>
    </comment>
    <comment ref="W166" authorId="1" shapeId="0" xr:uid="{CC34209D-097E-4A97-853B-609CFD62744C}">
      <text>
        <r>
          <rPr>
            <b/>
            <sz val="9"/>
            <color indexed="81"/>
            <rFont val="Tahoma"/>
            <family val="2"/>
          </rPr>
          <t>Management Guidance:</t>
        </r>
        <r>
          <rPr>
            <sz val="9"/>
            <color indexed="81"/>
            <rFont val="Tahoma"/>
            <family val="2"/>
          </rPr>
          <t xml:space="preserve"> "For fiscal 2022, we're expecting a year of outsized EPS growth even though we'll be lapping the 53rd week from fiscal 2021 because we'll also be lapping significant recovery impacts from fiscal 2021, yielding non-GAAP EPS growth of at least 20%. And for fiscal 2023, we expect to stabilize our ongoing non-GAAP EPS growth algorithm of 10% to 12%."
</t>
        </r>
        <r>
          <rPr>
            <b/>
            <sz val="9"/>
            <color indexed="81"/>
            <rFont val="Tahoma"/>
            <family val="2"/>
          </rPr>
          <t xml:space="preserve">Source: </t>
        </r>
        <r>
          <rPr>
            <sz val="9"/>
            <color indexed="81"/>
            <rFont val="Tahoma"/>
            <family val="2"/>
          </rPr>
          <t>Biennial Investor Day (December-2020)</t>
        </r>
      </text>
    </comment>
    <comment ref="B174" authorId="0" shapeId="0" xr:uid="{58D8CCCC-3B51-4BC1-80F6-94E15BB5543B}">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78" authorId="1" shapeId="0" xr:uid="{6D4DA275-4DF2-45C0-9F98-A490E6EBDC71}">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81" authorId="0" shapeId="0" xr:uid="{9E3EA218-B254-4B9D-ADCC-E9A85D09C50D}">
      <text>
        <r>
          <rPr>
            <b/>
            <sz val="9"/>
            <color indexed="81"/>
            <rFont val="Tahoma"/>
            <family val="2"/>
          </rPr>
          <t>Enter negative EPS income tax effect as positive on this line</t>
        </r>
      </text>
    </comment>
    <comment ref="B234" authorId="0" shapeId="0" xr:uid="{9247DCB0-CDFB-49E6-866F-DBEFAF41693E}">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B243" authorId="0" shapeId="0" xr:uid="{A2D86BB6-C2D9-4AAA-8784-DF0568F12D93}">
      <text>
        <r>
          <rPr>
            <b/>
            <sz val="9"/>
            <color indexed="81"/>
            <rFont val="Tahoma"/>
            <family val="2"/>
          </rPr>
          <t>Note: Use the company's 10-K not SEC web data</t>
        </r>
      </text>
    </comment>
    <comment ref="B255" authorId="0" shapeId="0" xr:uid="{26811B57-0A63-4B79-AE59-948B6DB2FF5C}">
      <text>
        <r>
          <rPr>
            <b/>
            <sz val="9"/>
            <color indexed="81"/>
            <rFont val="Tahoma"/>
            <family val="2"/>
          </rPr>
          <t>Change sign</t>
        </r>
      </text>
    </comment>
    <comment ref="B259" authorId="0" shapeId="0" xr:uid="{C17EB082-EEDA-40C8-BF0B-A6CAC1B9BA8B}">
      <text>
        <r>
          <rPr>
            <b/>
            <sz val="9"/>
            <color indexed="81"/>
            <rFont val="Tahoma"/>
            <family val="2"/>
          </rPr>
          <t>Change sign</t>
        </r>
      </text>
    </comment>
    <comment ref="H263" authorId="0" shapeId="0" xr:uid="{3A234628-8CDE-49D1-BA26-E5B270D45EA9}">
      <text>
        <r>
          <rPr>
            <b/>
            <sz val="9"/>
            <color indexed="81"/>
            <rFont val="Tahoma"/>
            <family val="2"/>
          </rPr>
          <t xml:space="preserve">3Q2019 Earnings call (7/25/2019) guidance for FY2019:
</t>
        </r>
        <r>
          <rPr>
            <sz val="9"/>
            <color indexed="81"/>
            <rFont val="Tahoma"/>
            <family val="2"/>
          </rPr>
          <t>Capex ~ $2B</t>
        </r>
      </text>
    </comment>
    <comment ref="M263" authorId="0" shapeId="0" xr:uid="{22D77710-6046-43CF-9A20-93E487E1C793}">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63" authorId="1" shapeId="0" xr:uid="{F0A7B457-0CAF-49CF-8911-C91D33E6FC2D}">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W263" authorId="1" shapeId="0" xr:uid="{E396AF3B-64CF-499D-9B1A-F77E40F4DC9E}">
      <text>
        <r>
          <rPr>
            <b/>
            <sz val="9"/>
            <color indexed="81"/>
            <rFont val="Tahoma"/>
            <family val="2"/>
          </rPr>
          <t xml:space="preserve">Management Guidance: </t>
        </r>
        <r>
          <rPr>
            <sz val="9"/>
            <color indexed="81"/>
            <rFont val="Tahoma"/>
            <family val="2"/>
          </rPr>
          <t xml:space="preserve">"...expect annual CapEx to range from $1.9 billion to $2 billion over the next three years"
</t>
        </r>
        <r>
          <rPr>
            <b/>
            <sz val="9"/>
            <color indexed="81"/>
            <rFont val="Tahoma"/>
            <family val="2"/>
          </rPr>
          <t>Source:</t>
        </r>
        <r>
          <rPr>
            <sz val="9"/>
            <color indexed="81"/>
            <rFont val="Tahoma"/>
            <family val="2"/>
          </rPr>
          <t xml:space="preserve"> Biennial Investor Day (December-2020)</t>
        </r>
      </text>
    </comment>
    <comment ref="AB263" authorId="1" shapeId="0" xr:uid="{0D32885C-B36B-4D02-A53E-8043DAC51019}">
      <text>
        <r>
          <rPr>
            <b/>
            <sz val="9"/>
            <color indexed="81"/>
            <rFont val="Tahoma"/>
            <family val="2"/>
          </rPr>
          <t xml:space="preserve">Management Guidance: </t>
        </r>
        <r>
          <rPr>
            <sz val="9"/>
            <color indexed="81"/>
            <rFont val="Tahoma"/>
            <family val="2"/>
          </rPr>
          <t xml:space="preserve">"...expect annual CapEx to range from $1.9 billion to $2 billion over the next three years"
</t>
        </r>
        <r>
          <rPr>
            <b/>
            <sz val="9"/>
            <color indexed="81"/>
            <rFont val="Tahoma"/>
            <family val="2"/>
          </rPr>
          <t>Source:</t>
        </r>
        <r>
          <rPr>
            <sz val="9"/>
            <color indexed="81"/>
            <rFont val="Tahoma"/>
            <family val="2"/>
          </rPr>
          <t xml:space="preserve"> Biennial Investor Day (December-2020)</t>
        </r>
      </text>
    </comment>
    <comment ref="AG263" authorId="1" shapeId="0" xr:uid="{D02A0524-51A5-4BF4-98E8-FA30A15C36DD}">
      <text>
        <r>
          <rPr>
            <b/>
            <sz val="9"/>
            <color indexed="81"/>
            <rFont val="Tahoma"/>
            <family val="2"/>
          </rPr>
          <t xml:space="preserve">Management Guidance: </t>
        </r>
        <r>
          <rPr>
            <sz val="9"/>
            <color indexed="81"/>
            <rFont val="Tahoma"/>
            <family val="2"/>
          </rPr>
          <t xml:space="preserve">"...expect annual CapEx to range from $1.9 billion to $2 billion over the next three years"
</t>
        </r>
        <r>
          <rPr>
            <b/>
            <sz val="9"/>
            <color indexed="81"/>
            <rFont val="Tahoma"/>
            <family val="2"/>
          </rPr>
          <t>Source:</t>
        </r>
        <r>
          <rPr>
            <sz val="9"/>
            <color indexed="81"/>
            <rFont val="Tahoma"/>
            <family val="2"/>
          </rPr>
          <t xml:space="preserve"> Biennial Investor Day (December-2020)</t>
        </r>
      </text>
    </comment>
    <comment ref="B267" authorId="0" shapeId="0" xr:uid="{158B2ABA-49C0-480C-AC98-D763A1688199}">
      <text>
        <r>
          <rPr>
            <b/>
            <sz val="9"/>
            <color indexed="81"/>
            <rFont val="Tahoma"/>
            <family val="2"/>
          </rPr>
          <t>Change sign for payments of debt</t>
        </r>
      </text>
    </comment>
    <comment ref="B280" authorId="0" shapeId="0" xr:uid="{1DBD9028-547C-49AD-BF27-D0335CFDF41E}">
      <text>
        <r>
          <rPr>
            <sz val="9"/>
            <color indexed="81"/>
            <rFont val="Tahoma"/>
            <family val="2"/>
          </rPr>
          <t>Cash Flow from Operations - Capital Expenditures + After tax Interest Expense</t>
        </r>
      </text>
    </comment>
    <comment ref="R295" authorId="1" shapeId="0" xr:uid="{A8E54F9F-87BF-4E00-9357-FEA69B1BFECB}">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B296" authorId="0" shapeId="0" xr:uid="{E89D8327-B922-49C0-AFDE-D8A71DE60843}">
      <text>
        <r>
          <rPr>
            <b/>
            <sz val="9"/>
            <color indexed="81"/>
            <rFont val="Tahoma"/>
            <family val="2"/>
          </rPr>
          <t xml:space="preserve">Multiple Note 1) </t>
        </r>
        <r>
          <rPr>
            <sz val="9"/>
            <color indexed="81"/>
            <rFont val="Tahoma"/>
            <family val="2"/>
          </rPr>
          <t>There are many different multiples which could be applied to various earnings metrics, each of which result in different valuations. This calculation is for demonstration only. Please refer to the Terms of Use link for important details.  The DCF and Multiple valuation metrics are kept constant at certain points during each quarter to isolate the impact from changes in earnings estimates.   The multiple  in this section was last updated on 9/21/2021.</t>
        </r>
      </text>
    </comment>
    <comment ref="C301" authorId="0" shapeId="0" xr:uid="{56AB45D6-F1AA-42C0-86B6-75ADE1B7E48B}">
      <text>
        <r>
          <rPr>
            <b/>
            <sz val="9"/>
            <color indexed="81"/>
            <rFont val="Tahoma"/>
            <family val="2"/>
          </rPr>
          <t xml:space="preserve">Multiple Note 2) </t>
        </r>
        <r>
          <rPr>
            <sz val="9"/>
            <color indexed="81"/>
            <rFont val="Tahoma"/>
            <family val="2"/>
          </rPr>
          <t xml:space="preserve">Multiples in this section are calculated including the value of net cash and are based on the 3-month average daily share price compared to the consensus EPS estimates for the next twelve month period. </t>
        </r>
      </text>
    </comment>
    <comment ref="B304" authorId="0" shapeId="0" xr:uid="{32E38057-F56B-4252-8887-0E524BFD67B9}">
      <text>
        <r>
          <rPr>
            <sz val="9"/>
            <color indexed="81"/>
            <rFont val="Tahoma"/>
            <family val="2"/>
          </rPr>
          <t>There are many different methods to calculate a DCF-based valuation, each of which result in different final valuation estimates. This calculation is for demonstration only. Different inputs and assumptions can result in significantly different valuation estimates. Refer to the Terms of Use link for important information regarding this demonstration.  The DCF and Multiple valuation metrics are kept constant at certain points during each quarter to isolate the impact from changes in earnings estimates.  The  Beta, Volatility, and Risk-Free rate used in this DCF section was last updated on 9/21/2021.</t>
        </r>
      </text>
    </comment>
    <comment ref="C306" authorId="0" shapeId="0" xr:uid="{5CBBEA16-163B-4F01-8DBB-F2B39B20DD36}">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DCF target price of $150 came to pass,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C310" authorId="0" shapeId="0" xr:uid="{718B8348-7761-4F6A-B7B0-5E439DFC7E98}">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t>
        </r>
      </text>
    </comment>
    <comment ref="C311" authorId="0" shapeId="0" xr:uid="{89264BCC-E020-4C3F-9275-8192B58319EB}">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trailing  average is used (based on a 12-month forecast, refer to the ERP model for details).</t>
        </r>
      </text>
    </comment>
    <comment ref="B320" authorId="0" shapeId="0" xr:uid="{801567A6-BEDD-42ED-A249-545CFF404269}">
      <text>
        <r>
          <rPr>
            <sz val="9"/>
            <color indexed="81"/>
            <rFont val="Tahoma"/>
            <family val="2"/>
          </rPr>
          <t xml:space="preserve">&gt;Assumes constant networking capital in the constant growth stage.
&gt;Assumes debt balance and interest expense remains constant in the constant growth stage, and that book value of debt approximates fair value.
</t>
        </r>
      </text>
    </comment>
    <comment ref="C324" authorId="0" shapeId="0" xr:uid="{BE7E65EB-A50F-46F9-9552-48D177C1ED63}">
      <text>
        <r>
          <rPr>
            <sz val="9"/>
            <color indexed="81"/>
            <rFont val="Tahoma"/>
            <family val="2"/>
          </rPr>
          <t>The Stage 2 long-term WACC assumes the weight and cost of debt remains constant, and cost of equity reaches the long-term average based on a long-term beta of 0.908 using the historic average VIX of 19.12%, the historic average 10-year U.S. Treasury rate of 6.1%, and the Historic Constant Sharpe of 0.351.</t>
        </r>
      </text>
    </comment>
    <comment ref="C326" authorId="3" shapeId="0" xr:uid="{F9603240-6800-4D75-AC2F-11E6602AF5B6}">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C328" authorId="4" shapeId="0" xr:uid="{277FA0B3-520A-4352-8CD7-5EF37E369AA5}">
      <text>
        <r>
          <rPr>
            <sz val="9"/>
            <color indexed="81"/>
            <rFont val="Tahoma"/>
            <family val="2"/>
          </rPr>
          <t xml:space="preserve">This adds back cash and removes debt from the enterprise value to arrive at the equity only value
</t>
        </r>
      </text>
    </comment>
    <comment ref="B331" authorId="0" shapeId="0" xr:uid="{ADE53E47-791A-4B03-8CD4-B6965BB4FA46}">
      <text>
        <r>
          <rPr>
            <sz val="9"/>
            <color indexed="81"/>
            <rFont val="Tahoma"/>
            <family val="2"/>
          </rPr>
          <t>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This analysis is for demonstration only, refer to full Terms of Use at GutenbergResearch.com. The mean &amp; standard deviation in this section were last updated on 9/18/2021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John Moschella</author>
    <author>Gutenberg Research</author>
    <author>GE User</author>
    <author>Owner</author>
  </authors>
  <commentList>
    <comment ref="C9" authorId="0" shapeId="0" xr:uid="{45FAEB4A-C3C0-4B1E-B88E-46A90330079F}">
      <text>
        <r>
          <rPr>
            <b/>
            <sz val="9"/>
            <color indexed="81"/>
            <rFont val="Tahoma"/>
            <family val="2"/>
          </rPr>
          <t xml:space="preserve">Primary Output: </t>
        </r>
        <r>
          <rPr>
            <sz val="9"/>
            <color indexed="81"/>
            <rFont val="Tahoma"/>
            <family val="2"/>
          </rPr>
          <t>After you adjust the Primary Inputs in the model below, your new earnings forecast will recalculate based on the new assumptions resulting in a new EPS estimate, and theoretical target share price band.</t>
        </r>
      </text>
    </comment>
    <comment ref="N16" authorId="1" shapeId="0" xr:uid="{11262838-34EF-42D6-B35C-1C3C93BBAA86}">
      <text>
        <r>
          <rPr>
            <b/>
            <sz val="9"/>
            <color indexed="81"/>
            <rFont val="Tahoma"/>
            <family val="2"/>
          </rPr>
          <t xml:space="preserve">-----------Review of Historic Results------------
MD&amp;A Comment: </t>
        </r>
        <r>
          <rPr>
            <sz val="9"/>
            <color indexed="81"/>
            <rFont val="Tahoma"/>
            <family val="2"/>
          </rPr>
          <t xml:space="preserve">Total net revenues for the first quarter of fiscal 2021 decreased $348 million. Company-operated stores revenue declined $54 million, reflecting a 5% decrease in comparable store sales ($279 million) attributed to a 19% decrease in transactions partially offset by a 17% increase in average ticket. This decrease was partially offset by 667 net new Starbucks company-operated stores, or a 4% increase, over the past 12 months ($170 million) and favorable foreign currency translation ($69 million).
Licensed stores revenue decreased $178 million, primarily driven by lower product and equipment sales to and royalty revenues from our licensees.
Other revenues decreased $115 million, primarily due to the transition of certain single-serve product activities to Nestlé and lapping of transition activities related
to the Global Coffee Alliance in the prior year. Also contributing were lower Global Coffee Alliance revenues, mainly driven by the Foodservice business, which
experienced softening due to COVID-19.
</t>
        </r>
        <r>
          <rPr>
            <b/>
            <sz val="9"/>
            <color indexed="81"/>
            <rFont val="Tahoma"/>
            <family val="2"/>
          </rPr>
          <t>Source:</t>
        </r>
        <r>
          <rPr>
            <sz val="9"/>
            <color indexed="81"/>
            <rFont val="Tahoma"/>
            <family val="2"/>
          </rPr>
          <t xml:space="preserve"> F1Q2021 10-Q</t>
        </r>
      </text>
    </comment>
    <comment ref="P16" authorId="1" shapeId="0" xr:uid="{F068F41A-01D9-4FC6-8E42-ACDE76B86163}">
      <text>
        <r>
          <rPr>
            <b/>
            <sz val="9"/>
            <color indexed="81"/>
            <rFont val="Tahoma"/>
            <family val="2"/>
          </rPr>
          <t>-----------Review of Historic Results--------
MD&amp;A Comment:</t>
        </r>
        <r>
          <rPr>
            <sz val="9"/>
            <color indexed="81"/>
            <rFont val="Tahoma"/>
            <family val="2"/>
          </rPr>
          <t xml:space="preserve"> Total net revenues for the third quarter of fiscal 2021 increased $3.3 billion, primarily due to higher revenues from company-operated stores ($2.9 billion). The growth of company-operated stores revenues was driven by a 73% increase in comparable store sales ($2.5 billion) attributed to a 75% increase in transactions offset by a 1% decrease in average ticket. Also contributing to the increase were incremental revenues from 612 net new Starbucks company-operated stores, or a 4% increase, over the past 12 months ($268 million) and favorable foreign currency translation ($119 million).
Licensed stores revenue increased $380 million, primarily driven by higher product and equipment sales to and royalty revenues from our licensees.
Other revenues decreased $24 million, primarily due to the transition of certain single-serve product activities to Nestlé. This was partially offset by higher product
sales and royalty revenue in the Global Coffee Alliance and growth in our ready-to-drink business.</t>
        </r>
        <r>
          <rPr>
            <b/>
            <sz val="9"/>
            <color indexed="81"/>
            <rFont val="Tahoma"/>
            <family val="2"/>
          </rPr>
          <t xml:space="preserve">
Source: </t>
        </r>
        <r>
          <rPr>
            <sz val="9"/>
            <color indexed="81"/>
            <rFont val="Tahoma"/>
            <family val="2"/>
          </rPr>
          <t>F3Q2021 10-Q</t>
        </r>
      </text>
    </comment>
    <comment ref="R16" authorId="1" shapeId="0" xr:uid="{0EE64098-0C30-4863-9284-C77F9A4219AC}">
      <text>
        <r>
          <rPr>
            <b/>
            <sz val="9"/>
            <color indexed="81"/>
            <rFont val="Tahoma"/>
            <family val="2"/>
          </rPr>
          <t>Management Guidance:</t>
        </r>
        <r>
          <rPr>
            <sz val="9"/>
            <color indexed="81"/>
            <rFont val="Tahoma"/>
            <family val="2"/>
          </rPr>
          <t xml:space="preserve">  Consolidated revenue of $28.0 billion to $29.0 billion, inclusive of a $500 million impact attributable to the 53rd week
</t>
        </r>
        <r>
          <rPr>
            <b/>
            <sz val="9"/>
            <color indexed="81"/>
            <rFont val="Tahoma"/>
            <family val="2"/>
          </rPr>
          <t xml:space="preserve">Source: </t>
        </r>
        <r>
          <rPr>
            <sz val="9"/>
            <color indexed="81"/>
            <rFont val="Tahoma"/>
            <family val="2"/>
          </rPr>
          <t>F1Q2021 Press Release, January 26, 2021</t>
        </r>
      </text>
    </comment>
    <comment ref="B17" authorId="0" shapeId="0" xr:uid="{0B1C49C9-B2E5-4F90-9C1F-E490257FE550}">
      <text>
        <r>
          <rPr>
            <sz val="9"/>
            <color indexed="81"/>
            <rFont val="Tahoma"/>
            <family val="2"/>
          </rPr>
          <t>'The caption "Product and distribution costs" replaced "Cost of sales" in financial statements published in periods prior to our third quarter of fiscal 2020. Besides the name change, there were no other changes in the types of costs reported within the
caption." 
Management views as a percentage of total net revenue. Margin % tends to shift with changes in food/beverage mix, cost of coffee, and changes in fx.</t>
        </r>
      </text>
    </comment>
    <comment ref="N17" authorId="1" shapeId="0" xr:uid="{A2FA5627-625E-44CE-BB39-6D1493AB46D4}">
      <text>
        <r>
          <rPr>
            <b/>
            <sz val="9"/>
            <color indexed="81"/>
            <rFont val="Tahoma"/>
            <family val="2"/>
          </rPr>
          <t xml:space="preserve">----Review of Historic Results-------
MD&amp;A Comment: </t>
        </r>
        <r>
          <rPr>
            <sz val="9"/>
            <color indexed="81"/>
            <rFont val="Tahoma"/>
            <family val="2"/>
          </rPr>
          <t>Product and distribution costs as a percentage of total net revenues decreased 110 basis points for the first quarter of fiscal 2021, primarily due to the transfer of certain single-serve products to Nestlé beginning in the fourth quarter of fiscal 2020 (approximately 90 basis points) and pricing in Americas.</t>
        </r>
        <r>
          <rPr>
            <b/>
            <sz val="9"/>
            <color indexed="81"/>
            <rFont val="Tahoma"/>
            <family val="2"/>
          </rPr>
          <t xml:space="preserve">
Source: </t>
        </r>
        <r>
          <rPr>
            <sz val="9"/>
            <color indexed="81"/>
            <rFont val="Tahoma"/>
            <family val="2"/>
          </rPr>
          <t>F1Q2021 10-Q</t>
        </r>
      </text>
    </comment>
    <comment ref="P17" authorId="1" shapeId="0" xr:uid="{B26661C6-0F88-4C7B-9AFD-6E65F5FB4615}">
      <text>
        <r>
          <rPr>
            <b/>
            <sz val="9"/>
            <color indexed="81"/>
            <rFont val="Tahoma"/>
            <family val="2"/>
          </rPr>
          <t xml:space="preserve">-----------Review of Historic Results--------
MD&amp;A Comment: </t>
        </r>
        <r>
          <rPr>
            <sz val="9"/>
            <color indexed="81"/>
            <rFont val="Tahoma"/>
            <family val="2"/>
          </rPr>
          <t>Product and distribution costs as a percentage of total net revenues decreased 570 basis points for the third quarter of fiscal 2021, primarily due to sales leverage driven by lapping the severe impact of the COVID-19 pandemic in the prior year and pricing in the Americas.</t>
        </r>
        <r>
          <rPr>
            <b/>
            <sz val="9"/>
            <color indexed="81"/>
            <rFont val="Tahoma"/>
            <family val="2"/>
          </rPr>
          <t xml:space="preserve">
Source: </t>
        </r>
        <r>
          <rPr>
            <sz val="9"/>
            <color indexed="81"/>
            <rFont val="Tahoma"/>
            <family val="2"/>
          </rPr>
          <t>F3Q2021 10-Q</t>
        </r>
      </text>
    </comment>
    <comment ref="N18" authorId="1" shapeId="0" xr:uid="{43B3C814-A4FA-47EB-9B94-B08ECB2F13D2}">
      <text>
        <r>
          <rPr>
            <b/>
            <sz val="9"/>
            <color indexed="81"/>
            <rFont val="Tahoma"/>
            <family val="2"/>
          </rPr>
          <t>-----------Review of Historic Results------------
MD&amp;A Comment:</t>
        </r>
        <r>
          <rPr>
            <sz val="9"/>
            <color indexed="81"/>
            <rFont val="Tahoma"/>
            <family val="2"/>
          </rPr>
          <t xml:space="preserve"> Store operating expenses as a percentage of total net revenues increased 270 basis points for the first quarter of fiscal 2021. Store operating expenses as a percentage of company-operated store revenues increased 130 basis points, primarily due to sales deleverage attributable to COVID-19 impacts, as well as catastrophe pay programs for retail partners, net of benefits provided by temporary subsidies from the U.S. and certain foreign governments (approximately 50 basis points), and growth in wages and benefits (approximately 180 basis points). These were partially offset by labor efficiencies (approximately 250 basis points).</t>
        </r>
        <r>
          <rPr>
            <b/>
            <sz val="9"/>
            <color indexed="81"/>
            <rFont val="Tahoma"/>
            <family val="2"/>
          </rPr>
          <t xml:space="preserve">
Source: </t>
        </r>
        <r>
          <rPr>
            <sz val="9"/>
            <color indexed="81"/>
            <rFont val="Tahoma"/>
            <family val="2"/>
          </rPr>
          <t>F1Q2021 10-Q</t>
        </r>
      </text>
    </comment>
    <comment ref="P18" authorId="1" shapeId="0" xr:uid="{0788F647-3750-41F0-AB1C-78E85E3D19DA}">
      <text>
        <r>
          <rPr>
            <b/>
            <sz val="9"/>
            <color indexed="81"/>
            <rFont val="Tahoma"/>
            <family val="2"/>
          </rPr>
          <t>-----------Review of Historic Results--------
MD&amp;A Comment:</t>
        </r>
        <r>
          <rPr>
            <sz val="9"/>
            <color indexed="81"/>
            <rFont val="Tahoma"/>
            <family val="2"/>
          </rPr>
          <t xml:space="preserve"> Store operating expenses as a percentage of total net revenues decreased 2,050 basis points for the third quarter of fiscal 2021. Store operating expenses as a percentage of company-operated store revenues decreased 2,710 basis points, primarily due to sales leverage from business recovery and lapping higher COVID 19 related costs in the prior year, mainly catastrophe and service pay for store partners, net of temporary subsidies from the U.S. and certain foreign governments (approximately 840 basis points). These increases were partially offset by additional investments in retail store partners wages and benefits (approximately 100 basis points).</t>
        </r>
        <r>
          <rPr>
            <b/>
            <sz val="9"/>
            <color indexed="81"/>
            <rFont val="Tahoma"/>
            <family val="2"/>
          </rPr>
          <t xml:space="preserve">
Source:</t>
        </r>
        <r>
          <rPr>
            <sz val="9"/>
            <color indexed="81"/>
            <rFont val="Tahoma"/>
            <family val="2"/>
          </rPr>
          <t xml:space="preserve"> F3Q2021 10-Q</t>
        </r>
      </text>
    </comment>
    <comment ref="N19" authorId="1" shapeId="0" xr:uid="{6D861130-F602-469C-A4B8-C95189093F94}">
      <text>
        <r>
          <rPr>
            <b/>
            <sz val="9"/>
            <color indexed="81"/>
            <rFont val="Tahoma"/>
            <family val="2"/>
          </rPr>
          <t xml:space="preserve">----Review of Historic Results-----
MD&amp;A Comment: </t>
        </r>
        <r>
          <rPr>
            <sz val="9"/>
            <color indexed="81"/>
            <rFont val="Tahoma"/>
            <family val="2"/>
          </rPr>
          <t>Other operating expenses decreased $10 million for the first quarter of fiscal 2021, primarily due to lapping prior year incremental costs to develop and grow the Global Coffee Alliance.</t>
        </r>
        <r>
          <rPr>
            <b/>
            <sz val="9"/>
            <color indexed="81"/>
            <rFont val="Tahoma"/>
            <family val="2"/>
          </rPr>
          <t xml:space="preserve">
Source: </t>
        </r>
        <r>
          <rPr>
            <sz val="9"/>
            <color indexed="81"/>
            <rFont val="Tahoma"/>
            <family val="2"/>
          </rPr>
          <t>F1Q2021 10-Q</t>
        </r>
      </text>
    </comment>
    <comment ref="P19" authorId="1" shapeId="0" xr:uid="{454B94F9-8021-4B53-ACD7-05F8B7EFD152}">
      <text>
        <r>
          <rPr>
            <b/>
            <sz val="9"/>
            <color indexed="81"/>
            <rFont val="Tahoma"/>
            <family val="2"/>
          </rPr>
          <t xml:space="preserve">-----------Review of Historic Results--------
MD&amp;A Comment: </t>
        </r>
        <r>
          <rPr>
            <sz val="9"/>
            <color indexed="81"/>
            <rFont val="Tahoma"/>
            <family val="2"/>
          </rPr>
          <t>Other operating expenses decreased $62 million for the third quarter of fiscal 2021, primarily due to lower Global Coffee Alliance transaction costs, inclusive of
lapping certain transition items from the prior year and a change in estimate relating to a transaction cost accrual.</t>
        </r>
        <r>
          <rPr>
            <b/>
            <sz val="9"/>
            <color indexed="81"/>
            <rFont val="Tahoma"/>
            <family val="2"/>
          </rPr>
          <t xml:space="preserve">
Source: </t>
        </r>
        <r>
          <rPr>
            <sz val="9"/>
            <color indexed="81"/>
            <rFont val="Tahoma"/>
            <family val="2"/>
          </rPr>
          <t>F3Q2021 10-Q</t>
        </r>
      </text>
    </comment>
    <comment ref="N20" authorId="1" shapeId="0" xr:uid="{133C2E69-3343-49AE-91A4-5CFAA5BFAA13}">
      <text>
        <r>
          <rPr>
            <b/>
            <sz val="9"/>
            <color indexed="81"/>
            <rFont val="Tahoma"/>
            <family val="2"/>
          </rPr>
          <t xml:space="preserve">------Review of Historic Results---
MD&amp;A Comment: </t>
        </r>
        <r>
          <rPr>
            <sz val="9"/>
            <color indexed="81"/>
            <rFont val="Tahoma"/>
            <family val="2"/>
          </rPr>
          <t>Depreciation and amortization expenses as a percentage of total net revenues increased 50 basis points, primarily due to sales eleverage.</t>
        </r>
        <r>
          <rPr>
            <b/>
            <sz val="9"/>
            <color indexed="81"/>
            <rFont val="Tahoma"/>
            <family val="2"/>
          </rPr>
          <t xml:space="preserve">
Source: </t>
        </r>
        <r>
          <rPr>
            <sz val="9"/>
            <color indexed="81"/>
            <rFont val="Tahoma"/>
            <family val="2"/>
          </rPr>
          <t>F1Q2021 10-Q</t>
        </r>
      </text>
    </comment>
    <comment ref="P20" authorId="1" shapeId="0" xr:uid="{E6BC22C7-CA0E-47F3-9239-A71100B8D8A2}">
      <text>
        <r>
          <rPr>
            <b/>
            <sz val="9"/>
            <color indexed="81"/>
            <rFont val="Tahoma"/>
            <family val="2"/>
          </rPr>
          <t xml:space="preserve">-----------Review of Historic Results--------
MD&amp;A Comment: </t>
        </r>
        <r>
          <rPr>
            <sz val="9"/>
            <color indexed="81"/>
            <rFont val="Tahoma"/>
            <family val="2"/>
          </rPr>
          <t>Depreciation and amortization expenses as a percentage of total net revenues decreased 390 basis points, primarily due to sales leverage.</t>
        </r>
        <r>
          <rPr>
            <b/>
            <sz val="9"/>
            <color indexed="81"/>
            <rFont val="Tahoma"/>
            <family val="2"/>
          </rPr>
          <t xml:space="preserve">
Source: </t>
        </r>
        <r>
          <rPr>
            <sz val="9"/>
            <color indexed="81"/>
            <rFont val="Tahoma"/>
            <family val="2"/>
          </rPr>
          <t>F3Q2021 10-Q</t>
        </r>
      </text>
    </comment>
    <comment ref="N21" authorId="1" shapeId="0" xr:uid="{1CF151BC-4036-4BF1-9D8D-39A32BB95E06}">
      <text>
        <r>
          <rPr>
            <b/>
            <sz val="9"/>
            <color indexed="81"/>
            <rFont val="Tahoma"/>
            <family val="2"/>
          </rPr>
          <t xml:space="preserve">------Review of Historic Results-----
MD&amp;A Comment: </t>
        </r>
        <r>
          <rPr>
            <sz val="9"/>
            <color indexed="81"/>
            <rFont val="Tahoma"/>
            <family val="2"/>
          </rPr>
          <t>General and administrative expenses increased $38 million, primarily due to incremental strategic investments in technology ($28 million) and higher performance-based compensation, recognizing the strength of the company's overall recovery from pandemic-related business impacts ($18 million).</t>
        </r>
        <r>
          <rPr>
            <b/>
            <sz val="9"/>
            <color indexed="81"/>
            <rFont val="Tahoma"/>
            <family val="2"/>
          </rPr>
          <t xml:space="preserve">
Source: </t>
        </r>
        <r>
          <rPr>
            <sz val="9"/>
            <color indexed="81"/>
            <rFont val="Tahoma"/>
            <family val="2"/>
          </rPr>
          <t>F1Q2021 10-Q</t>
        </r>
      </text>
    </comment>
    <comment ref="P21" authorId="1" shapeId="0" xr:uid="{AA298A24-FCE2-4A7B-9094-94C29A3282F0}">
      <text>
        <r>
          <rPr>
            <b/>
            <sz val="9"/>
            <color indexed="81"/>
            <rFont val="Tahoma"/>
            <family val="2"/>
          </rPr>
          <t xml:space="preserve">-----------Review of Historic Results--------
MD&amp;A Comment: </t>
        </r>
        <r>
          <rPr>
            <sz val="9"/>
            <color indexed="81"/>
            <rFont val="Tahoma"/>
            <family val="2"/>
          </rPr>
          <t>General and administrative expenses increased $95 million, primarily due to higher performance-based compensation recognizing the better than expected business
recovery ($64 million) and incremental strategic investments in technology ($21 million).</t>
        </r>
        <r>
          <rPr>
            <b/>
            <sz val="9"/>
            <color indexed="81"/>
            <rFont val="Tahoma"/>
            <family val="2"/>
          </rPr>
          <t xml:space="preserve">
Source: </t>
        </r>
        <r>
          <rPr>
            <sz val="9"/>
            <color indexed="81"/>
            <rFont val="Tahoma"/>
            <family val="2"/>
          </rPr>
          <t>F3Q2021 10-Q</t>
        </r>
      </text>
    </comment>
    <comment ref="L22" authorId="2" shapeId="0" xr:uid="{45B5E0A9-1B5C-4FD2-806C-0994F2D97F7A}">
      <text>
        <r>
          <rPr>
            <b/>
            <sz val="9"/>
            <color indexed="81"/>
            <rFont val="Tahoma"/>
            <family val="2"/>
          </rPr>
          <t xml:space="preserve">Note (updated on 7/14): </t>
        </r>
        <r>
          <rPr>
            <sz val="9"/>
            <color indexed="81"/>
            <rFont val="Tahoma"/>
            <family val="2"/>
          </rPr>
          <t xml:space="preserve">Since management guided restructing costs to $0.11 per share (approximately $129M) we can change our opex allocation to meet this guidance [Increase allocation in cell L74 by 1.86% of the total opex allocation, and subtract 1.86% from Store operating expense]. </t>
        </r>
        <r>
          <rPr>
            <sz val="9"/>
            <color indexed="81"/>
            <rFont val="Tahoma"/>
            <family val="2"/>
          </rPr>
          <t xml:space="preserve">
</t>
        </r>
      </text>
    </comment>
    <comment ref="N22" authorId="1" shapeId="0" xr:uid="{02C6BD46-AA1F-42AF-9C23-8A938562996C}">
      <text>
        <r>
          <rPr>
            <b/>
            <sz val="9"/>
            <color indexed="81"/>
            <rFont val="Tahoma"/>
            <family val="2"/>
          </rPr>
          <t xml:space="preserve">--Review of Historic Results-----------
MD&amp;A Comment: </t>
        </r>
        <r>
          <rPr>
            <sz val="9"/>
            <color indexed="81"/>
            <rFont val="Tahoma"/>
            <family val="2"/>
          </rPr>
          <t>Restructuring and impairment expenses increased $66 million, primarily due to higher asset impairment related to store portfolio optimization ($42 million) and accelerated amortization of right-of-use lease assets associated with the closure of certain company-operated stores ($26 million).</t>
        </r>
        <r>
          <rPr>
            <b/>
            <sz val="9"/>
            <color indexed="81"/>
            <rFont val="Tahoma"/>
            <family val="2"/>
          </rPr>
          <t xml:space="preserve">
Source: </t>
        </r>
        <r>
          <rPr>
            <sz val="9"/>
            <color indexed="81"/>
            <rFont val="Tahoma"/>
            <family val="2"/>
          </rPr>
          <t>F1Q2021 10-Q</t>
        </r>
      </text>
    </comment>
    <comment ref="P22" authorId="1" shapeId="0" xr:uid="{D54E97C3-031F-4B57-8993-1796E8E4AA6B}">
      <text>
        <r>
          <rPr>
            <b/>
            <sz val="9"/>
            <color indexed="81"/>
            <rFont val="Tahoma"/>
            <family val="2"/>
          </rPr>
          <t xml:space="preserve">-----------Review of Historic Results--------
MD&amp;A Comment: </t>
        </r>
        <r>
          <rPr>
            <sz val="9"/>
            <color indexed="81"/>
            <rFont val="Tahoma"/>
            <family val="2"/>
          </rPr>
          <t>Restructuring and impairment expenses decreased $58 million, primarily due to lower asset impairment related to store portfolio optimization ($34 million) and
lapping the intangible asset impairment from the prior year ($22 million).</t>
        </r>
        <r>
          <rPr>
            <b/>
            <sz val="9"/>
            <color indexed="81"/>
            <rFont val="Tahoma"/>
            <family val="2"/>
          </rPr>
          <t xml:space="preserve">
Source: </t>
        </r>
        <r>
          <rPr>
            <sz val="9"/>
            <color indexed="81"/>
            <rFont val="Tahoma"/>
            <family val="2"/>
          </rPr>
          <t>F3Q2021 10-Q</t>
        </r>
      </text>
    </comment>
    <comment ref="B24" authorId="0" shapeId="0" xr:uid="{0EAB3465-0FA8-444E-8C89-AB95118D819B}">
      <text>
        <r>
          <rPr>
            <sz val="9"/>
            <color indexed="81"/>
            <rFont val="Tahoma"/>
            <family val="2"/>
          </rPr>
          <t>10-K: "Equity investments are accounted for using the equity method of accounting if the investment gives us the ability to exercise significant influence, but not control, over an investee. Equity method investments are included within long-term  investments on our consolidated balance sheets. Our share of the earnings or losses as reported by equity method investees are classified as income from equity investees on our consolidated statements of earnings.
Equity investments for which we do not have the ability to exercise significant influence are accounted for using the cost method of accounting and are recorded in long-term investments on our consolidated balance sheets. Under the cost method, investments are carried at cost and are adjusted only for other-than-temporary declines in fair value, certain distributions and additional investments."</t>
        </r>
      </text>
    </comment>
    <comment ref="N24" authorId="1" shapeId="0" xr:uid="{78EFC869-F8AD-4BD4-98E0-6DA4E0D64632}">
      <text>
        <r>
          <rPr>
            <b/>
            <sz val="9"/>
            <color indexed="81"/>
            <rFont val="Tahoma"/>
            <family val="2"/>
          </rPr>
          <t xml:space="preserve">-------Review of Historic Results------MD&amp;A Comment: </t>
        </r>
        <r>
          <rPr>
            <sz val="9"/>
            <color indexed="81"/>
            <rFont val="Tahoma"/>
            <family val="2"/>
          </rPr>
          <t>Income from equity investees increased $9 million, primarily due to higher income from our North American Coffee Partnership joint venture, partially offset by temporary store closures and reduced operating hours in our South Korea and India joint ventures.</t>
        </r>
        <r>
          <rPr>
            <b/>
            <sz val="9"/>
            <color indexed="81"/>
            <rFont val="Tahoma"/>
            <family val="2"/>
          </rPr>
          <t xml:space="preserve">
Source: </t>
        </r>
        <r>
          <rPr>
            <sz val="9"/>
            <color indexed="81"/>
            <rFont val="Tahoma"/>
            <family val="2"/>
          </rPr>
          <t>F1Q2021 10-Q</t>
        </r>
      </text>
    </comment>
    <comment ref="P24" authorId="1" shapeId="0" xr:uid="{2EFEF645-856F-42F0-9B4F-67AB9ADAE9AE}">
      <text>
        <r>
          <rPr>
            <b/>
            <sz val="9"/>
            <color indexed="81"/>
            <rFont val="Tahoma"/>
            <family val="2"/>
          </rPr>
          <t>-----------Review of Historic Results--------
MD&amp;A Comment:</t>
        </r>
        <r>
          <rPr>
            <sz val="9"/>
            <color indexed="81"/>
            <rFont val="Tahoma"/>
            <family val="2"/>
          </rPr>
          <t xml:space="preserve"> Income from equity investees increased $37 million, primarily due to higher income from our South Korea joint venture attributable to net new store growth and lapping lower royalty income due to the severe impact of the COVID-19 pandemic in the prior year ($18 million). Higher income from our North American Coffee Partnership joint venture also contributed ($13 million).</t>
        </r>
        <r>
          <rPr>
            <b/>
            <sz val="9"/>
            <color indexed="81"/>
            <rFont val="Tahoma"/>
            <family val="2"/>
          </rPr>
          <t xml:space="preserve">
Source: </t>
        </r>
        <r>
          <rPr>
            <sz val="9"/>
            <color indexed="81"/>
            <rFont val="Tahoma"/>
            <family val="2"/>
          </rPr>
          <t>F3Q2021 10-Q</t>
        </r>
      </text>
    </comment>
    <comment ref="P29" authorId="1" shapeId="0" xr:uid="{CB5EC3E0-02C5-4F5E-908A-9713FA6A630A}">
      <text>
        <r>
          <rPr>
            <b/>
            <sz val="9"/>
            <color indexed="81"/>
            <rFont val="Tahoma"/>
            <family val="2"/>
          </rPr>
          <t xml:space="preserve">-----------Review of Historic Results--------
MD&amp;A Comment: </t>
        </r>
        <r>
          <rPr>
            <sz val="9"/>
            <color indexed="81"/>
            <rFont val="Tahoma"/>
            <family val="2"/>
          </rPr>
          <t>Interest income and other, net increased $23 million, primarily due to additional gains from certain investments.</t>
        </r>
        <r>
          <rPr>
            <b/>
            <sz val="9"/>
            <color indexed="81"/>
            <rFont val="Tahoma"/>
            <family val="2"/>
          </rPr>
          <t xml:space="preserve">
Source: </t>
        </r>
        <r>
          <rPr>
            <sz val="9"/>
            <color indexed="81"/>
            <rFont val="Tahoma"/>
            <family val="2"/>
          </rPr>
          <t>F3Q2021 10-Q</t>
        </r>
      </text>
    </comment>
    <comment ref="H30" authorId="0" shapeId="0" xr:uid="{6B298511-DAEC-4D31-9B68-97E6584E4DCB}">
      <text>
        <r>
          <rPr>
            <b/>
            <sz val="9"/>
            <color indexed="81"/>
            <rFont val="Tahoma"/>
            <family val="2"/>
          </rPr>
          <t>F3Q2019 Earnings call (7/25/2019) guidance for FY2019:</t>
        </r>
        <r>
          <rPr>
            <sz val="9"/>
            <color indexed="81"/>
            <rFont val="Tahoma"/>
            <family val="2"/>
          </rPr>
          <t xml:space="preserve"> Interest Expense guided to $330M.</t>
        </r>
      </text>
    </comment>
    <comment ref="M30" authorId="0" shapeId="0" xr:uid="{F630F6BA-C8B8-4653-9710-589A07542BDA}">
      <text>
        <r>
          <rPr>
            <b/>
            <sz val="9"/>
            <color indexed="81"/>
            <rFont val="Tahoma"/>
            <family val="2"/>
          </rPr>
          <t xml:space="preserve">Management Guidance: </t>
        </r>
        <r>
          <rPr>
            <sz val="9"/>
            <color indexed="81"/>
            <rFont val="Tahoma"/>
            <family val="2"/>
          </rPr>
          <t>Interest expense of approximately $435 million to $445 million</t>
        </r>
        <r>
          <rPr>
            <b/>
            <sz val="9"/>
            <color indexed="81"/>
            <rFont val="Tahoma"/>
            <family val="2"/>
          </rPr>
          <t xml:space="preserve">
Source: </t>
        </r>
        <r>
          <rPr>
            <sz val="9"/>
            <color indexed="81"/>
            <rFont val="Tahoma"/>
            <family val="2"/>
          </rPr>
          <t>F3Q2020 Press Release, July 28, 2020</t>
        </r>
      </text>
    </comment>
    <comment ref="N30" authorId="1" shapeId="0" xr:uid="{1C8A353B-B59E-44FD-9A7B-90AE0BB5E3A1}">
      <text>
        <r>
          <rPr>
            <b/>
            <sz val="9"/>
            <color indexed="81"/>
            <rFont val="Tahoma"/>
            <family val="2"/>
          </rPr>
          <t xml:space="preserve">-----------Review of Historic Results------------MD&amp;A Comment: </t>
        </r>
        <r>
          <rPr>
            <sz val="9"/>
            <color indexed="81"/>
            <rFont val="Tahoma"/>
            <family val="2"/>
          </rPr>
          <t>Interest expense increased $29 million, primarily due to additional interest incurred on long-term debt issued in March 2020 and May 2020.</t>
        </r>
        <r>
          <rPr>
            <b/>
            <sz val="9"/>
            <color indexed="81"/>
            <rFont val="Tahoma"/>
            <family val="2"/>
          </rPr>
          <t xml:space="preserve">
Source: </t>
        </r>
        <r>
          <rPr>
            <sz val="9"/>
            <color indexed="81"/>
            <rFont val="Tahoma"/>
            <family val="2"/>
          </rPr>
          <t>F1Q2021 10-Q</t>
        </r>
      </text>
    </comment>
    <comment ref="P30" authorId="1" shapeId="0" xr:uid="{F91E8BE7-92F2-43C4-A2A7-D9F0EFCFFE91}">
      <text>
        <r>
          <rPr>
            <b/>
            <sz val="9"/>
            <color indexed="81"/>
            <rFont val="Tahoma"/>
            <family val="2"/>
          </rPr>
          <t xml:space="preserve">-----------Review of Historic Results--------
MD&amp;A Comment: </t>
        </r>
        <r>
          <rPr>
            <sz val="9"/>
            <color indexed="81"/>
            <rFont val="Tahoma"/>
            <family val="2"/>
          </rPr>
          <t>Interest expense decreased $7 million, primarily due to lower debt balances attributed to repayments of short-term and current portion of long-term debt balances.</t>
        </r>
        <r>
          <rPr>
            <b/>
            <sz val="9"/>
            <color indexed="81"/>
            <rFont val="Tahoma"/>
            <family val="2"/>
          </rPr>
          <t xml:space="preserve">
Source: </t>
        </r>
        <r>
          <rPr>
            <sz val="9"/>
            <color indexed="81"/>
            <rFont val="Tahoma"/>
            <family val="2"/>
          </rPr>
          <t>F3Q2021 10-Q</t>
        </r>
      </text>
    </comment>
    <comment ref="R30" authorId="1" shapeId="0" xr:uid="{D5A1D6CD-54F9-474F-A03B-47EBFB6607A7}">
      <text>
        <r>
          <rPr>
            <b/>
            <sz val="9"/>
            <color indexed="81"/>
            <rFont val="Tahoma"/>
            <family val="2"/>
          </rPr>
          <t xml:space="preserve">Management Guidance: </t>
        </r>
        <r>
          <rPr>
            <sz val="9"/>
            <color indexed="81"/>
            <rFont val="Tahoma"/>
            <family val="2"/>
          </rPr>
          <t xml:space="preserve">  Interest expense of approximately $470 million to $480 million.
</t>
        </r>
        <r>
          <rPr>
            <b/>
            <sz val="9"/>
            <color indexed="81"/>
            <rFont val="Tahoma"/>
            <family val="2"/>
          </rPr>
          <t>Source:</t>
        </r>
        <r>
          <rPr>
            <sz val="9"/>
            <color indexed="81"/>
            <rFont val="Tahoma"/>
            <family val="2"/>
          </rPr>
          <t xml:space="preserve"> F1Q2021 Press Release, January 26, 2021</t>
        </r>
      </text>
    </comment>
    <comment ref="N32" authorId="1" shapeId="0" xr:uid="{5A9ACB1E-27A1-42A1-9593-3CB9CD9FC8E7}">
      <text>
        <r>
          <rPr>
            <b/>
            <sz val="9"/>
            <color indexed="81"/>
            <rFont val="Tahoma"/>
            <family val="2"/>
          </rPr>
          <t xml:space="preserve">-----------Review of Historic Results---------MD&amp;A Comment: </t>
        </r>
        <r>
          <rPr>
            <sz val="9"/>
            <color indexed="81"/>
            <rFont val="Tahoma"/>
            <family val="2"/>
          </rPr>
          <t>The effective tax rate for the quarter ended December 27, 2020 was 23.0% compared to 22.6% for the same quarter in fiscal 2020. The increase was primarily due to the effect of lower pre-tax earnings and the proportionate impacts from certain permanent differences and discrete items, as well as the foreign rate differential on our jurisdictional mix of earnings. This was partially offset by an increase in stock-based compensation excess tax benefits (approximately 190 basis points).</t>
        </r>
        <r>
          <rPr>
            <b/>
            <sz val="9"/>
            <color indexed="81"/>
            <rFont val="Tahoma"/>
            <family val="2"/>
          </rPr>
          <t xml:space="preserve">
Source:</t>
        </r>
        <r>
          <rPr>
            <sz val="9"/>
            <color indexed="81"/>
            <rFont val="Tahoma"/>
            <family val="2"/>
          </rPr>
          <t xml:space="preserve"> F1Q2021 10-Q</t>
        </r>
      </text>
    </comment>
    <comment ref="P32" authorId="1" shapeId="0" xr:uid="{997DF4AE-407E-4C0D-9DB9-8B724A049C14}">
      <text>
        <r>
          <rPr>
            <b/>
            <sz val="9"/>
            <color indexed="81"/>
            <rFont val="Tahoma"/>
            <family val="2"/>
          </rPr>
          <t xml:space="preserve">-----------Review of Historic Results--------
MD&amp;A Comment: </t>
        </r>
        <r>
          <rPr>
            <sz val="9"/>
            <color indexed="81"/>
            <rFont val="Tahoma"/>
            <family val="2"/>
          </rPr>
          <t>The effective tax rate for the quarter ended June 27, 2021 was 18.2% compared to 16.5% for the same quarter in fiscal 2020. The increase was primarily due to the foreign rate differential on our mix of earnings by tax jurisdictions, as well as a change in the absolute pre-tax operating results when compared to the same period of the prior year. This was partially offset by lapping valuation allowances recorded against deferred tax assets of certain international jurisdictions in the prior year
(approximately 840 basis points), a current year remeasurement of deferred tax assets due to an enacted corporate rate change (approximately 510 basis points) and lapping the release of income tax reserves related to the expiration of statute of limitations in the prior year (approximately 330 basis points).</t>
        </r>
        <r>
          <rPr>
            <b/>
            <sz val="9"/>
            <color indexed="81"/>
            <rFont val="Tahoma"/>
            <family val="2"/>
          </rPr>
          <t xml:space="preserve">
Source: </t>
        </r>
        <r>
          <rPr>
            <sz val="9"/>
            <color indexed="81"/>
            <rFont val="Tahoma"/>
            <family val="2"/>
          </rPr>
          <t>F3Q2021 10-Q</t>
        </r>
      </text>
    </comment>
    <comment ref="H41" authorId="0" shapeId="0" xr:uid="{FD16A21F-F8C3-4737-858F-F785DBD2B0A0}">
      <text>
        <r>
          <rPr>
            <b/>
            <sz val="9"/>
            <color indexed="81"/>
            <rFont val="Tahoma"/>
            <family val="2"/>
          </rPr>
          <t xml:space="preserve">F3Q2019 Earnings call (7/25/2019) guidance for FY2019: </t>
        </r>
        <r>
          <rPr>
            <sz val="9"/>
            <color indexed="81"/>
            <rFont val="Tahoma"/>
            <family val="2"/>
          </rPr>
          <t>GAAP EPS in the range of $2.86 to $2.88</t>
        </r>
        <r>
          <rPr>
            <b/>
            <sz val="9"/>
            <color indexed="81"/>
            <rFont val="Tahoma"/>
            <family val="2"/>
          </rPr>
          <t xml:space="preserve">
Previous Guidance:
F2Q2019 Earnings call guidance for FY2019: </t>
        </r>
        <r>
          <rPr>
            <sz val="9"/>
            <color indexed="81"/>
            <rFont val="Tahoma"/>
            <family val="2"/>
          </rPr>
          <t xml:space="preserve">GAAP EPS in the range of $2.40 to $2.44
</t>
        </r>
        <r>
          <rPr>
            <b/>
            <sz val="9"/>
            <color indexed="81"/>
            <rFont val="Tahoma"/>
            <family val="2"/>
          </rPr>
          <t>F1Q2019 Earnings call guidance for FY2019:</t>
        </r>
        <r>
          <rPr>
            <sz val="9"/>
            <color indexed="81"/>
            <rFont val="Tahoma"/>
            <family val="2"/>
          </rPr>
          <t xml:space="preserve"> GAAP EPS in the range of $2.32 to $2.37
</t>
        </r>
      </text>
    </comment>
    <comment ref="L41" authorId="0" shapeId="0" xr:uid="{6E8C6CE9-8D75-4F01-A415-8347F351923C}">
      <text>
        <r>
          <rPr>
            <b/>
            <sz val="9"/>
            <color indexed="81"/>
            <rFont val="Tahoma"/>
            <family val="2"/>
          </rPr>
          <t xml:space="preserve">Management Guidance: </t>
        </r>
        <r>
          <rPr>
            <sz val="9"/>
            <color indexed="81"/>
            <rFont val="Tahoma"/>
            <family val="2"/>
          </rPr>
          <t xml:space="preserve">GAAP EPS in the range of $0.06 to $0.21 for Q4.
</t>
        </r>
        <r>
          <rPr>
            <b/>
            <sz val="9"/>
            <color indexed="81"/>
            <rFont val="Tahoma"/>
            <family val="2"/>
          </rPr>
          <t>Source:</t>
        </r>
        <r>
          <rPr>
            <sz val="9"/>
            <color indexed="81"/>
            <rFont val="Tahoma"/>
            <family val="2"/>
          </rPr>
          <t xml:space="preserve"> F3Q2020 Press Release, July 28, 2020</t>
        </r>
      </text>
    </comment>
    <comment ref="M41" authorId="0" shapeId="0" xr:uid="{6FA5B856-6A0A-4804-8DB0-9BE5D33C9A1A}">
      <text>
        <r>
          <rPr>
            <b/>
            <sz val="9"/>
            <color indexed="81"/>
            <rFont val="Tahoma"/>
            <family val="2"/>
          </rPr>
          <t>Management Guidance:</t>
        </r>
        <r>
          <rPr>
            <sz val="9"/>
            <color indexed="81"/>
            <rFont val="Tahoma"/>
            <family val="2"/>
          </rPr>
          <t xml:space="preserve"> GAAP EPS in the range of $0.50 to $0.65 for full year.
</t>
        </r>
        <r>
          <rPr>
            <b/>
            <sz val="9"/>
            <color indexed="81"/>
            <rFont val="Tahoma"/>
            <family val="2"/>
          </rPr>
          <t>Source:</t>
        </r>
        <r>
          <rPr>
            <sz val="9"/>
            <color indexed="81"/>
            <rFont val="Tahoma"/>
            <family val="2"/>
          </rPr>
          <t xml:space="preserve"> F3Q2020 Press Release, July 28, 2020</t>
        </r>
      </text>
    </comment>
    <comment ref="O41" authorId="1" shapeId="0" xr:uid="{AB92DBC1-B71A-4826-85B1-9BC337CAE2B5}">
      <text>
        <r>
          <rPr>
            <b/>
            <sz val="9"/>
            <color indexed="81"/>
            <rFont val="Tahoma"/>
            <family val="2"/>
          </rPr>
          <t xml:space="preserve">Management Guidance: </t>
        </r>
        <r>
          <rPr>
            <sz val="9"/>
            <color indexed="81"/>
            <rFont val="Tahoma"/>
            <family val="2"/>
          </rPr>
          <t>GAAP EPS in the range of $0.36 to $0.41.</t>
        </r>
        <r>
          <rPr>
            <b/>
            <sz val="9"/>
            <color indexed="81"/>
            <rFont val="Tahoma"/>
            <family val="2"/>
          </rPr>
          <t xml:space="preserve">
Source: </t>
        </r>
        <r>
          <rPr>
            <sz val="9"/>
            <color indexed="81"/>
            <rFont val="Tahoma"/>
            <family val="2"/>
          </rPr>
          <t>F1Q2021 Press Release, January 26, 2021</t>
        </r>
      </text>
    </comment>
    <comment ref="R41" authorId="1" shapeId="0" xr:uid="{35B9A186-766C-4CEA-B27D-E0F42BDBEE6A}">
      <text>
        <r>
          <rPr>
            <b/>
            <sz val="9"/>
            <color indexed="81"/>
            <rFont val="Tahoma"/>
            <family val="2"/>
          </rPr>
          <t>Management Guidance:</t>
        </r>
        <r>
          <rPr>
            <sz val="9"/>
            <color indexed="81"/>
            <rFont val="Tahoma"/>
            <family val="2"/>
          </rPr>
          <t xml:space="preserve"> GAAP EPS in the range of $2.97 to $3.02, inclusive of a $0.10 impact attributable to the 53rd week
</t>
        </r>
        <r>
          <rPr>
            <b/>
            <sz val="9"/>
            <color indexed="81"/>
            <rFont val="Tahoma"/>
            <family val="2"/>
          </rPr>
          <t>Source:</t>
        </r>
        <r>
          <rPr>
            <sz val="9"/>
            <color indexed="81"/>
            <rFont val="Tahoma"/>
            <family val="2"/>
          </rPr>
          <t xml:space="preserve"> F3Q2021 Press Release
</t>
        </r>
      </text>
    </comment>
    <comment ref="H42" authorId="0" shapeId="0" xr:uid="{D9052DD9-A8B9-4FE6-88CB-C5EF618B1D06}">
      <text>
        <r>
          <rPr>
            <b/>
            <sz val="9"/>
            <color indexed="81"/>
            <rFont val="Tahoma"/>
            <family val="2"/>
          </rPr>
          <t xml:space="preserve">F3Q2019 Earnings call (7/25/2019) guidance for FY2019: </t>
        </r>
        <r>
          <rPr>
            <sz val="9"/>
            <color indexed="81"/>
            <rFont val="Tahoma"/>
            <family val="2"/>
          </rPr>
          <t xml:space="preserve">Non-GAAP EPS in the range of $2.80 to $2.82 </t>
        </r>
        <r>
          <rPr>
            <b/>
            <sz val="9"/>
            <color indexed="81"/>
            <rFont val="Tahoma"/>
            <family val="2"/>
          </rPr>
          <t xml:space="preserve">
Previous Guidance:
F2Q2019 Earnings call guidance for FY2019:</t>
        </r>
        <r>
          <rPr>
            <sz val="9"/>
            <color indexed="81"/>
            <rFont val="Tahoma"/>
            <family val="2"/>
          </rPr>
          <t xml:space="preserve"> Non-GAAP EPS in the range of $2.75 to $2.79 
</t>
        </r>
        <r>
          <rPr>
            <b/>
            <sz val="9"/>
            <color indexed="81"/>
            <rFont val="Tahoma"/>
            <family val="2"/>
          </rPr>
          <t>F1Q2019 Earnings call guidance for FY2019:</t>
        </r>
        <r>
          <rPr>
            <sz val="9"/>
            <color indexed="81"/>
            <rFont val="Tahoma"/>
            <family val="2"/>
          </rPr>
          <t xml:space="preserve"> Non-GAAP EPS in the range of $2.68 to $2.73 </t>
        </r>
      </text>
    </comment>
    <comment ref="L42" authorId="0" shapeId="0" xr:uid="{F66CFC22-A89B-4E43-91E1-B3C9A49BD243}">
      <text>
        <r>
          <rPr>
            <b/>
            <sz val="9"/>
            <color indexed="81"/>
            <rFont val="Tahoma"/>
            <family val="2"/>
          </rPr>
          <t>Management Guidance:</t>
        </r>
        <r>
          <rPr>
            <sz val="9"/>
            <color indexed="81"/>
            <rFont val="Tahoma"/>
            <family val="2"/>
          </rPr>
          <t xml:space="preserve"> Non-GAAP EPS in the range of $0.18 to $0.33 for Q4.
</t>
        </r>
        <r>
          <rPr>
            <b/>
            <sz val="9"/>
            <color indexed="81"/>
            <rFont val="Tahoma"/>
            <family val="2"/>
          </rPr>
          <t>Source:</t>
        </r>
        <r>
          <rPr>
            <sz val="9"/>
            <color indexed="81"/>
            <rFont val="Tahoma"/>
            <family val="2"/>
          </rPr>
          <t xml:space="preserve"> F3Q2020 Press Release, July 28, 2020</t>
        </r>
      </text>
    </comment>
    <comment ref="M42" authorId="0" shapeId="0" xr:uid="{67C39D4F-CC65-4395-81A8-2984D7E568F9}">
      <text>
        <r>
          <rPr>
            <b/>
            <sz val="9"/>
            <color indexed="81"/>
            <rFont val="Tahoma"/>
            <family val="2"/>
          </rPr>
          <t xml:space="preserve">Management Guidance: </t>
        </r>
        <r>
          <rPr>
            <sz val="9"/>
            <color indexed="81"/>
            <rFont val="Tahoma"/>
            <family val="2"/>
          </rPr>
          <t xml:space="preserve">Non-GAAP EPS in the range of $0.83 to $0.93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Primary Output:</t>
        </r>
        <r>
          <rPr>
            <sz val="9"/>
            <color indexed="81"/>
            <rFont val="Tahoma"/>
            <family val="2"/>
          </rPr>
          <t xml:space="preserve"> After you adjust the Primary Inputs in the model below, your new earnings forecast will recalculate based on the new assumptions resulting in a new EPS estimate, and theoretical target share price band.</t>
        </r>
      </text>
    </comment>
    <comment ref="O42" authorId="1" shapeId="0" xr:uid="{C37CFAC6-3214-4EEA-A1B0-A894D7347689}">
      <text>
        <r>
          <rPr>
            <b/>
            <sz val="9"/>
            <color indexed="81"/>
            <rFont val="Tahoma"/>
            <family val="2"/>
          </rPr>
          <t xml:space="preserve">Management Guidance: </t>
        </r>
        <r>
          <rPr>
            <sz val="9"/>
            <color indexed="81"/>
            <rFont val="Tahoma"/>
            <family val="2"/>
          </rPr>
          <t xml:space="preserve">GAAP EPS in the range of $0.45 to $0.50.
</t>
        </r>
        <r>
          <rPr>
            <b/>
            <sz val="9"/>
            <color indexed="81"/>
            <rFont val="Tahoma"/>
            <family val="2"/>
          </rPr>
          <t xml:space="preserve">Source: </t>
        </r>
        <r>
          <rPr>
            <sz val="9"/>
            <color indexed="81"/>
            <rFont val="Tahoma"/>
            <family val="2"/>
          </rPr>
          <t>F1Q2021 Press Release, January 26, 2021</t>
        </r>
      </text>
    </comment>
    <comment ref="R42" authorId="1" shapeId="0" xr:uid="{DEC1E9E8-12D9-4BD1-B8C4-1F5FC1EA4A86}">
      <text>
        <r>
          <rPr>
            <b/>
            <sz val="9"/>
            <color indexed="81"/>
            <rFont val="Tahoma"/>
            <family val="2"/>
          </rPr>
          <t xml:space="preserve">Management Guidance: </t>
        </r>
        <r>
          <rPr>
            <sz val="9"/>
            <color indexed="81"/>
            <rFont val="Tahoma"/>
            <family val="2"/>
          </rPr>
          <t>Non-GAAP EPS in the range of $3.20 to $3.25, inclusive of a $0.10 impact attributable to the 53rd week.</t>
        </r>
        <r>
          <rPr>
            <b/>
            <sz val="9"/>
            <color indexed="81"/>
            <rFont val="Tahoma"/>
            <family val="2"/>
          </rPr>
          <t xml:space="preserve">
Source: </t>
        </r>
        <r>
          <rPr>
            <sz val="9"/>
            <color indexed="81"/>
            <rFont val="Tahoma"/>
            <family val="2"/>
          </rPr>
          <t>F3Q2021 Press Release</t>
        </r>
      </text>
    </comment>
    <comment ref="L43" authorId="0" shapeId="0" xr:uid="{7E6FBEE8-F4D8-4AF4-9498-C12A9CB72630}">
      <text>
        <r>
          <rPr>
            <b/>
            <sz val="9"/>
            <color indexed="81"/>
            <rFont val="Tahoma"/>
            <family val="2"/>
          </rPr>
          <t>Note:</t>
        </r>
        <r>
          <rPr>
            <sz val="9"/>
            <color indexed="81"/>
            <rFont val="Tahoma"/>
            <family val="2"/>
          </rPr>
          <t xml:space="preserve"> Management increased the dividend by 14% last year. This year I have entered a 7% increase (half of 14%). If you believe the dividend growth rate will be lower or higher, enter your assumption here.
</t>
        </r>
      </text>
    </comment>
    <comment ref="AG44" authorId="1" shapeId="0" xr:uid="{E660C69B-779D-412C-B090-66AB447E8C64}">
      <text>
        <r>
          <rPr>
            <b/>
            <sz val="9"/>
            <color indexed="81"/>
            <rFont val="Tahoma"/>
            <family val="2"/>
          </rPr>
          <t>Management Guidance:</t>
        </r>
        <r>
          <rPr>
            <sz val="9"/>
            <color indexed="81"/>
            <rFont val="Tahoma"/>
            <family val="2"/>
          </rPr>
          <t xml:space="preserve"> "We are committed to sustaining an attractive dividend, targeting an earnings payout ratio of approximately 50% on a stabilized basis."
</t>
        </r>
        <r>
          <rPr>
            <b/>
            <sz val="9"/>
            <color indexed="81"/>
            <rFont val="Tahoma"/>
            <family val="2"/>
          </rPr>
          <t>Source:</t>
        </r>
        <r>
          <rPr>
            <sz val="9"/>
            <color indexed="81"/>
            <rFont val="Tahoma"/>
            <family val="2"/>
          </rPr>
          <t xml:space="preserve"> Biennial Investor Day (December-2020)</t>
        </r>
      </text>
    </comment>
    <comment ref="Q49" authorId="1" shapeId="0" xr:uid="{B5D5624D-EFB8-4FE0-B198-F789D0FE9649}">
      <text>
        <r>
          <rPr>
            <b/>
            <sz val="9"/>
            <color indexed="81"/>
            <rFont val="Tahoma"/>
            <family val="2"/>
          </rPr>
          <t>Primary Input:</t>
        </r>
        <r>
          <rPr>
            <sz val="9"/>
            <color indexed="81"/>
            <rFont val="Tahoma"/>
            <family val="2"/>
          </rPr>
          <t xml:space="preserve"> If you believe the macroeconomic and competitive landscape  will result in a favorable conditions for the company, consider increaseing the number of new stores over time, for each region. If not decrease the store count. </t>
        </r>
      </text>
    </comment>
    <comment ref="L54" authorId="0" shapeId="0" xr:uid="{031DC614-C8C6-4017-8A22-60CEB8497FEB}">
      <text>
        <r>
          <rPr>
            <b/>
            <sz val="9"/>
            <color indexed="81"/>
            <rFont val="Tahoma"/>
            <family val="2"/>
          </rPr>
          <t xml:space="preserve">Primary Input: </t>
        </r>
        <r>
          <rPr>
            <sz val="9"/>
            <color indexed="81"/>
            <rFont val="Tahoma"/>
            <family val="2"/>
          </rPr>
          <t xml:space="preserve">If you believe the SBUX product offerings, macroeconomic and competitive conditions  will benefit the company, increase the Comp Store Sales rate. If not, decrease the rate.
</t>
        </r>
        <r>
          <rPr>
            <b/>
            <sz val="9"/>
            <color indexed="81"/>
            <rFont val="Tahoma"/>
            <family val="2"/>
          </rPr>
          <t xml:space="preserve">
Management Guidance:</t>
        </r>
        <r>
          <rPr>
            <sz val="9"/>
            <color indexed="81"/>
            <rFont val="Tahoma"/>
            <family val="2"/>
          </rPr>
          <t xml:space="preserve"> Americas and U.S. comparable store sales declines of 12% to 17% for each of Q4 and full year.  (previously declines of 10% to 20% for each of Q4 and full year).
</t>
        </r>
        <r>
          <rPr>
            <b/>
            <sz val="9"/>
            <color indexed="81"/>
            <rFont val="Tahoma"/>
            <family val="2"/>
          </rPr>
          <t>Source:</t>
        </r>
        <r>
          <rPr>
            <sz val="9"/>
            <color indexed="81"/>
            <rFont val="Tahoma"/>
            <family val="2"/>
          </rPr>
          <t xml:space="preserve"> F3Q2020 Press Release, July 28, 2020</t>
        </r>
      </text>
    </comment>
    <comment ref="Q54" authorId="1" shapeId="0" xr:uid="{5E8138E2-CF43-4415-83AF-DF9A03E72969}">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Management Guidance:</t>
        </r>
        <r>
          <rPr>
            <sz val="9"/>
            <color indexed="81"/>
            <rFont val="Tahoma"/>
            <family val="2"/>
          </rPr>
          <t xml:space="preserve"> 22% to 25%
</t>
        </r>
        <r>
          <rPr>
            <b/>
            <sz val="9"/>
            <color indexed="81"/>
            <rFont val="Tahoma"/>
            <family val="2"/>
          </rPr>
          <t xml:space="preserve">Source: </t>
        </r>
        <r>
          <rPr>
            <sz val="9"/>
            <color indexed="81"/>
            <rFont val="Tahoma"/>
            <family val="2"/>
          </rPr>
          <t>F3Q2021 Press Release</t>
        </r>
      </text>
    </comment>
    <comment ref="AA54" authorId="1" shapeId="0" xr:uid="{078EACCF-1C2A-4E85-A3CC-7C23F8FD34D8}">
      <text>
        <r>
          <rPr>
            <b/>
            <sz val="9"/>
            <color indexed="81"/>
            <rFont val="Tahoma"/>
            <family val="2"/>
          </rPr>
          <t>Management Guidance:</t>
        </r>
        <r>
          <rPr>
            <sz val="9"/>
            <color indexed="81"/>
            <rFont val="Tahoma"/>
            <family val="2"/>
          </rPr>
          <t xml:space="preserve"> Guided long-term average comp growth for U.S. between 4% to 5%. This input assumes U.S. will be a relatively good proxy for the Americas segment. 
</t>
        </r>
        <r>
          <rPr>
            <b/>
            <sz val="9"/>
            <color indexed="81"/>
            <rFont val="Tahoma"/>
            <family val="2"/>
          </rPr>
          <t>Source:</t>
        </r>
        <r>
          <rPr>
            <sz val="9"/>
            <color indexed="81"/>
            <rFont val="Tahoma"/>
            <family val="2"/>
          </rPr>
          <t xml:space="preserve"> Biennial Investor Day (December-2020)
</t>
        </r>
      </text>
    </comment>
    <comment ref="AF54" authorId="1" shapeId="0" xr:uid="{B0802C20-8526-400B-BA47-2873C81DD8E9}">
      <text>
        <r>
          <rPr>
            <b/>
            <sz val="9"/>
            <color indexed="81"/>
            <rFont val="Tahoma"/>
            <family val="2"/>
          </rPr>
          <t>Management Guidance:</t>
        </r>
        <r>
          <rPr>
            <sz val="9"/>
            <color indexed="81"/>
            <rFont val="Tahoma"/>
            <family val="2"/>
          </rPr>
          <t xml:space="preserve"> Guided long-term average comp growth for U.S. between 4% to 5%. This input assumes U.S. will be a relatively good proxy for the Americas segment. 
</t>
        </r>
        <r>
          <rPr>
            <b/>
            <sz val="9"/>
            <color indexed="81"/>
            <rFont val="Tahoma"/>
            <family val="2"/>
          </rPr>
          <t>Source:</t>
        </r>
        <r>
          <rPr>
            <sz val="9"/>
            <color indexed="81"/>
            <rFont val="Tahoma"/>
            <family val="2"/>
          </rPr>
          <t xml:space="preserve"> Biennial Investor Day (December-2020)
</t>
        </r>
      </text>
    </comment>
    <comment ref="Q55" authorId="1" shapeId="0" xr:uid="{3CF66EF6-09B9-4ACE-9407-3B564032B667}">
      <text>
        <r>
          <rPr>
            <sz val="9"/>
            <color indexed="81"/>
            <rFont val="Tahoma"/>
            <family val="2"/>
          </rPr>
          <t>This cell inludes the last reported value, plus a $500M adjustment for the impact of the 53rd week based on management's guidance, with 80% of the impact in the Americas, and 20% in International.</t>
        </r>
      </text>
    </comment>
    <comment ref="AA55" authorId="1" shapeId="0" xr:uid="{C0FF4E7D-C675-4DF6-86DB-F8D91EB44A7A}">
      <text>
        <r>
          <rPr>
            <sz val="9"/>
            <color indexed="81"/>
            <rFont val="Tahoma"/>
            <family val="2"/>
          </rPr>
          <t>This will likely be higher than the historic average due to the sharp increase in expected new stores.</t>
        </r>
      </text>
    </comment>
    <comment ref="N56" authorId="1" shapeId="0" xr:uid="{D3B36557-7D69-4C6E-A39C-3E5C3462D84D}">
      <text>
        <r>
          <rPr>
            <b/>
            <sz val="9"/>
            <color indexed="81"/>
            <rFont val="Tahoma"/>
            <family val="2"/>
          </rPr>
          <t>-----------Review of Historic Results------------MD&amp;A Comment:</t>
        </r>
        <r>
          <rPr>
            <sz val="9"/>
            <color indexed="81"/>
            <rFont val="Tahoma"/>
            <family val="2"/>
          </rPr>
          <t xml:space="preserve"> Americas total net revenues for the first quarter of fiscal 2021 decreased $308 million, or 6%, primarily due to a 6% decrease in comparable store sales ($242 million) driven by a 21% decrease in transactions, partially offset by a 20% increase in average ticket. These declines were slightly offset by the opening of new company-operated stores ($62 million).
</t>
        </r>
        <r>
          <rPr>
            <b/>
            <sz val="9"/>
            <color indexed="81"/>
            <rFont val="Tahoma"/>
            <family val="2"/>
          </rPr>
          <t>Source:</t>
        </r>
        <r>
          <rPr>
            <sz val="9"/>
            <color indexed="81"/>
            <rFont val="Tahoma"/>
            <family val="2"/>
          </rPr>
          <t xml:space="preserve"> F1Q2021 10-Q
</t>
        </r>
      </text>
    </comment>
    <comment ref="P56" authorId="1" shapeId="0" xr:uid="{24AFC2DC-11C9-4A35-B03F-F1EC56748690}">
      <text>
        <r>
          <rPr>
            <b/>
            <sz val="9"/>
            <color indexed="81"/>
            <rFont val="Tahoma"/>
            <family val="2"/>
          </rPr>
          <t xml:space="preserve">-----------Review of Historic Results--------
MD&amp;A Comment: </t>
        </r>
        <r>
          <rPr>
            <sz val="9"/>
            <color indexed="81"/>
            <rFont val="Tahoma"/>
            <family val="2"/>
          </rPr>
          <t>Americas total net revenues for the third quarter of fiscal 2021 increased $2.6 billion, or 92%, primarily due to an 84% increase in comparable store sales ($2.1 billion) driven by an 82% increase in transactions and a 1% increase in average ticket, and the opening of new company-operated stores ($172 million). Also contributing to these increases were higher product and equipment sales to and royalty revenues from our licensees ($231 million), primarily due to lapping the severe impact of the COVID-19 pandemic in the prior year, and favorable foreign currency translation ($39 million).</t>
        </r>
        <r>
          <rPr>
            <b/>
            <sz val="9"/>
            <color indexed="81"/>
            <rFont val="Tahoma"/>
            <family val="2"/>
          </rPr>
          <t xml:space="preserve">
Source: </t>
        </r>
        <r>
          <rPr>
            <sz val="9"/>
            <color indexed="81"/>
            <rFont val="Tahoma"/>
            <family val="2"/>
          </rPr>
          <t>F3Q2021 10-Q</t>
        </r>
      </text>
    </comment>
    <comment ref="N63" authorId="1" shapeId="0" xr:uid="{89323F33-1BDF-49AE-B1F8-827FB34164E9}">
      <text>
        <r>
          <rPr>
            <b/>
            <sz val="9"/>
            <color indexed="81"/>
            <rFont val="Tahoma"/>
            <family val="2"/>
          </rPr>
          <t xml:space="preserve">-----------Review of Historic Results------------MD&amp;A Comment: </t>
        </r>
        <r>
          <rPr>
            <sz val="9"/>
            <color indexed="81"/>
            <rFont val="Tahoma"/>
            <family val="2"/>
          </rPr>
          <t>Licensed stores revenues declined by $121.1 million, primarily due to lower product and equipment sales to and royalty revenues from our licensees.</t>
        </r>
        <r>
          <rPr>
            <b/>
            <sz val="9"/>
            <color indexed="81"/>
            <rFont val="Tahoma"/>
            <family val="2"/>
          </rPr>
          <t xml:space="preserve">
Source: </t>
        </r>
        <r>
          <rPr>
            <sz val="9"/>
            <color indexed="81"/>
            <rFont val="Tahoma"/>
            <family val="2"/>
          </rPr>
          <t>F1Q2021 10-Q</t>
        </r>
      </text>
    </comment>
    <comment ref="AB66" authorId="1" shapeId="0" xr:uid="{F06EBA78-E43E-4979-B233-3EB29E35F48A}">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t>
        </r>
        <r>
          <rPr>
            <b/>
            <sz val="9"/>
            <color indexed="81"/>
            <rFont val="Tahoma"/>
            <family val="2"/>
          </rPr>
          <t xml:space="preserve">
Source:</t>
        </r>
        <r>
          <rPr>
            <sz val="9"/>
            <color indexed="81"/>
            <rFont val="Tahoma"/>
            <family val="2"/>
          </rPr>
          <t xml:space="preserve"> Biennial Investor Day (December-2020)</t>
        </r>
        <r>
          <rPr>
            <b/>
            <sz val="9"/>
            <color indexed="81"/>
            <rFont val="Tahoma"/>
            <family val="2"/>
          </rPr>
          <t xml:space="preserve">
</t>
        </r>
      </text>
    </comment>
    <comment ref="AG66" authorId="1" shapeId="0" xr:uid="{146B262E-A3B2-4330-9207-ADD3F684E57A}">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t>
        </r>
        <r>
          <rPr>
            <b/>
            <sz val="9"/>
            <color indexed="81"/>
            <rFont val="Tahoma"/>
            <family val="2"/>
          </rPr>
          <t xml:space="preserve">
Source: </t>
        </r>
        <r>
          <rPr>
            <sz val="9"/>
            <color indexed="81"/>
            <rFont val="Tahoma"/>
            <family val="2"/>
          </rPr>
          <t>Biennial Investor Day (December-2020)</t>
        </r>
      </text>
    </comment>
    <comment ref="H67" authorId="0" shapeId="0" xr:uid="{19075DCA-AF09-4B22-B86B-DF071EC7AC98}">
      <text>
        <r>
          <rPr>
            <b/>
            <sz val="9"/>
            <color indexed="81"/>
            <rFont val="Tahoma"/>
            <family val="2"/>
          </rPr>
          <t>3Q2019 Earnings call (7/25/2019) guidance for FY2019:</t>
        </r>
        <r>
          <rPr>
            <sz val="9"/>
            <color indexed="81"/>
            <rFont val="Tahoma"/>
            <family val="2"/>
          </rPr>
          <t xml:space="preserve"> ~2,000 net new Starbucks stores globally
Americas over 600
CAP ~1,100 (nearly 600 in China)
</t>
        </r>
        <r>
          <rPr>
            <u/>
            <sz val="9"/>
            <color indexed="81"/>
            <rFont val="Tahoma"/>
            <family val="2"/>
          </rPr>
          <t>EMEA ~300</t>
        </r>
        <r>
          <rPr>
            <sz val="9"/>
            <color indexed="81"/>
            <rFont val="Tahoma"/>
            <family val="2"/>
          </rPr>
          <t xml:space="preserve"> (virtually all license)</t>
        </r>
        <r>
          <rPr>
            <b/>
            <sz val="9"/>
            <color indexed="81"/>
            <rFont val="Tahoma"/>
            <family val="2"/>
          </rPr>
          <t xml:space="preserve">
Previous Guidance:
2Q2019 Earnings call guidance for FY2019: </t>
        </r>
        <r>
          <rPr>
            <sz val="9"/>
            <color indexed="81"/>
            <rFont val="Tahoma"/>
            <family val="2"/>
          </rPr>
          <t>~2,100 net new Starbucks stores globally
Americas over 600
CAP ~1,100 (nearly 600 in China)
EMEA ~400 (virtually all license)</t>
        </r>
      </text>
    </comment>
    <comment ref="M67" authorId="0" shapeId="0" xr:uid="{DB457C51-EFD8-446A-AF2A-3D505AAF192A}">
      <text>
        <r>
          <rPr>
            <sz val="9"/>
            <color indexed="81"/>
            <rFont val="Tahoma"/>
            <family val="2"/>
          </rPr>
          <t>M</t>
        </r>
        <r>
          <rPr>
            <b/>
            <sz val="9"/>
            <color indexed="81"/>
            <rFont val="Tahoma"/>
            <family val="2"/>
          </rPr>
          <t>anagement Gudiance:</t>
        </r>
        <r>
          <rPr>
            <sz val="9"/>
            <color indexed="81"/>
            <rFont val="Tahoma"/>
            <family val="2"/>
          </rPr>
          <t xml:space="preserve"> Americas approximately 300 net new stores
</t>
        </r>
        <r>
          <rPr>
            <b/>
            <sz val="9"/>
            <color indexed="81"/>
            <rFont val="Tahoma"/>
            <family val="2"/>
          </rPr>
          <t xml:space="preserve">Source: </t>
        </r>
        <r>
          <rPr>
            <sz val="9"/>
            <color indexed="81"/>
            <rFont val="Tahoma"/>
            <family val="2"/>
          </rPr>
          <t>F3Q2020 Press Release, July 28, 2020</t>
        </r>
      </text>
    </comment>
    <comment ref="R67" authorId="1" shapeId="0" xr:uid="{B77812EC-A807-41FD-90AD-D3FB9B40950C}">
      <text>
        <r>
          <rPr>
            <b/>
            <sz val="9"/>
            <color indexed="81"/>
            <rFont val="Tahoma"/>
            <family val="2"/>
          </rPr>
          <t xml:space="preserve">Management Guidance: </t>
        </r>
        <r>
          <rPr>
            <sz val="9"/>
            <color indexed="81"/>
            <rFont val="Tahoma"/>
            <family val="2"/>
          </rPr>
          <t xml:space="preserve">Approximately flat
</t>
        </r>
        <r>
          <rPr>
            <b/>
            <sz val="9"/>
            <color indexed="81"/>
            <rFont val="Tahoma"/>
            <family val="2"/>
          </rPr>
          <t>Source:</t>
        </r>
        <r>
          <rPr>
            <sz val="9"/>
            <color indexed="81"/>
            <rFont val="Tahoma"/>
            <family val="2"/>
          </rPr>
          <t xml:space="preserve"> F3Q2021 Press Release</t>
        </r>
      </text>
    </comment>
    <comment ref="H81" authorId="0" shapeId="0" xr:uid="{337B1FF0-2056-47ED-98FE-F3579D71DB39}">
      <text>
        <r>
          <rPr>
            <b/>
            <sz val="9"/>
            <color indexed="81"/>
            <rFont val="Tahoma"/>
            <family val="2"/>
          </rPr>
          <t xml:space="preserve">F3Q2019 Earnings call (7/25/2019) guidance for FY2019:
</t>
        </r>
        <r>
          <rPr>
            <sz val="9"/>
            <color indexed="81"/>
            <rFont val="Tahoma"/>
            <family val="2"/>
          </rPr>
          <t xml:space="preserve">Consolidated operating margin down moderately
&gt;Americas operating margin up slightly
&gt;CAP operating margin roughly flat
&gt;EMEA operating margin improving over the course of 2019
&gt;Channel Development operating margin mid-30% range
</t>
        </r>
        <r>
          <rPr>
            <b/>
            <sz val="9"/>
            <color indexed="81"/>
            <rFont val="Tahoma"/>
            <family val="2"/>
          </rPr>
          <t xml:space="preserve">
Past Guidance:
F2Q2019 Earnings call guidance for FY2019:
</t>
        </r>
        <r>
          <rPr>
            <sz val="9"/>
            <color indexed="81"/>
            <rFont val="Tahoma"/>
            <family val="2"/>
          </rPr>
          <t xml:space="preserve">Consolidated operating margin down moderately
&gt;Americas operating margin </t>
        </r>
        <r>
          <rPr>
            <u/>
            <sz val="9"/>
            <color indexed="81"/>
            <rFont val="Tahoma"/>
            <family val="2"/>
          </rPr>
          <t>up</t>
        </r>
        <r>
          <rPr>
            <sz val="9"/>
            <color indexed="81"/>
            <rFont val="Tahoma"/>
            <family val="2"/>
          </rPr>
          <t xml:space="preserve"> slightly
&gt;CAP operating margin roughly flat
&gt;EMEA operating margin improving over the course of 2019
&gt;Channel Development operating margin </t>
        </r>
        <r>
          <rPr>
            <u/>
            <sz val="9"/>
            <color indexed="81"/>
            <rFont val="Tahoma"/>
            <family val="2"/>
          </rPr>
          <t>mid-30%</t>
        </r>
        <r>
          <rPr>
            <sz val="9"/>
            <color indexed="81"/>
            <rFont val="Tahoma"/>
            <family val="2"/>
          </rPr>
          <t xml:space="preserve">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N81" authorId="1" shapeId="0" xr:uid="{197C20C6-BF75-4350-9521-D8F6F844DCC2}">
      <text>
        <r>
          <rPr>
            <b/>
            <sz val="9"/>
            <color indexed="81"/>
            <rFont val="Tahoma"/>
            <family val="2"/>
          </rPr>
          <t xml:space="preserve">-----------Review of Historic Results------------
MD&amp;A Comment: </t>
        </r>
        <r>
          <rPr>
            <sz val="9"/>
            <color indexed="81"/>
            <rFont val="Tahoma"/>
            <family val="2"/>
          </rPr>
          <t xml:space="preserve">Americas operating income for the first quarter of fiscal 2021 decreased 26% to $814 million, compared to $1.1 billion in the first quarter of fiscal 2020. Operating margin decreased 460 basis points to 17.3%, primarily due to sales deleverage attributed to COVID-19 impacts. In addition, we also incurred additional costs, primarily catastrophe pay programs for retail store partners incurred, net of benefits provided by the CARES Act and CEWS (approximately 40 basis points), and growth in wages and benefits (approximately 200 basis points). Higher restructuring expenses relating to our Americas portfolio optimization (approximately 140 basis points) also contributed to the decrease. Partially offsetting these decreases were improved labor efficiencies (approximately 260 basis points) and pricing (approximately 110 basis points).
</t>
        </r>
        <r>
          <rPr>
            <b/>
            <sz val="9"/>
            <color indexed="81"/>
            <rFont val="Tahoma"/>
            <family val="2"/>
          </rPr>
          <t xml:space="preserve">Source: </t>
        </r>
        <r>
          <rPr>
            <sz val="9"/>
            <color indexed="81"/>
            <rFont val="Tahoma"/>
            <family val="2"/>
          </rPr>
          <t>F1Q2021 10-Q</t>
        </r>
      </text>
    </comment>
    <comment ref="O81" authorId="0" shapeId="0" xr:uid="{C5B9FE0C-8E2C-4A17-9BF8-3A2FE74FE0DE}">
      <text>
        <r>
          <rPr>
            <b/>
            <sz val="9"/>
            <color indexed="81"/>
            <rFont val="Tahoma"/>
            <family val="2"/>
          </rPr>
          <t xml:space="preserve">Comment from F3Q2020 Earnings Call: </t>
        </r>
        <r>
          <rPr>
            <sz val="9"/>
            <color indexed="81"/>
            <rFont val="Tahoma"/>
            <family val="2"/>
          </rPr>
          <t>"We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81" authorId="1" shapeId="0" xr:uid="{FAAC430E-E91B-4CB7-B2BD-515DA73948CC}">
      <text>
        <r>
          <rPr>
            <b/>
            <sz val="9"/>
            <color indexed="81"/>
            <rFont val="Tahoma"/>
            <family val="2"/>
          </rPr>
          <t>-----------Review of Historic Results--------
MD&amp;A Comment:</t>
        </r>
        <r>
          <rPr>
            <sz val="9"/>
            <color indexed="81"/>
            <rFont val="Tahoma"/>
            <family val="2"/>
          </rPr>
          <t xml:space="preserve"> Americas operating income for the third quarter of fiscal 2021 was $1.3 billion, compared to a loss of $405 million in the third quarter of fiscal 2020. Operating margin increased 3,880 basis points to 24.4%, primarily due to sales leverage from business recovery and lapping higher COVID-19 related costs in the prior year, mainly catastrophe and service pay for store partners, net of temporary subsidies provided by the CARES Act and CEWS (approximately 930 basis points). Also contributing to the margin improvements were lower restructuring expenses (approximately 160 basis points), pricing (approximately 150 basis points) and benefits from the closure of lower-performing stores (approximately 80 basis points). These increases were partially offset by additional investments in retail store partners wages and benefits (approximately 110 basis points) and increased supply chain costs attributed to inflation (approximately 70 basis points).</t>
        </r>
        <r>
          <rPr>
            <b/>
            <sz val="9"/>
            <color indexed="81"/>
            <rFont val="Tahoma"/>
            <family val="2"/>
          </rPr>
          <t xml:space="preserve">
Source: </t>
        </r>
        <r>
          <rPr>
            <sz val="9"/>
            <color indexed="81"/>
            <rFont val="Tahoma"/>
            <family val="2"/>
          </rPr>
          <t>F3Q2021 10-Q</t>
        </r>
      </text>
    </comment>
    <comment ref="F84" authorId="0" shapeId="0" xr:uid="{E45FF681-0FFB-42C4-A85C-AABE7C1ED9D0}">
      <text>
        <r>
          <rPr>
            <b/>
            <sz val="9"/>
            <color indexed="81"/>
            <rFont val="Tahoma"/>
            <family val="2"/>
          </rPr>
          <t xml:space="preserve">Primary Input: </t>
        </r>
        <r>
          <rPr>
            <sz val="9"/>
            <color indexed="81"/>
            <rFont val="Tahoma"/>
            <family val="2"/>
          </rPr>
          <t>Similar comment as with the Americas Region above.</t>
        </r>
        <r>
          <rPr>
            <b/>
            <sz val="9"/>
            <color indexed="81"/>
            <rFont val="Tahoma"/>
            <family val="2"/>
          </rPr>
          <t xml:space="preserve">
</t>
        </r>
      </text>
    </comment>
    <comment ref="F89" authorId="0" shapeId="0" xr:uid="{472BD873-BB9A-4973-8C67-003377BB3EAD}">
      <text>
        <r>
          <rPr>
            <b/>
            <sz val="9"/>
            <color indexed="81"/>
            <rFont val="Tahoma"/>
            <family val="2"/>
          </rPr>
          <t xml:space="preserve">Primary Input: </t>
        </r>
        <r>
          <rPr>
            <sz val="9"/>
            <color indexed="81"/>
            <rFont val="Tahoma"/>
            <family val="2"/>
          </rPr>
          <t>Similar comment as with the Americas Region above (also remember that U.S. Dollar strength is a headwind for SBUX).</t>
        </r>
      </text>
    </comment>
    <comment ref="L89" authorId="0" shapeId="0" xr:uid="{C638F5CF-F545-4882-8177-374938B43A4D}">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International comparable store sales declines of 10% to 15% for Q4 and 20% to 25% for full year inclusive of a benefit from value-added tax exemption of approximately 3% and 1%, respectively  (previously declines of 10% to 20% for Q4 and 20% to 30% for full year).
</t>
        </r>
        <r>
          <rPr>
            <b/>
            <sz val="9"/>
            <color indexed="81"/>
            <rFont val="Tahoma"/>
            <family val="2"/>
          </rPr>
          <t xml:space="preserve">Source: </t>
        </r>
        <r>
          <rPr>
            <sz val="9"/>
            <color indexed="81"/>
            <rFont val="Tahoma"/>
            <family val="2"/>
          </rPr>
          <t xml:space="preserve">F3Q2020 Press Release, July 28, 2020
</t>
        </r>
        <r>
          <rPr>
            <b/>
            <sz val="9"/>
            <color indexed="81"/>
            <rFont val="Tahoma"/>
            <family val="2"/>
          </rPr>
          <t xml:space="preserve">Comment from F3Q2020 Earnings Call: </t>
        </r>
        <r>
          <rPr>
            <sz val="9"/>
            <color indexed="81"/>
            <rFont val="Tahoma"/>
            <family val="2"/>
          </rPr>
          <t xml:space="preserve">"Moving on to our International segment, with the expectation of COVID-19 impacts continuing to ease in the fourth quarter, particularly in Japan, we now expect International's comparable store sales to decline between 10% and 15% in Q4, including a 3% favorable VAT impact. For China specifically, we expect Q4 comparable store sales to range between flat and minus 5%.
Although this is generally in line with our previous guidance and now reflects both a new tailwind and a new headwind, the new tailwind is the temporary VAT exemption which I mentioned earlier, benefiting China's fourth quarter comp sales growth by about 4 percentage points. The new headwind is a combination of factors. First, COVID-related emergency response measures in Beijing where Starbucks currently has over 360 locations. And second, a prolonged slowdown in international and domestic travel, impacting Starbucks locations at China's airports and tourist venues. We expect the VAT exemption will expire at the end of December"
</t>
        </r>
      </text>
    </comment>
    <comment ref="Q89" authorId="1" shapeId="0" xr:uid="{5C4766B9-EF33-4430-9CFB-0CB1355F9410}">
      <text>
        <r>
          <rPr>
            <b/>
            <sz val="9"/>
            <color indexed="81"/>
            <rFont val="Tahoma"/>
            <family val="2"/>
          </rPr>
          <t>Primary Input:</t>
        </r>
        <r>
          <rPr>
            <sz val="9"/>
            <color indexed="81"/>
            <rFont val="Tahoma"/>
            <family val="2"/>
          </rPr>
          <t xml:space="preserve"> If you believe the SBUX product offerings, macroeconomic and competitive conditions  will benefit the company, increase the Comp Store Sales rate. If not, decrease the rate.
</t>
        </r>
        <r>
          <rPr>
            <b/>
            <sz val="9"/>
            <color indexed="81"/>
            <rFont val="Tahoma"/>
            <family val="2"/>
          </rPr>
          <t xml:space="preserve">Management Guidance: </t>
        </r>
        <r>
          <rPr>
            <sz val="9"/>
            <color indexed="81"/>
            <rFont val="Tahoma"/>
            <family val="2"/>
          </rPr>
          <t xml:space="preserve"> Mid to high single digits.
</t>
        </r>
        <r>
          <rPr>
            <b/>
            <sz val="9"/>
            <color indexed="81"/>
            <rFont val="Tahoma"/>
            <family val="2"/>
          </rPr>
          <t xml:space="preserve">Source: </t>
        </r>
        <r>
          <rPr>
            <sz val="9"/>
            <color indexed="81"/>
            <rFont val="Tahoma"/>
            <family val="2"/>
          </rPr>
          <t>F3Q2021 Press Release</t>
        </r>
      </text>
    </comment>
    <comment ref="AA89" authorId="1" shapeId="0" xr:uid="{2D6592D4-47AB-4240-8D47-3687DC1BAD68}">
      <text>
        <r>
          <rPr>
            <b/>
            <sz val="9"/>
            <color indexed="81"/>
            <rFont val="Tahoma"/>
            <family val="2"/>
          </rPr>
          <t>Management Guidance:</t>
        </r>
        <r>
          <rPr>
            <sz val="9"/>
            <color indexed="81"/>
            <rFont val="Tahoma"/>
            <family val="2"/>
          </rPr>
          <t xml:space="preserve"> Guided long-term average global comp growth of between 4% to 5%. The U.S. is expected to grow between 4% to 5%, so a 4% to 5% growth for International is also implied.
</t>
        </r>
        <r>
          <rPr>
            <b/>
            <sz val="9"/>
            <color indexed="81"/>
            <rFont val="Tahoma"/>
            <family val="2"/>
          </rPr>
          <t>Source:</t>
        </r>
        <r>
          <rPr>
            <sz val="9"/>
            <color indexed="81"/>
            <rFont val="Tahoma"/>
            <family val="2"/>
          </rPr>
          <t xml:space="preserve"> Biennial Investor Day (December-2020)
</t>
        </r>
      </text>
    </comment>
    <comment ref="AF89" authorId="1" shapeId="0" xr:uid="{6E69FDBF-7FED-41E1-AC2F-B2BFDA2E8D58}">
      <text>
        <r>
          <rPr>
            <b/>
            <sz val="9"/>
            <color indexed="81"/>
            <rFont val="Tahoma"/>
            <family val="2"/>
          </rPr>
          <t>Management Guidance:</t>
        </r>
        <r>
          <rPr>
            <sz val="9"/>
            <color indexed="81"/>
            <rFont val="Tahoma"/>
            <family val="2"/>
          </rPr>
          <t xml:space="preserve"> Guided long-term average global comp growth of between 4% to 5%. The U.S. is expected to grow between 4% to 5%, so a 4% to 5% growth for International is also implied.
</t>
        </r>
        <r>
          <rPr>
            <b/>
            <sz val="9"/>
            <color indexed="81"/>
            <rFont val="Tahoma"/>
            <family val="2"/>
          </rPr>
          <t>Source:</t>
        </r>
        <r>
          <rPr>
            <sz val="9"/>
            <color indexed="81"/>
            <rFont val="Tahoma"/>
            <family val="2"/>
          </rPr>
          <t xml:space="preserve"> Biennial Investor Day (December-2020)
</t>
        </r>
      </text>
    </comment>
    <comment ref="Q90" authorId="1" shapeId="0" xr:uid="{7267C875-172D-495E-86F9-D9F5E4DB9AF1}">
      <text>
        <r>
          <rPr>
            <sz val="9"/>
            <color indexed="81"/>
            <rFont val="Tahoma"/>
            <family val="2"/>
          </rPr>
          <t>This cell inludes the last reported value, plus a $500M adjustment for the impact of the 53rd week based on management's guidance, with 80% of the impact in the Americas, and 20% in International.</t>
        </r>
      </text>
    </comment>
    <comment ref="N91" authorId="1" shapeId="0" xr:uid="{6F84D0C6-DC2E-40D4-AAD9-D76FF4E35FB2}">
      <text>
        <r>
          <rPr>
            <b/>
            <sz val="9"/>
            <color indexed="81"/>
            <rFont val="Tahoma"/>
            <family val="2"/>
          </rPr>
          <t xml:space="preserve">-----------Review of Historic Results------------MD&amp;A Comment: </t>
        </r>
        <r>
          <rPr>
            <sz val="9"/>
            <color indexed="81"/>
            <rFont val="Tahoma"/>
            <family val="2"/>
          </rPr>
          <t>International total net revenues for the first quarter of fiscal 2021 increased $83 million, or 5%. Company-operated store revenues increased $132 million, primarily driven by 658 net new Starbucks company-operated stores, or an 11% increase, over the past 12 months ($108 million) and favorable foreign currency translation ($71 million). These were partially offset by a 3% decline in comparable store sales ($37 million), driven by a 10% decrease in transactions, partially offset by an 8% increase in average ticket.</t>
        </r>
        <r>
          <rPr>
            <b/>
            <sz val="9"/>
            <color indexed="81"/>
            <rFont val="Tahoma"/>
            <family val="2"/>
          </rPr>
          <t xml:space="preserve">
Source: </t>
        </r>
        <r>
          <rPr>
            <sz val="9"/>
            <color indexed="81"/>
            <rFont val="Tahoma"/>
            <family val="2"/>
          </rPr>
          <t>F1Q2021 10-Q</t>
        </r>
      </text>
    </comment>
    <comment ref="P91" authorId="1" shapeId="0" xr:uid="{E6E1DC43-34CE-4B3F-9360-96E6517E9F51}">
      <text>
        <r>
          <rPr>
            <b/>
            <sz val="9"/>
            <color indexed="81"/>
            <rFont val="Tahoma"/>
            <family val="2"/>
          </rPr>
          <t xml:space="preserve">-----------Review of Historic Results--------
MD&amp;A Comment: </t>
        </r>
        <r>
          <rPr>
            <sz val="9"/>
            <color indexed="81"/>
            <rFont val="Tahoma"/>
            <family val="2"/>
          </rPr>
          <t>International total net revenues for the third quarter of fiscal 2021 increased $709 million, or 75%. Company-operated store revenues increased $558 million, primarily due to a 41% increase in comparable store sales ($373 million), driven by a 55% increase in transactions, partially offset by a 9% decrease in average ticket. Additionally there were 761 net new stores, a 12% increase, over the past 12 months ($96 million). Also contributing to the increase in net revenues were
higher product and equipment sales to and royalty revenues from our licensees ($135 million) and favorable foreign currency translation ($94 million)</t>
        </r>
        <r>
          <rPr>
            <b/>
            <sz val="9"/>
            <color indexed="81"/>
            <rFont val="Tahoma"/>
            <family val="2"/>
          </rPr>
          <t xml:space="preserve">
Source: </t>
        </r>
        <r>
          <rPr>
            <sz val="9"/>
            <color indexed="81"/>
            <rFont val="Tahoma"/>
            <family val="2"/>
          </rPr>
          <t>F3Q2021 10-Q</t>
        </r>
      </text>
    </comment>
    <comment ref="M95" authorId="0" shapeId="0" xr:uid="{6B792D9A-DDF5-4A08-BFC7-43BACC004A05}">
      <text>
        <r>
          <rPr>
            <b/>
            <sz val="9"/>
            <color indexed="81"/>
            <rFont val="Tahoma"/>
            <family val="2"/>
          </rPr>
          <t xml:space="preserve">Management Gudiance: </t>
        </r>
        <r>
          <rPr>
            <sz val="9"/>
            <color indexed="81"/>
            <rFont val="Tahoma"/>
            <family val="2"/>
          </rPr>
          <t>Management does not provide guidance for the entire International segment, but did guide China to at least 300 net new stores.</t>
        </r>
        <r>
          <rPr>
            <b/>
            <sz val="9"/>
            <color indexed="81"/>
            <rFont val="Tahoma"/>
            <family val="2"/>
          </rPr>
          <t xml:space="preserve">
Source: </t>
        </r>
        <r>
          <rPr>
            <sz val="9"/>
            <color indexed="81"/>
            <rFont val="Tahoma"/>
            <family val="2"/>
          </rPr>
          <t>F3Q2020 Press Release, July 28, 2020</t>
        </r>
      </text>
    </comment>
    <comment ref="K97" authorId="0" shapeId="0" xr:uid="{83AA541D-85DB-4E53-8697-A5BBE38B85A7}">
      <text>
        <r>
          <rPr>
            <b/>
            <sz val="9"/>
            <color indexed="81"/>
            <rFont val="Tahoma"/>
            <family val="2"/>
          </rPr>
          <t>Comment from F3Q2020 Earnings Call:</t>
        </r>
        <r>
          <rPr>
            <sz val="9"/>
            <color indexed="81"/>
            <rFont val="Tahoma"/>
            <family val="2"/>
          </rPr>
          <t xml:space="preserve"> "Also contributing to the decline were lower product sales to our licensees as a result of lost sales related to the COVID-19 outbreak as well as temporary royalty relief that we granted our international licensees. And there was an additional 2% revenue dilutive impact of transitioning our Thailand business to licensed operations last year."</t>
        </r>
      </text>
    </comment>
    <comment ref="N98" authorId="1" shapeId="0" xr:uid="{77ADCA7A-993A-4174-85D7-CF6B6C6F9706}">
      <text>
        <r>
          <rPr>
            <b/>
            <sz val="9"/>
            <color indexed="81"/>
            <rFont val="Tahoma"/>
            <family val="2"/>
          </rPr>
          <t>-----------Review of Historic Results--------MD&amp;A Comment:</t>
        </r>
        <r>
          <rPr>
            <sz val="9"/>
            <color indexed="81"/>
            <rFont val="Tahoma"/>
            <family val="2"/>
          </rPr>
          <t xml:space="preserve"> Licensed stores revenues declined by $57.1 million, primarily due to lower product and equipment sales to and royalty revenues from our licensees.
</t>
        </r>
        <r>
          <rPr>
            <b/>
            <sz val="9"/>
            <color indexed="81"/>
            <rFont val="Tahoma"/>
            <family val="2"/>
          </rPr>
          <t>Source:</t>
        </r>
        <r>
          <rPr>
            <sz val="9"/>
            <color indexed="81"/>
            <rFont val="Tahoma"/>
            <family val="2"/>
          </rPr>
          <t xml:space="preserve"> F1Q2021 10-Q</t>
        </r>
      </text>
    </comment>
    <comment ref="AB101" authorId="1" shapeId="0" xr:uid="{36796F43-8760-4252-8AEC-CF9CC43224D4}">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 . And for China, we expect continued robust store development with a net unit growth rate in the low-teens."</t>
        </r>
        <r>
          <rPr>
            <b/>
            <sz val="9"/>
            <color indexed="81"/>
            <rFont val="Tahoma"/>
            <family val="2"/>
          </rPr>
          <t xml:space="preserve">
Source: </t>
        </r>
        <r>
          <rPr>
            <sz val="9"/>
            <color indexed="81"/>
            <rFont val="Tahoma"/>
            <family val="2"/>
          </rPr>
          <t>Biennial Investor Day (December-2020)</t>
        </r>
      </text>
    </comment>
    <comment ref="AG101" authorId="1" shapeId="0" xr:uid="{E5FB2943-828B-4815-8D2B-34DF406EFD10}">
      <text>
        <r>
          <rPr>
            <b/>
            <sz val="9"/>
            <color indexed="81"/>
            <rFont val="Tahoma"/>
            <family val="2"/>
          </rPr>
          <t xml:space="preserve">Management Guidance: </t>
        </r>
        <r>
          <rPr>
            <sz val="9"/>
            <color indexed="81"/>
            <rFont val="Tahoma"/>
            <family val="2"/>
          </rPr>
          <t>"And speaking of store development, we are targeting global net store growth of approximately 6% annually from fiscal 2022 to fiscal 2024. For the US, we now expect approximately 3% net unit growth annually, down slightly from our previous range of 3% to 4% with the exception of fiscal 2021 which is only slightly positive due to the impact of our trade area transformation initiative. . And for China, we expect continued robust store development with a net unit growth rate in the low-teens."</t>
        </r>
        <r>
          <rPr>
            <b/>
            <sz val="9"/>
            <color indexed="81"/>
            <rFont val="Tahoma"/>
            <family val="2"/>
          </rPr>
          <t xml:space="preserve">
Source: </t>
        </r>
        <r>
          <rPr>
            <sz val="9"/>
            <color indexed="81"/>
            <rFont val="Tahoma"/>
            <family val="2"/>
          </rPr>
          <t>Biennial Investor Day (December-2020)</t>
        </r>
      </text>
    </comment>
    <comment ref="R102" authorId="1" shapeId="0" xr:uid="{99C51CB8-A0DC-445B-9D6D-BA33F92CD2FA}">
      <text>
        <r>
          <rPr>
            <b/>
            <sz val="9"/>
            <color indexed="81"/>
            <rFont val="Tahoma"/>
            <family val="2"/>
          </rPr>
          <t xml:space="preserve">Management Guidance: </t>
        </r>
        <r>
          <rPr>
            <sz val="9"/>
            <color indexed="81"/>
            <rFont val="Tahoma"/>
            <family val="2"/>
          </rPr>
          <t xml:space="preserve">Approximately 1,100 net new stores.
</t>
        </r>
        <r>
          <rPr>
            <b/>
            <sz val="9"/>
            <color indexed="81"/>
            <rFont val="Tahoma"/>
            <family val="2"/>
          </rPr>
          <t>Source:</t>
        </r>
        <r>
          <rPr>
            <sz val="9"/>
            <color indexed="81"/>
            <rFont val="Tahoma"/>
            <family val="2"/>
          </rPr>
          <t xml:space="preserve"> F3Q2021 Press Release</t>
        </r>
      </text>
    </comment>
    <comment ref="N117" authorId="1" shapeId="0" xr:uid="{13F7AC9F-7226-4E36-A442-2D436AB1DB2D}">
      <text>
        <r>
          <rPr>
            <b/>
            <sz val="9"/>
            <color indexed="81"/>
            <rFont val="Tahoma"/>
            <family val="2"/>
          </rPr>
          <t>-----------Review of Historic Results------------
MD&amp;A Comment:</t>
        </r>
        <r>
          <rPr>
            <sz val="9"/>
            <color indexed="81"/>
            <rFont val="Tahoma"/>
            <family val="2"/>
          </rPr>
          <t xml:space="preserve"> International operating income for the first quarter of fiscal 2021 was $275 million, compared to $276 million in the first quarter of fiscal 2020. Operating margin decreased 100 basis points to 16.6%, primarily due to sales deleverage attributable to COVID-19, as well as additional costs incurred to invest in partner wages and benefits (approximately 70 basis points). These were partially offset by labor efficiencies (approximately 80 basis points).</t>
        </r>
        <r>
          <rPr>
            <b/>
            <sz val="9"/>
            <color indexed="81"/>
            <rFont val="Tahoma"/>
            <family val="2"/>
          </rPr>
          <t xml:space="preserve">
Source:</t>
        </r>
        <r>
          <rPr>
            <sz val="9"/>
            <color indexed="81"/>
            <rFont val="Tahoma"/>
            <family val="2"/>
          </rPr>
          <t xml:space="preserve"> F1Q2021 10-Q</t>
        </r>
      </text>
    </comment>
    <comment ref="O117" authorId="0" shapeId="0" xr:uid="{4AB95A50-046A-4311-A761-E1115C174DD4}">
      <text>
        <r>
          <rPr>
            <b/>
            <sz val="9"/>
            <color indexed="81"/>
            <rFont val="Tahoma"/>
            <family val="2"/>
          </rPr>
          <t>Comment from F3Q2020 Earnings Call:</t>
        </r>
        <r>
          <rPr>
            <sz val="9"/>
            <color indexed="81"/>
            <rFont val="Tahoma"/>
            <family val="2"/>
          </rPr>
          <t xml:space="preserve"> "We anticipate that comparable store sales will substantially recover in China and the US in fiscal 2021 by the end of our first and second quarters, respectively. Additionally, we expect that margin recovery for each business will trail sales recovery by about two quarters."</t>
        </r>
      </text>
    </comment>
    <comment ref="P117" authorId="1" shapeId="0" xr:uid="{78FBC399-AD07-4696-B157-CE09045EC983}">
      <text>
        <r>
          <rPr>
            <b/>
            <sz val="9"/>
            <color indexed="81"/>
            <rFont val="Tahoma"/>
            <family val="2"/>
          </rPr>
          <t xml:space="preserve">-----------Review of Historic Results--------
MD&amp;A Comment: </t>
        </r>
        <r>
          <rPr>
            <sz val="9"/>
            <color indexed="81"/>
            <rFont val="Tahoma"/>
            <family val="2"/>
          </rPr>
          <t>International operating income for the third quarter of fiscal 2021 was $318 million, compared to a loss of $86 million in the third quarter of fiscal 2020. Operating margin increased 2,830 basis points to 19.2%, primarily due to sales leverage driven by lapping the severe impact of the COVID-19 pandemic in the prior year as well labor efficiencies (approximately 310 basis points). Also contributing to this increase was lower catastrophe pay (approximately 290 basis points), lapping
temporary royalty relief provided to licensees in the prior year (approximately 230 basis points) and higher temporary government subsidies approximately 200 basis points).</t>
        </r>
        <r>
          <rPr>
            <b/>
            <sz val="9"/>
            <color indexed="81"/>
            <rFont val="Tahoma"/>
            <family val="2"/>
          </rPr>
          <t xml:space="preserve">
Source: </t>
        </r>
        <r>
          <rPr>
            <sz val="9"/>
            <color indexed="81"/>
            <rFont val="Tahoma"/>
            <family val="2"/>
          </rPr>
          <t>F3Q2021 10-Q</t>
        </r>
      </text>
    </comment>
    <comment ref="B118" authorId="0" shapeId="0" xr:uid="{2ECF2A61-59AF-4F81-8487-DCC081C4DD3E}">
      <text>
        <r>
          <rPr>
            <b/>
            <sz val="9"/>
            <color indexed="81"/>
            <rFont val="Tahoma"/>
            <family val="2"/>
          </rPr>
          <t xml:space="preserve">Description of Channel Development Segment from 10-K: </t>
        </r>
        <r>
          <rPr>
            <sz val="9"/>
            <color indexed="81"/>
            <rFont val="Tahoma"/>
            <family val="2"/>
          </rPr>
          <t xml:space="preserve">"Our Channel Development segment includes roasted whole bean and ground coffees, Seattle's Best Coffee®, Starbucks- and Teavana-branded single-serve
products, a variety of ready-to-drink beverages, such as Frappuccino®, Starbucks Doubleshot®, Starbucks Refreshers® beverages and TeavanaTM/MC iced tea, and other branded products sold worldwide outside of our company-operated and licensed stores. Historically our consumer packaged goods ("CPG") have been sold directly to grocery, warehouse club and specialty retail stores and through institutional foodservice companies. With the establishment of the Global Coffee Alliance with Nestlé, a large portion of our Channel Development business transitioned to a licensed model in the fourth quarter of fiscal 2018. Our collaborative relationships with PepsiCo, Inc., Anheuser-Busch InBev, Tingyi Holding Corp., Arla Foods and others for our global ready-to-drink beverage businesses in this segment are excluded from the Global Coffee Alliance."
</t>
        </r>
      </text>
    </comment>
    <comment ref="K119" authorId="0" shapeId="0" xr:uid="{185BBB80-FDFB-4685-98E8-ABE030F8BD14}">
      <text>
        <r>
          <rPr>
            <b/>
            <sz val="9"/>
            <color indexed="81"/>
            <rFont val="Tahoma"/>
            <family val="2"/>
          </rPr>
          <t>Comment from F3Q2020 Earnings Call: "</t>
        </r>
        <r>
          <rPr>
            <sz val="9"/>
            <color indexed="81"/>
            <rFont val="Tahoma"/>
            <family val="2"/>
          </rPr>
          <t xml:space="preserve">When normalizing for the 21% unfavorable impact of lapping Global Coffee Alliance transition-related items that benefited the prior year including higher inventory sales as Nestlé prepared to fulfill customer orders"...based on the fact that the high revenue mark in F3Q2019 was due in part to higher inventory sales, the F3Q2021 revenue will probably be somewhat below this level.
</t>
        </r>
      </text>
    </comment>
    <comment ref="N119" authorId="1" shapeId="0" xr:uid="{AB874941-E552-45C7-A633-66FCB6A3FFF3}">
      <text>
        <r>
          <rPr>
            <b/>
            <sz val="9"/>
            <color indexed="81"/>
            <rFont val="Tahoma"/>
            <family val="2"/>
          </rPr>
          <t>-----------Review of Historic Results------------
MD&amp;A Comment:</t>
        </r>
        <r>
          <rPr>
            <sz val="9"/>
            <color indexed="81"/>
            <rFont val="Tahoma"/>
            <family val="2"/>
          </rPr>
          <t xml:space="preserve"> Channel Development total net revenues for the first quarter of fiscal 2021 decreased $123 million, or 25%, primarily due to the transition of certain single-serve product activities to Nestlé ($91 million) and lapping of transition activities related to the Global Coffee Alliance ($21 million). Also contributing were lower Global Coffee Alliance revenues ($18 million), mainly driven by the Foodservice business, which experienced softening due to COVID-19. These were partially offset by growth in at-home coffee and our ready-to-drink business.
</t>
        </r>
        <r>
          <rPr>
            <b/>
            <sz val="9"/>
            <color indexed="81"/>
            <rFont val="Tahoma"/>
            <family val="2"/>
          </rPr>
          <t>Source:</t>
        </r>
        <r>
          <rPr>
            <sz val="9"/>
            <color indexed="81"/>
            <rFont val="Tahoma"/>
            <family val="2"/>
          </rPr>
          <t xml:space="preserve"> F1Q2021 10-Q</t>
        </r>
      </text>
    </comment>
    <comment ref="P119" authorId="1" shapeId="0" xr:uid="{2348C3EA-2991-4FB1-BA73-AD9801C84835}">
      <text>
        <r>
          <rPr>
            <b/>
            <sz val="9"/>
            <color indexed="81"/>
            <rFont val="Tahoma"/>
            <family val="2"/>
          </rPr>
          <t xml:space="preserve">-----------Review of Historic Results--------
MD&amp;A Comment: </t>
        </r>
        <r>
          <rPr>
            <sz val="9"/>
            <color indexed="81"/>
            <rFont val="Tahoma"/>
            <family val="2"/>
          </rPr>
          <t>Channel Development total net revenues for the third quarter of fiscal 2021 decreased $33 million, or 7%, primarily due to the transition of certain single-serve product activities to Nestlé ($74 million). This was partially offset by higher product sales and royalty revenue in the Global Coffee Alliance ($30 million) and growth in our ready-to-drink business. We expect the impacts from the transition to be substantially completed by the end of fiscal 2021</t>
        </r>
        <r>
          <rPr>
            <b/>
            <sz val="9"/>
            <color indexed="81"/>
            <rFont val="Tahoma"/>
            <family val="2"/>
          </rPr>
          <t xml:space="preserve">
Source: </t>
        </r>
        <r>
          <rPr>
            <sz val="9"/>
            <color indexed="81"/>
            <rFont val="Tahoma"/>
            <family val="2"/>
          </rPr>
          <t>F3Q2021 10-Q</t>
        </r>
      </text>
    </comment>
    <comment ref="R119" authorId="1" shapeId="0" xr:uid="{AE86E6AD-67A3-4A7E-BE34-70EACE08BDE9}">
      <text>
        <r>
          <rPr>
            <b/>
            <sz val="9"/>
            <color indexed="81"/>
            <rFont val="Tahoma"/>
            <family val="2"/>
          </rPr>
          <t xml:space="preserve">Management Guidance: </t>
        </r>
        <r>
          <rPr>
            <sz val="9"/>
            <color indexed="81"/>
            <rFont val="Tahoma"/>
            <family val="2"/>
          </rPr>
          <t xml:space="preserve">Channel Development revenue of $1.5 billion to $1.6 billion
</t>
        </r>
        <r>
          <rPr>
            <b/>
            <sz val="9"/>
            <color indexed="81"/>
            <rFont val="Tahoma"/>
            <family val="2"/>
          </rPr>
          <t>Source:</t>
        </r>
        <r>
          <rPr>
            <sz val="9"/>
            <color indexed="81"/>
            <rFont val="Tahoma"/>
            <family val="2"/>
          </rPr>
          <t xml:space="preserve"> F3Q2021 Press Release</t>
        </r>
      </text>
    </comment>
    <comment ref="M120" authorId="0" shapeId="0" xr:uid="{39CBAD8E-1E7B-49AA-9AC4-0EE9D203DE21}">
      <text>
        <r>
          <rPr>
            <b/>
            <sz val="9"/>
            <color indexed="81"/>
            <rFont val="Tahoma"/>
            <family val="2"/>
          </rPr>
          <t xml:space="preserve">Management Gudiance: </t>
        </r>
        <r>
          <rPr>
            <sz val="9"/>
            <color indexed="81"/>
            <rFont val="Tahoma"/>
            <family val="2"/>
          </rPr>
          <t xml:space="preserve">Channel Development revenue decline of 5% to 6% for full year.
</t>
        </r>
        <r>
          <rPr>
            <b/>
            <sz val="9"/>
            <color indexed="81"/>
            <rFont val="Tahoma"/>
            <family val="2"/>
          </rPr>
          <t>Source:</t>
        </r>
        <r>
          <rPr>
            <sz val="9"/>
            <color indexed="81"/>
            <rFont val="Tahoma"/>
            <family val="2"/>
          </rPr>
          <t xml:space="preserve"> F3Q2020 Press Release, July 28, 2020</t>
        </r>
      </text>
    </comment>
    <comment ref="AB120" authorId="1" shapeId="0" xr:uid="{15D900FE-4E53-492F-8C1C-D8DF7E6B1FC6}">
      <text>
        <r>
          <rPr>
            <b/>
            <sz val="9"/>
            <color indexed="81"/>
            <rFont val="Tahoma"/>
            <family val="2"/>
          </rPr>
          <t xml:space="preserve">Management Guidance: </t>
        </r>
        <r>
          <rPr>
            <sz val="9"/>
            <color indexed="81"/>
            <rFont val="Tahoma"/>
            <family val="2"/>
          </rPr>
          <t>5% to 6% growth</t>
        </r>
        <r>
          <rPr>
            <b/>
            <sz val="9"/>
            <color indexed="81"/>
            <rFont val="Tahoma"/>
            <family val="2"/>
          </rPr>
          <t xml:space="preserve">
Source:</t>
        </r>
        <r>
          <rPr>
            <sz val="9"/>
            <color indexed="81"/>
            <rFont val="Tahoma"/>
            <family val="2"/>
          </rPr>
          <t xml:space="preserve"> Biennial Investor Day (December-2020)</t>
        </r>
      </text>
    </comment>
    <comment ref="AG120" authorId="1" shapeId="0" xr:uid="{42F914C6-9C66-4327-99D8-E0505C865734}">
      <text>
        <r>
          <rPr>
            <b/>
            <sz val="9"/>
            <color indexed="81"/>
            <rFont val="Tahoma"/>
            <family val="2"/>
          </rPr>
          <t>Management Guidance:</t>
        </r>
        <r>
          <rPr>
            <sz val="9"/>
            <color indexed="81"/>
            <rFont val="Tahoma"/>
            <family val="2"/>
          </rPr>
          <t xml:space="preserve"> 5% to 6% growth
</t>
        </r>
        <r>
          <rPr>
            <b/>
            <sz val="9"/>
            <color indexed="81"/>
            <rFont val="Tahoma"/>
            <family val="2"/>
          </rPr>
          <t>Source:</t>
        </r>
        <r>
          <rPr>
            <sz val="9"/>
            <color indexed="81"/>
            <rFont val="Tahoma"/>
            <family val="2"/>
          </rPr>
          <t xml:space="preserve"> Biennial Investor Day (December-2020)</t>
        </r>
      </text>
    </comment>
    <comment ref="N131" authorId="1" shapeId="0" xr:uid="{8465EE73-E172-4E45-8A85-39F8D3CAC3B9}">
      <text>
        <r>
          <rPr>
            <b/>
            <sz val="9"/>
            <color indexed="81"/>
            <rFont val="Tahoma"/>
            <family val="2"/>
          </rPr>
          <t>-----------Review of Historic Results------------
MD&amp;A Comment:</t>
        </r>
        <r>
          <rPr>
            <sz val="9"/>
            <color indexed="81"/>
            <rFont val="Tahoma"/>
            <family val="2"/>
          </rPr>
          <t xml:space="preserve"> Channel Development operating income for the first quarter of fiscal 2021 increased 3% to $181 million, compared to $176 million in the first quarter of fiscal 2020. Operating margin increased 1,320 basis points to 48.7%, primarily due to the transfer of certain single-serve products to Nestlé as part of the Global Coffee Alliance (approximately 820 basis points). Strong performance from our North American Coffee Partnership joint venture also contributed.
</t>
        </r>
        <r>
          <rPr>
            <b/>
            <sz val="9"/>
            <color indexed="81"/>
            <rFont val="Tahoma"/>
            <family val="2"/>
          </rPr>
          <t>Source:</t>
        </r>
        <r>
          <rPr>
            <sz val="9"/>
            <color indexed="81"/>
            <rFont val="Tahoma"/>
            <family val="2"/>
          </rPr>
          <t xml:space="preserve"> F1Q2021 10-Q</t>
        </r>
      </text>
    </comment>
    <comment ref="P131" authorId="1" shapeId="0" xr:uid="{C00183B1-D7E1-4134-84E9-50C73D4E2AAD}">
      <text>
        <r>
          <rPr>
            <b/>
            <sz val="9"/>
            <color indexed="81"/>
            <rFont val="Tahoma"/>
            <family val="2"/>
          </rPr>
          <t>-----------Review of Historic Results--------
MD&amp;A Comment:</t>
        </r>
        <r>
          <rPr>
            <sz val="9"/>
            <color indexed="81"/>
            <rFont val="Tahoma"/>
            <family val="2"/>
          </rPr>
          <t xml:space="preserve"> Channel Development operating income for the third quarter of fiscal 2021 increased 74% to $216 million, compared to $124 million in the third quarter of fiscal 2020. Operating margin increased 2,440 basis points to 52.2%, primarily due to lower Global Coffee Alliance transaction costs, inclusive of lapping certain transition items from prior year (approximately 780 basis points) and a change in estimate relating to a transaction cost accrual (approximately 550 basis points), as well as the transfer of certain single-serve products to Nestlé as part of the Global Coffee Alliance (approximately 700 basis points). Strong performance from our
North American Coffee Partnership joint venture also contributed</t>
        </r>
        <r>
          <rPr>
            <b/>
            <sz val="9"/>
            <color indexed="81"/>
            <rFont val="Tahoma"/>
            <family val="2"/>
          </rPr>
          <t xml:space="preserve">
Source: </t>
        </r>
        <r>
          <rPr>
            <sz val="9"/>
            <color indexed="81"/>
            <rFont val="Tahoma"/>
            <family val="2"/>
          </rPr>
          <t>F3Q2021 10-Q</t>
        </r>
      </text>
    </comment>
    <comment ref="H132" authorId="0" shapeId="0" xr:uid="{745288D1-FD76-421F-91E0-D7610A1D8032}">
      <text>
        <r>
          <rPr>
            <b/>
            <sz val="9"/>
            <color indexed="81"/>
            <rFont val="Tahoma"/>
            <family val="2"/>
          </rPr>
          <t xml:space="preserve">F3Q2019 Earnings call (7/25/2019)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Past Guidance:
F2Q2019 Earnings call guidance for FY2019:
</t>
        </r>
        <r>
          <rPr>
            <sz val="9"/>
            <color indexed="81"/>
            <rFont val="Tahoma"/>
            <family val="2"/>
          </rPr>
          <t>Consolidated operating margin down moderately
&gt;Americas operating margin up slightly
&gt;CAP operating margin roughly flat
&gt;EMEA operating margin improving over the course of 2019
&gt;Channel Development operating margin mid-30% range</t>
        </r>
        <r>
          <rPr>
            <b/>
            <sz val="9"/>
            <color indexed="81"/>
            <rFont val="Tahoma"/>
            <family val="2"/>
          </rPr>
          <t xml:space="preserve">
F1Q2019 Earnings call guidance for FY2019:
</t>
        </r>
        <r>
          <rPr>
            <sz val="9"/>
            <color indexed="81"/>
            <rFont val="Tahoma"/>
            <family val="2"/>
          </rPr>
          <t>Consolidated operating margin down moderately
&gt;Americas operating margin down slightly
&gt;CAP operating margin roughly flat
&gt;EMEA operating margin improving over the course of 2019
&gt;Channel Development operating margin high 30% range</t>
        </r>
      </text>
    </comment>
    <comment ref="K132" authorId="0" shapeId="0" xr:uid="{155B9DAA-38C4-41EE-A088-0C69B28CB573}">
      <text>
        <r>
          <rPr>
            <b/>
            <sz val="9"/>
            <color indexed="81"/>
            <rFont val="Tahoma"/>
            <family val="2"/>
          </rPr>
          <t>Comment from F3Q2020 Earnings Call: "</t>
        </r>
        <r>
          <rPr>
            <sz val="9"/>
            <color indexed="81"/>
            <rFont val="Tahoma"/>
            <family val="2"/>
          </rPr>
          <t>Normalizing for the 460 basis point impact of the transition activities I just mentioned, Channel Development's non-GAAP operating margin contracted 340 basis points in Q3. The contraction was due primarily to a business mix shift within Channel Development as well as deleverage on fixed coffee manufacturing costs shared across the company's operating segments driven by lower retail production volumes resulting from COVID-19."</t>
        </r>
      </text>
    </comment>
    <comment ref="N142" authorId="1" shapeId="0" xr:uid="{A0789269-2C40-4907-8EB1-85DB76115CAB}">
      <text>
        <r>
          <rPr>
            <b/>
            <sz val="9"/>
            <color indexed="81"/>
            <rFont val="Tahoma"/>
            <family val="2"/>
          </rPr>
          <t xml:space="preserve">-----------Review of Historic Results------------
MD&amp;A Comment: </t>
        </r>
        <r>
          <rPr>
            <sz val="9"/>
            <color indexed="81"/>
            <rFont val="Tahoma"/>
            <family val="2"/>
          </rPr>
          <t>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$356 million for the first fiscal quarter of 2021, or 8%, compared to $330 million for the first fiscal quarter of
2020. This increase was primarily driven by incremental strategic investments in technology and higher performance-based compensation recognizing the strength of the company's overall recovery from pandemic-related business impacts.</t>
        </r>
        <r>
          <rPr>
            <b/>
            <sz val="9"/>
            <color indexed="81"/>
            <rFont val="Tahoma"/>
            <family val="2"/>
          </rPr>
          <t xml:space="preserve">
Source: </t>
        </r>
        <r>
          <rPr>
            <sz val="9"/>
            <color indexed="81"/>
            <rFont val="Tahoma"/>
            <family val="2"/>
          </rPr>
          <t>F1Q2021 10-Q</t>
        </r>
      </text>
    </comment>
    <comment ref="P142" authorId="1" shapeId="0" xr:uid="{07692648-2B45-415A-8F8B-322501542A21}">
      <text>
        <r>
          <rPr>
            <b/>
            <sz val="9"/>
            <color indexed="81"/>
            <rFont val="Tahoma"/>
            <family val="2"/>
          </rPr>
          <t xml:space="preserve">-----------Review of Historic Results--------
MD&amp;A Comment: </t>
        </r>
        <r>
          <rPr>
            <sz val="9"/>
            <color indexed="81"/>
            <rFont val="Tahoma"/>
            <family val="2"/>
          </rPr>
          <t xml:space="preserve">Corporate and Other primarily consists of our unallocated corporate expenses, as well as Evolution Fresh. Unallocated corporate expenses include corporate administrative functions that support the operating segments but are not specifically attributable to or managed by any segment and are not included in the reported financial results of the operating segments.
Corporate and Other operating loss increased to $361 million for the third quarter of fiscal 2021, or 7%, compared to $337 million for the third quarter of fiscal
2020. This increase was primarily driven by higher performance-based compensation recognizing the better than expected business recovery ($37 million) and incremental strategic investments in technology ($19 million).
</t>
        </r>
        <r>
          <rPr>
            <b/>
            <sz val="9"/>
            <color indexed="81"/>
            <rFont val="Tahoma"/>
            <family val="2"/>
          </rPr>
          <t xml:space="preserve">
Source:</t>
        </r>
        <r>
          <rPr>
            <sz val="9"/>
            <color indexed="81"/>
            <rFont val="Tahoma"/>
            <family val="2"/>
          </rPr>
          <t xml:space="preserve"> F3Q2021 10-Q</t>
        </r>
      </text>
    </comment>
    <comment ref="H150" authorId="0" shapeId="0" xr:uid="{E32AD2B0-54FD-4574-91F4-A6C18129912F}">
      <text>
        <r>
          <rPr>
            <b/>
            <sz val="9"/>
            <color indexed="81"/>
            <rFont val="Tahoma"/>
            <family val="2"/>
          </rPr>
          <t xml:space="preserve">3Q2019 Earnings call (7/25/2019) guidance for FY2019: </t>
        </r>
        <r>
          <rPr>
            <sz val="9"/>
            <color indexed="81"/>
            <rFont val="Tahoma"/>
            <family val="2"/>
          </rPr>
          <t>Revenue growth of 7%.</t>
        </r>
        <r>
          <rPr>
            <b/>
            <sz val="9"/>
            <color indexed="81"/>
            <rFont val="Tahoma"/>
            <family val="2"/>
          </rPr>
          <t xml:space="preserve">
Previous Guidance:
2Q2019 Earnings call guidance for FY2019: </t>
        </r>
        <r>
          <rPr>
            <sz val="9"/>
            <color indexed="81"/>
            <rFont val="Tahoma"/>
            <family val="2"/>
          </rPr>
          <t>Revenue growth between 5% and 7%.
"As a reminder, we will lap the East China acquisition at the
beginning of Q2, at which point we will no longer see the year-over-year benefit to our total revenue growth. At the
same time, we will still bear the year-over-year revenue headwind from the Global Coffee Alliance. We expect
these factors to yield significantly lower revenue growth in Q2 compared to Q1.  
Given the fact that Q2 is a seasonally low period for us and with the continued substantial carryover of last year's U.S. tax reform-related
investments, we also expect our non-GAAP operating margin percentage to be lower in Q2 compared to Q1.
We are in the early phases of our G&amp;A reduction program, having just started in Q1 and the benefits to the P&amp;L
will not begin to meaningfully materialize until the back half of the fiscal year. This is an area of continued focus
for us and we remain committed to reducing G&amp;A spending as a percentage of system sales over the next three
years to drive profitable growth-at-scale, while making the necessary investments in our business. As we start to
lap the tax reform-related investments in Q3 and with the benefit of our continued focus on improving G&amp;A
efficiency, we expect our non-GAAP operating margin percentage to be higher in the second half of the year
compared to the first half, even with the one-time cost of our global leadership conference that will impact Q4.
Please note that all of this is consistent with our full year guidance for 2019.</t>
        </r>
      </text>
    </comment>
    <comment ref="L150" authorId="0" shapeId="0" xr:uid="{20C77C97-E5F2-48CA-8309-05723D6EB52F}">
      <text>
        <r>
          <rPr>
            <b/>
            <sz val="9"/>
            <color indexed="81"/>
            <rFont val="Tahoma"/>
            <family val="2"/>
          </rPr>
          <t>Management Guidance:</t>
        </r>
        <r>
          <rPr>
            <sz val="9"/>
            <color indexed="81"/>
            <rFont val="Tahoma"/>
            <family val="2"/>
          </rPr>
          <t xml:space="preserve"> Consolidated revenue decline of 10% to 15% for Q4.
</t>
        </r>
        <r>
          <rPr>
            <b/>
            <sz val="9"/>
            <color indexed="81"/>
            <rFont val="Tahoma"/>
            <family val="2"/>
          </rPr>
          <t>Source:</t>
        </r>
        <r>
          <rPr>
            <sz val="9"/>
            <color indexed="81"/>
            <rFont val="Tahoma"/>
            <family val="2"/>
          </rPr>
          <t xml:space="preserve"> F3Q2020 Press Release, July 28, 2020</t>
        </r>
      </text>
    </comment>
    <comment ref="AB150" authorId="1" shapeId="0" xr:uid="{836619EF-37A8-4DF6-8BBA-67ACC1AA8F0C}">
      <text>
        <r>
          <rPr>
            <b/>
            <sz val="9"/>
            <color indexed="81"/>
            <rFont val="Tahoma"/>
            <family val="2"/>
          </rPr>
          <t xml:space="preserve">Management Guidance: </t>
        </r>
        <r>
          <rPr>
            <sz val="9"/>
            <color indexed="81"/>
            <rFont val="Tahoma"/>
            <family val="2"/>
          </rPr>
          <t xml:space="preserve">"Combining comp growth with unit growth, we expect enterprise revenue growth of 8% to 10% annually"
</t>
        </r>
        <r>
          <rPr>
            <b/>
            <sz val="9"/>
            <color indexed="81"/>
            <rFont val="Tahoma"/>
            <family val="2"/>
          </rPr>
          <t>Source:</t>
        </r>
        <r>
          <rPr>
            <sz val="9"/>
            <color indexed="81"/>
            <rFont val="Tahoma"/>
            <family val="2"/>
          </rPr>
          <t xml:space="preserve"> Biennial Investor Day (December-2020)</t>
        </r>
      </text>
    </comment>
    <comment ref="AG150" authorId="1" shapeId="0" xr:uid="{15995F2B-8372-4943-97DE-97AC0DE5BA75}">
      <text>
        <r>
          <rPr>
            <b/>
            <sz val="9"/>
            <color indexed="81"/>
            <rFont val="Tahoma"/>
            <family val="2"/>
          </rPr>
          <t xml:space="preserve">Management Guidance: </t>
        </r>
        <r>
          <rPr>
            <sz val="9"/>
            <color indexed="81"/>
            <rFont val="Tahoma"/>
            <family val="2"/>
          </rPr>
          <t xml:space="preserve">"Combining comp growth with unit growth, we expect enterprise revenue growth of 8% to 10% annually"
</t>
        </r>
        <r>
          <rPr>
            <b/>
            <sz val="9"/>
            <color indexed="81"/>
            <rFont val="Tahoma"/>
            <family val="2"/>
          </rPr>
          <t>Source:</t>
        </r>
        <r>
          <rPr>
            <sz val="9"/>
            <color indexed="81"/>
            <rFont val="Tahoma"/>
            <family val="2"/>
          </rPr>
          <t xml:space="preserve"> Biennial Investor Day (December-2020)</t>
        </r>
      </text>
    </comment>
    <comment ref="R151" authorId="1" shapeId="0" xr:uid="{ACABA2F0-79E0-47CD-BC5B-1F4BC9B497E5}">
      <text>
        <r>
          <rPr>
            <b/>
            <sz val="9"/>
            <color indexed="81"/>
            <rFont val="Tahoma"/>
            <family val="2"/>
          </rPr>
          <t xml:space="preserve">Management Guidance: </t>
        </r>
        <r>
          <rPr>
            <sz val="9"/>
            <color indexed="81"/>
            <rFont val="Tahoma"/>
            <family val="2"/>
          </rPr>
          <t xml:space="preserve">  Consolidated GAAP operating margin of ~17%.
</t>
        </r>
        <r>
          <rPr>
            <b/>
            <sz val="9"/>
            <color indexed="81"/>
            <rFont val="Tahoma"/>
            <family val="2"/>
          </rPr>
          <t>Source:</t>
        </r>
        <r>
          <rPr>
            <sz val="9"/>
            <color indexed="81"/>
            <rFont val="Tahoma"/>
            <family val="2"/>
          </rPr>
          <t xml:space="preserve"> F3Q2021 Press Release</t>
        </r>
      </text>
    </comment>
    <comment ref="R152" authorId="1" shapeId="0" xr:uid="{A1DB106A-76B4-4360-BB44-437202C0F23B}">
      <text>
        <r>
          <rPr>
            <b/>
            <sz val="9"/>
            <color indexed="81"/>
            <rFont val="Tahoma"/>
            <family val="2"/>
          </rPr>
          <t>Management Guidance:</t>
        </r>
        <r>
          <rPr>
            <sz val="9"/>
            <color indexed="81"/>
            <rFont val="Tahoma"/>
            <family val="2"/>
          </rPr>
          <t xml:space="preserve">   Consolidated Non-GAAP operating margin of ~18%
</t>
        </r>
        <r>
          <rPr>
            <b/>
            <sz val="9"/>
            <color indexed="81"/>
            <rFont val="Tahoma"/>
            <family val="2"/>
          </rPr>
          <t>Source:</t>
        </r>
        <r>
          <rPr>
            <sz val="9"/>
            <color indexed="81"/>
            <rFont val="Tahoma"/>
            <family val="2"/>
          </rPr>
          <t xml:space="preserve"> F3Q2021 Press Release</t>
        </r>
      </text>
    </comment>
    <comment ref="AB152" authorId="1" shapeId="0" xr:uid="{70E22737-125D-498D-9E8D-6447A617F368}">
      <text>
        <r>
          <rPr>
            <b/>
            <sz val="9"/>
            <color indexed="81"/>
            <rFont val="Tahoma"/>
            <family val="2"/>
          </rPr>
          <t xml:space="preserve">Management Guidance: </t>
        </r>
        <r>
          <rPr>
            <sz val="9"/>
            <color indexed="81"/>
            <rFont val="Tahoma"/>
            <family val="2"/>
          </rPr>
          <t>"Moving on to non-GAAP operating margin. We continue to expect a modest amount of margin expansion each year...to a new range of 18% to 19% beyond fiscal 2021"</t>
        </r>
        <r>
          <rPr>
            <b/>
            <sz val="9"/>
            <color indexed="81"/>
            <rFont val="Tahoma"/>
            <family val="2"/>
          </rPr>
          <t xml:space="preserve">
Source: </t>
        </r>
        <r>
          <rPr>
            <sz val="9"/>
            <color indexed="81"/>
            <rFont val="Tahoma"/>
            <family val="2"/>
          </rPr>
          <t>Biennial Investor Day (December-2020)</t>
        </r>
      </text>
    </comment>
    <comment ref="AG152" authorId="1" shapeId="0" xr:uid="{BA1B38EF-B8E6-4BFB-8182-B744910CB5FD}">
      <text>
        <r>
          <rPr>
            <b/>
            <sz val="9"/>
            <color indexed="81"/>
            <rFont val="Tahoma"/>
            <family val="2"/>
          </rPr>
          <t xml:space="preserve">Management Guidance: </t>
        </r>
        <r>
          <rPr>
            <sz val="9"/>
            <color indexed="81"/>
            <rFont val="Tahoma"/>
            <family val="2"/>
          </rPr>
          <t>"Moving on to non-GAAP operating margin. We continue to expect a modest amount of margin expansion each year...to a new range of 18% to 19% beyond fiscal 2021"</t>
        </r>
        <r>
          <rPr>
            <b/>
            <sz val="9"/>
            <color indexed="81"/>
            <rFont val="Tahoma"/>
            <family val="2"/>
          </rPr>
          <t xml:space="preserve">
Source: </t>
        </r>
        <r>
          <rPr>
            <sz val="9"/>
            <color indexed="81"/>
            <rFont val="Tahoma"/>
            <family val="2"/>
          </rPr>
          <t>Biennial Investor Day (December-2020)</t>
        </r>
      </text>
    </comment>
    <comment ref="H153" authorId="0" shapeId="0" xr:uid="{48B7E267-B9F5-4479-B991-E2D93AEDCC85}">
      <text>
        <r>
          <rPr>
            <b/>
            <sz val="9"/>
            <color indexed="81"/>
            <rFont val="Tahoma"/>
            <family val="2"/>
          </rPr>
          <t xml:space="preserve">F3Q2019 Earnings call (7/25/2019) guidance for FY2019: </t>
        </r>
        <r>
          <rPr>
            <sz val="9"/>
            <color indexed="81"/>
            <rFont val="Tahoma"/>
            <family val="2"/>
          </rPr>
          <t>19% to 20%, Non-GAAP tax rate in the range of 19% to 20%.</t>
        </r>
        <r>
          <rPr>
            <b/>
            <sz val="9"/>
            <color indexed="81"/>
            <rFont val="Tahoma"/>
            <family val="2"/>
          </rPr>
          <t xml:space="preserve">
Previous Guidance:
F2Q2019 Earnings call guidance for FY2019: </t>
        </r>
        <r>
          <rPr>
            <sz val="9"/>
            <color indexed="81"/>
            <rFont val="Tahoma"/>
            <family val="2"/>
          </rPr>
          <t xml:space="preserve">20% to 22%, Non-GAAP tax rate in the range of 19% to 21%.
</t>
        </r>
        <r>
          <rPr>
            <b/>
            <sz val="9"/>
            <color indexed="81"/>
            <rFont val="Tahoma"/>
            <family val="2"/>
          </rPr>
          <t>F1Q2019 Earnings call guidance for FY2019:</t>
        </r>
        <r>
          <rPr>
            <sz val="9"/>
            <color indexed="81"/>
            <rFont val="Tahoma"/>
            <family val="2"/>
          </rPr>
          <t xml:space="preserve"> 21% to 23%</t>
        </r>
      </text>
    </comment>
    <comment ref="L153" authorId="0" shapeId="0" xr:uid="{AB093BEC-BC34-4595-8AD6-8DC56C230B1F}">
      <text>
        <r>
          <rPr>
            <b/>
            <sz val="9"/>
            <color indexed="81"/>
            <rFont val="Tahoma"/>
            <family val="2"/>
          </rPr>
          <t>Management Guidance:</t>
        </r>
        <r>
          <rPr>
            <sz val="9"/>
            <color indexed="81"/>
            <rFont val="Tahoma"/>
            <family val="2"/>
          </rPr>
          <t xml:space="preserve"> GAAP and non-GAAP effective tax rates in the range of mid- to high-20%s.
</t>
        </r>
        <r>
          <rPr>
            <b/>
            <sz val="9"/>
            <color indexed="81"/>
            <rFont val="Tahoma"/>
            <family val="2"/>
          </rPr>
          <t>Source:</t>
        </r>
        <r>
          <rPr>
            <sz val="9"/>
            <color indexed="81"/>
            <rFont val="Tahoma"/>
            <family val="2"/>
          </rPr>
          <t xml:space="preserve"> F3Q2020 Press Release, July 28, 2020</t>
        </r>
      </text>
    </comment>
    <comment ref="R153" authorId="1" shapeId="0" xr:uid="{95950EF4-B1E9-4B4C-92BE-799AD51B0520}">
      <text>
        <r>
          <rPr>
            <b/>
            <sz val="9"/>
            <color indexed="81"/>
            <rFont val="Tahoma"/>
            <family val="2"/>
          </rPr>
          <t xml:space="preserve">Management Guidance:  </t>
        </r>
        <r>
          <rPr>
            <sz val="9"/>
            <color indexed="81"/>
            <rFont val="Tahoma"/>
            <family val="2"/>
          </rPr>
          <t xml:space="preserve"> GAAP and non-GAAP effective tax rates in the low-20%s
</t>
        </r>
        <r>
          <rPr>
            <b/>
            <sz val="9"/>
            <color indexed="81"/>
            <rFont val="Tahoma"/>
            <family val="2"/>
          </rPr>
          <t>Source:</t>
        </r>
        <r>
          <rPr>
            <sz val="9"/>
            <color indexed="81"/>
            <rFont val="Tahoma"/>
            <family val="2"/>
          </rPr>
          <t xml:space="preserve"> F3Q2021 Press Release</t>
        </r>
      </text>
    </comment>
    <comment ref="W156" authorId="1" shapeId="0" xr:uid="{E5A87FFF-2D94-4D60-AEDD-E87027748568}">
      <text>
        <r>
          <rPr>
            <b/>
            <sz val="9"/>
            <color indexed="81"/>
            <rFont val="Tahoma"/>
            <family val="2"/>
          </rPr>
          <t>Management Guidance:</t>
        </r>
        <r>
          <rPr>
            <sz val="9"/>
            <color indexed="81"/>
            <rFont val="Tahoma"/>
            <family val="2"/>
          </rPr>
          <t xml:space="preserve"> "For fiscal 2022, we're expecting a year of outsized EPS growth even though we'll be lapping the 53rd week from fiscal 2021 because we'll also be lapping significant recovery impacts from fiscal 2021, yielding non-GAAP EPS growth of at least 20%. And for fiscal 2023, we expect to stabilize our ongoing non-GAAP EPS growth algorithm of 10% to 12%."
</t>
        </r>
        <r>
          <rPr>
            <b/>
            <sz val="9"/>
            <color indexed="81"/>
            <rFont val="Tahoma"/>
            <family val="2"/>
          </rPr>
          <t xml:space="preserve">Source: </t>
        </r>
        <r>
          <rPr>
            <sz val="9"/>
            <color indexed="81"/>
            <rFont val="Tahoma"/>
            <family val="2"/>
          </rPr>
          <t xml:space="preserve">Biennial Investor Day (December-2020)
</t>
        </r>
        <r>
          <rPr>
            <b/>
            <sz val="9"/>
            <color indexed="81"/>
            <rFont val="Tahoma"/>
            <family val="2"/>
          </rPr>
          <t>NOTE: This cell is calculated after removing the 0.10 impact of the extra week.</t>
        </r>
      </text>
    </comment>
    <comment ref="AB156" authorId="1" shapeId="0" xr:uid="{D06633D0-4DE4-4C06-9CB8-ACA0E2721A60}">
      <text>
        <r>
          <rPr>
            <b/>
            <sz val="9"/>
            <color indexed="81"/>
            <rFont val="Tahoma"/>
            <family val="2"/>
          </rPr>
          <t>Management Guidance:</t>
        </r>
        <r>
          <rPr>
            <sz val="9"/>
            <color indexed="81"/>
            <rFont val="Tahoma"/>
            <family val="2"/>
          </rPr>
          <t xml:space="preserve"> "For fiscal 2022, we're expecting a year of outsized EPS growth even though we'll be lapping the 53rd week from fiscal 2021 because we'll also be lapping significant recovery impacts from fiscal 2021, yielding non-GAAP EPS growth of at least 20%. And for fiscal 2023, we expect to stabilize our ongoing non-GAAP EPS growth algorithm of 10% to 12%."
</t>
        </r>
        <r>
          <rPr>
            <b/>
            <sz val="9"/>
            <color indexed="81"/>
            <rFont val="Tahoma"/>
            <family val="2"/>
          </rPr>
          <t xml:space="preserve">Source: </t>
        </r>
        <r>
          <rPr>
            <sz val="9"/>
            <color indexed="81"/>
            <rFont val="Tahoma"/>
            <family val="2"/>
          </rPr>
          <t>Biennial Investor Day (December-2020)</t>
        </r>
      </text>
    </comment>
    <comment ref="B159" authorId="0" shapeId="0" xr:uid="{AA600194-F924-4C34-AF66-4F132DC355C4}">
      <text>
        <r>
          <rPr>
            <b/>
            <sz val="9"/>
            <color indexed="81"/>
            <rFont val="Tahoma"/>
            <family val="2"/>
          </rPr>
          <t>Note:</t>
        </r>
        <r>
          <rPr>
            <sz val="9"/>
            <color indexed="81"/>
            <rFont val="Tahoma"/>
            <family val="2"/>
          </rPr>
          <t xml:space="preserve"> Item 2 Unregistered Sales of Equity Securities includes the ASRs. They have been seperated here. (Refer to F1Q2019 and F2Q2019 to reconcile)</t>
        </r>
      </text>
    </comment>
    <comment ref="W163" authorId="1" shapeId="0" xr:uid="{553E0463-1755-438D-8DE8-BCE47F65019D}">
      <text>
        <r>
          <rPr>
            <b/>
            <sz val="9"/>
            <color indexed="81"/>
            <rFont val="Tahoma"/>
            <family val="2"/>
          </rPr>
          <t>Management Guidance:</t>
        </r>
        <r>
          <rPr>
            <sz val="9"/>
            <color indexed="81"/>
            <rFont val="Tahoma"/>
            <family val="2"/>
          </rPr>
          <t xml:space="preserve"> "Subsequently, we anticipate a healthy and relatively steady return of shareholder capital to resume in fiscal 2022 through ongoing share repurchases. However, given our greatly enhanced valuation compared to where we were two years ago, we expect this will yield an EPS benefit of about 1% net of incremental interest expense as we maintain our long-term leverage target. This is down from an EPS growth contribution of about 2% previously."
</t>
        </r>
        <r>
          <rPr>
            <b/>
            <sz val="9"/>
            <color indexed="81"/>
            <rFont val="Tahoma"/>
            <family val="2"/>
          </rPr>
          <t>Source:</t>
        </r>
        <r>
          <rPr>
            <sz val="9"/>
            <color indexed="81"/>
            <rFont val="Tahoma"/>
            <family val="2"/>
          </rPr>
          <t xml:space="preserve"> Biennial Investor Day (December-2020)</t>
        </r>
      </text>
    </comment>
    <comment ref="W166" authorId="1" shapeId="0" xr:uid="{B5221D5F-2B7C-4FF2-B269-D4B904D4728E}">
      <text>
        <r>
          <rPr>
            <b/>
            <sz val="9"/>
            <color indexed="81"/>
            <rFont val="Tahoma"/>
            <family val="2"/>
          </rPr>
          <t>Management Guidance:</t>
        </r>
        <r>
          <rPr>
            <sz val="9"/>
            <color indexed="81"/>
            <rFont val="Tahoma"/>
            <family val="2"/>
          </rPr>
          <t xml:space="preserve"> "For fiscal 2022, we're expecting a year of outsized EPS growth even though we'll be lapping the 53rd week from fiscal 2021 because we'll also be lapping significant recovery impacts from fiscal 2021, yielding non-GAAP EPS growth of at least 20%. And for fiscal 2023, we expect to stabilize our ongoing non-GAAP EPS growth algorithm of 10% to 12%."
</t>
        </r>
        <r>
          <rPr>
            <b/>
            <sz val="9"/>
            <color indexed="81"/>
            <rFont val="Tahoma"/>
            <family val="2"/>
          </rPr>
          <t xml:space="preserve">Source: </t>
        </r>
        <r>
          <rPr>
            <sz val="9"/>
            <color indexed="81"/>
            <rFont val="Tahoma"/>
            <family val="2"/>
          </rPr>
          <t>Biennial Investor Day (December-2020)</t>
        </r>
      </text>
    </comment>
    <comment ref="B174" authorId="0" shapeId="0" xr:uid="{A8A6F7B5-8D3F-43A2-8DDD-8D64CA58DBE8}">
      <text>
        <r>
          <rPr>
            <sz val="9"/>
            <color indexed="81"/>
            <rFont val="Tahoma"/>
            <family val="2"/>
          </rPr>
          <t>Includes transaction costs for the acquisition of our East China joint venture; ongoing amortization expense of acquired
intangible assets associated with the acquisition of East China and Starbucks Japan; and the related post-acquisition integration costs, such as incremental information technology and compensation-related costs</t>
        </r>
      </text>
    </comment>
    <comment ref="Q178" authorId="1" shapeId="0" xr:uid="{8F18C000-09F4-49BE-82FC-5C393B9F7CF8}">
      <text>
        <r>
          <rPr>
            <b/>
            <sz val="9"/>
            <color indexed="81"/>
            <rFont val="Tahoma"/>
            <family val="2"/>
          </rPr>
          <t>Note:</t>
        </r>
        <r>
          <rPr>
            <sz val="9"/>
            <color indexed="81"/>
            <rFont val="Tahoma"/>
            <family val="2"/>
          </rPr>
          <t xml:space="preserve"> management's guidance for non-GAAP EPS is "inclusive of the impact attributable to the 53rd week" therefore we will not remove it here.</t>
        </r>
      </text>
    </comment>
    <comment ref="B181" authorId="0" shapeId="0" xr:uid="{B18A3F10-2108-4370-8EFF-881358B32B99}">
      <text>
        <r>
          <rPr>
            <b/>
            <sz val="9"/>
            <color indexed="81"/>
            <rFont val="Tahoma"/>
            <family val="2"/>
          </rPr>
          <t>Enter negative EPS income tax effect as positive on this line</t>
        </r>
      </text>
    </comment>
    <comment ref="B234" authorId="0" shapeId="0" xr:uid="{918E26D4-6E9A-414B-8F8C-5B693DC93299}">
      <text>
        <r>
          <rPr>
            <sz val="9"/>
            <color indexed="81"/>
            <rFont val="Tahoma"/>
            <family val="2"/>
          </rPr>
          <t>Since Assets must equal Liabilities + Equity, we use Liabilities + Equity in this equation to have the securities balance move with the balance sheet without causing a circular reference error.</t>
        </r>
      </text>
    </comment>
    <comment ref="B243" authorId="0" shapeId="0" xr:uid="{DD49C08B-9222-4943-8508-34464697C4C2}">
      <text>
        <r>
          <rPr>
            <b/>
            <sz val="9"/>
            <color indexed="81"/>
            <rFont val="Tahoma"/>
            <family val="2"/>
          </rPr>
          <t>Note: Use the company's 10-K not SEC web data</t>
        </r>
      </text>
    </comment>
    <comment ref="B255" authorId="0" shapeId="0" xr:uid="{AA73EAC6-07B0-439E-9C1A-D05A8B18BE7D}">
      <text>
        <r>
          <rPr>
            <b/>
            <sz val="9"/>
            <color indexed="81"/>
            <rFont val="Tahoma"/>
            <family val="2"/>
          </rPr>
          <t>Change sign</t>
        </r>
      </text>
    </comment>
    <comment ref="B259" authorId="0" shapeId="0" xr:uid="{E02D3B96-18EB-4C15-9534-FB9127EAD97E}">
      <text>
        <r>
          <rPr>
            <b/>
            <sz val="9"/>
            <color indexed="81"/>
            <rFont val="Tahoma"/>
            <family val="2"/>
          </rPr>
          <t>Change sign</t>
        </r>
      </text>
    </comment>
    <comment ref="H263" authorId="0" shapeId="0" xr:uid="{D5EB02F7-7700-498C-9E22-0641A8BCD98A}">
      <text>
        <r>
          <rPr>
            <b/>
            <sz val="9"/>
            <color indexed="81"/>
            <rFont val="Tahoma"/>
            <family val="2"/>
          </rPr>
          <t xml:space="preserve">3Q2019 Earnings call (7/25/2019) guidance for FY2019:
</t>
        </r>
        <r>
          <rPr>
            <sz val="9"/>
            <color indexed="81"/>
            <rFont val="Tahoma"/>
            <family val="2"/>
          </rPr>
          <t>Capex ~ $2B</t>
        </r>
      </text>
    </comment>
    <comment ref="M263" authorId="0" shapeId="0" xr:uid="{1C019C63-E5E6-40FB-B208-49F2EA0121CD}">
      <text>
        <r>
          <rPr>
            <b/>
            <sz val="9"/>
            <color indexed="81"/>
            <rFont val="Tahoma"/>
            <family val="2"/>
          </rPr>
          <t xml:space="preserve">Management Guidance: </t>
        </r>
        <r>
          <rPr>
            <sz val="9"/>
            <color indexed="81"/>
            <rFont val="Tahoma"/>
            <family val="2"/>
          </rPr>
          <t xml:space="preserve">Full year capex ~ $1.5B.
</t>
        </r>
        <r>
          <rPr>
            <b/>
            <sz val="9"/>
            <color indexed="81"/>
            <rFont val="Tahoma"/>
            <family val="2"/>
          </rPr>
          <t xml:space="preserve">Source: </t>
        </r>
        <r>
          <rPr>
            <sz val="9"/>
            <color indexed="81"/>
            <rFont val="Tahoma"/>
            <family val="2"/>
          </rPr>
          <t>F3Q2020 Press Release, July 28, 2020</t>
        </r>
      </text>
    </comment>
    <comment ref="R263" authorId="1" shapeId="0" xr:uid="{B6F78DAC-4F8E-4ADB-B1E4-A207AD2652E6}">
      <text>
        <r>
          <rPr>
            <b/>
            <sz val="9"/>
            <color indexed="81"/>
            <rFont val="Tahoma"/>
            <family val="2"/>
          </rPr>
          <t xml:space="preserve">Management Guidance: </t>
        </r>
        <r>
          <rPr>
            <sz val="9"/>
            <color indexed="81"/>
            <rFont val="Tahoma"/>
            <family val="2"/>
          </rPr>
          <t xml:space="preserve">  ~$1.7B
</t>
        </r>
        <r>
          <rPr>
            <b/>
            <sz val="9"/>
            <color indexed="81"/>
            <rFont val="Tahoma"/>
            <family val="2"/>
          </rPr>
          <t>Source:</t>
        </r>
        <r>
          <rPr>
            <sz val="9"/>
            <color indexed="81"/>
            <rFont val="Tahoma"/>
            <family val="2"/>
          </rPr>
          <t xml:space="preserve"> F3Q2021 Press Release</t>
        </r>
      </text>
    </comment>
    <comment ref="W263" authorId="1" shapeId="0" xr:uid="{98EA57A5-4E26-4FA4-96BE-2139A485A6D5}">
      <text>
        <r>
          <rPr>
            <b/>
            <sz val="9"/>
            <color indexed="81"/>
            <rFont val="Tahoma"/>
            <family val="2"/>
          </rPr>
          <t xml:space="preserve">Management Guidance: </t>
        </r>
        <r>
          <rPr>
            <sz val="9"/>
            <color indexed="81"/>
            <rFont val="Tahoma"/>
            <family val="2"/>
          </rPr>
          <t xml:space="preserve">"...expect annual CapEx to range from $1.9 billion to $2 billion over the next three years"
</t>
        </r>
        <r>
          <rPr>
            <b/>
            <sz val="9"/>
            <color indexed="81"/>
            <rFont val="Tahoma"/>
            <family val="2"/>
          </rPr>
          <t>Source:</t>
        </r>
        <r>
          <rPr>
            <sz val="9"/>
            <color indexed="81"/>
            <rFont val="Tahoma"/>
            <family val="2"/>
          </rPr>
          <t xml:space="preserve"> Biennial Investor Day (December-2020)</t>
        </r>
      </text>
    </comment>
    <comment ref="AB263" authorId="1" shapeId="0" xr:uid="{6A1CD6A0-D168-49B5-B220-7561A3FE8A46}">
      <text>
        <r>
          <rPr>
            <b/>
            <sz val="9"/>
            <color indexed="81"/>
            <rFont val="Tahoma"/>
            <family val="2"/>
          </rPr>
          <t xml:space="preserve">Management Guidance: </t>
        </r>
        <r>
          <rPr>
            <sz val="9"/>
            <color indexed="81"/>
            <rFont val="Tahoma"/>
            <family val="2"/>
          </rPr>
          <t xml:space="preserve">"...expect annual CapEx to range from $1.9 billion to $2 billion over the next three years"
</t>
        </r>
        <r>
          <rPr>
            <b/>
            <sz val="9"/>
            <color indexed="81"/>
            <rFont val="Tahoma"/>
            <family val="2"/>
          </rPr>
          <t>Source:</t>
        </r>
        <r>
          <rPr>
            <sz val="9"/>
            <color indexed="81"/>
            <rFont val="Tahoma"/>
            <family val="2"/>
          </rPr>
          <t xml:space="preserve"> Biennial Investor Day (December-2020)</t>
        </r>
      </text>
    </comment>
    <comment ref="AG263" authorId="1" shapeId="0" xr:uid="{CCC8AA49-A958-496E-AE55-80EFBADE0A7D}">
      <text>
        <r>
          <rPr>
            <b/>
            <sz val="9"/>
            <color indexed="81"/>
            <rFont val="Tahoma"/>
            <family val="2"/>
          </rPr>
          <t xml:space="preserve">Management Guidance: </t>
        </r>
        <r>
          <rPr>
            <sz val="9"/>
            <color indexed="81"/>
            <rFont val="Tahoma"/>
            <family val="2"/>
          </rPr>
          <t xml:space="preserve">"...expect annual CapEx to range from $1.9 billion to $2 billion over the next three years"
</t>
        </r>
        <r>
          <rPr>
            <b/>
            <sz val="9"/>
            <color indexed="81"/>
            <rFont val="Tahoma"/>
            <family val="2"/>
          </rPr>
          <t>Source:</t>
        </r>
        <r>
          <rPr>
            <sz val="9"/>
            <color indexed="81"/>
            <rFont val="Tahoma"/>
            <family val="2"/>
          </rPr>
          <t xml:space="preserve"> Biennial Investor Day (December-2020)</t>
        </r>
      </text>
    </comment>
    <comment ref="B267" authorId="0" shapeId="0" xr:uid="{AE558C3F-11FE-4832-8AFD-DD49A994F0B3}">
      <text>
        <r>
          <rPr>
            <b/>
            <sz val="9"/>
            <color indexed="81"/>
            <rFont val="Tahoma"/>
            <family val="2"/>
          </rPr>
          <t>Change sign for payments of debt</t>
        </r>
      </text>
    </comment>
    <comment ref="B280" authorId="0" shapeId="0" xr:uid="{8B8E6668-0A61-49EA-B3B2-844AF3258AAC}">
      <text>
        <r>
          <rPr>
            <sz val="9"/>
            <color indexed="81"/>
            <rFont val="Tahoma"/>
            <family val="2"/>
          </rPr>
          <t>Cash Flow from Operations - Capital Expenditures + After tax Interest Expense</t>
        </r>
      </text>
    </comment>
    <comment ref="R295" authorId="1" shapeId="0" xr:uid="{9C0A267C-0228-4EC6-8028-7B182A2A9709}">
      <text>
        <r>
          <rPr>
            <b/>
            <sz val="9"/>
            <color indexed="81"/>
            <rFont val="Tahoma"/>
            <family val="2"/>
          </rPr>
          <t>Management Guidance:</t>
        </r>
        <r>
          <rPr>
            <sz val="9"/>
            <color indexed="81"/>
            <rFont val="Tahoma"/>
            <family val="2"/>
          </rPr>
          <t xml:space="preserve"> "We continue to expect our financial leverage to return to our long-term target of 3 times lease adjusted EBITDA toward the latter part of fiscal 2021" 
</t>
        </r>
        <r>
          <rPr>
            <b/>
            <sz val="9"/>
            <color indexed="81"/>
            <rFont val="Tahoma"/>
            <family val="2"/>
          </rPr>
          <t>Source:</t>
        </r>
        <r>
          <rPr>
            <sz val="9"/>
            <color indexed="81"/>
            <rFont val="Tahoma"/>
            <family val="2"/>
          </rPr>
          <t xml:space="preserve"> Biennial Investor Day (December-2020)
</t>
        </r>
        <r>
          <rPr>
            <b/>
            <sz val="9"/>
            <color indexed="81"/>
            <rFont val="Tahoma"/>
            <family val="2"/>
          </rPr>
          <t>NOTE:</t>
        </r>
        <r>
          <rPr>
            <sz val="9"/>
            <color indexed="81"/>
            <rFont val="Tahoma"/>
            <family val="2"/>
          </rPr>
          <t xml:space="preserve"> We would need the details of lease adjustment to get back to the leverage ratio </t>
        </r>
      </text>
    </comment>
    <comment ref="B296" authorId="0" shapeId="0" xr:uid="{73747ACA-601B-4B3A-AB60-21467D95F5AC}">
      <text>
        <r>
          <rPr>
            <b/>
            <sz val="9"/>
            <color indexed="81"/>
            <rFont val="Tahoma"/>
            <family val="2"/>
          </rPr>
          <t xml:space="preserve">Multiple Note 1) </t>
        </r>
        <r>
          <rPr>
            <sz val="9"/>
            <color indexed="81"/>
            <rFont val="Tahoma"/>
            <family val="2"/>
          </rPr>
          <t>There are many different multiples which could be applied to various earnings metrics, each of which result in different valuations. This calculation is for demonstration only. Please refer to the Terms of Use link for important details.  The DCF and Multiple valuation metrics are kept constant at certain points during each quarter to isolate the impact from changes in earnings estimates.   The multiple  in this section was last updated on 9/21/2021.</t>
        </r>
      </text>
    </comment>
    <comment ref="C301" authorId="0" shapeId="0" xr:uid="{6BB76759-5EEA-48CC-87CE-E8DE01424D2D}">
      <text>
        <r>
          <rPr>
            <b/>
            <sz val="9"/>
            <color indexed="81"/>
            <rFont val="Tahoma"/>
            <family val="2"/>
          </rPr>
          <t xml:space="preserve">Multiple Note 2) </t>
        </r>
        <r>
          <rPr>
            <sz val="9"/>
            <color indexed="81"/>
            <rFont val="Tahoma"/>
            <family val="2"/>
          </rPr>
          <t xml:space="preserve">Multiples in this section are calculated including the value of net cash and are based on the 3-month average daily share price compared to the consensus EPS estimates for the next twelve month period. </t>
        </r>
      </text>
    </comment>
    <comment ref="B304" authorId="0" shapeId="0" xr:uid="{7019D822-167D-4005-94B1-ABB0EEDB1E89}">
      <text>
        <r>
          <rPr>
            <sz val="9"/>
            <color indexed="81"/>
            <rFont val="Tahoma"/>
            <family val="2"/>
          </rPr>
          <t>There are many different methods to calculate a DCF-based valuation, each of which result in different final valuation estimates. This calculation is for demonstration only. Different inputs and assumptions can result in significantly different valuation estimates. Refer to the Terms of Use link for important information regarding this demonstration.  The DCF and Multiple valuation metrics are kept constant at certain points during each quarter to isolate the impact from changes in earnings estimates.  The  Beta, Volatility, and Risk-Free rate used in this DCF section was last updated on 9/21/2021.</t>
        </r>
      </text>
    </comment>
    <comment ref="C306" authorId="0" shapeId="0" xr:uid="{6EB8A950-5561-4F5A-92A8-18EE9FD50593}">
      <text>
        <r>
          <rPr>
            <sz val="9"/>
            <color indexed="81"/>
            <rFont val="Tahoma"/>
            <family val="2"/>
          </rPr>
          <t>The DCF calculation relies on an estimate of the equity to total capital ratio. Since the share price goes into the calculation of the capital ratio, this will naturally cause a circular reference. To demonstrate assume the current share price is $100 and the DCF is projecting a price of $150. If the DCF target price of $150 came to pass, then equity would make up a larger percentage of the total capital structure and the share price would actually be much lower.
Consider what would happen if we simply used the current share price in the DCF calculation, and market risk increased from one quarter to the next. As the share price declines, the equity to total capital ratio will also decline. As a result the discount rate will decline, and the share price projected by the DCF would actually increase, despite the heighten level of risk. The reverse effect would occur in a scenario where market risk decreases from one period to the next. From a reasonableness standpoint this simply does not make sense directionally.
To solve this issue the target share price must be used in the calculation of debt to equity. You can use trial and error to type in share prices until the price for the market capitalization calculation equals that of the DCF target. Or you can simply input the equation of "Target Share Price" = "Implied DCF 12-month target value" (i.e. "DCF check") and use the Goal Seek function to change "Target Share Price" to equal the final DCF target. This should be the final step in your model, as any changes in the inputs could impact the valuation.</t>
        </r>
      </text>
    </comment>
    <comment ref="C310" authorId="0" shapeId="0" xr:uid="{536D3708-434A-4CF5-8E4C-6F811557A047}">
      <text>
        <r>
          <rPr>
            <sz val="9"/>
            <color indexed="81"/>
            <rFont val="Tahoma"/>
            <family val="2"/>
          </rPr>
          <t>This model uses the Constant Sharpe approach to estimate the Equity Risk Premium (ERP). The S&amp;P500 Constant Sharpe is calculated by taking the excess return on the index over the risk-free rate, divided by the standard deviation of returns. The Constant Sharpe ratio is then multiplied by the estimate of implied volatility to calculate the ERP.</t>
        </r>
      </text>
    </comment>
    <comment ref="C311" authorId="0" shapeId="0" xr:uid="{A0F01981-CDB1-4ACA-9B73-2A2A748CCCB5}">
      <text>
        <r>
          <rPr>
            <sz val="9"/>
            <color indexed="81"/>
            <rFont val="Tahoma"/>
            <family val="2"/>
          </rPr>
          <t>The VIX is quoted in percentage points and measures the implied annualized volatility for the S&amp;P500. The VIX is a forward looking measure of implied volatility, however, single day volatility would have too much of an impact on the overall discount rate. For this reason the twelve month trailing  average is used (based on a 12-month forecast, refer to the ERP model for details).</t>
        </r>
      </text>
    </comment>
    <comment ref="B320" authorId="0" shapeId="0" xr:uid="{8D82907F-FFD0-435D-BAC3-50BAEF0254BB}">
      <text>
        <r>
          <rPr>
            <sz val="9"/>
            <color indexed="81"/>
            <rFont val="Tahoma"/>
            <family val="2"/>
          </rPr>
          <t xml:space="preserve">&gt;Assumes constant networking capital in the constant growth stage.
&gt;Assumes debt balance and interest expense remains constant in the constant growth stage, and that book value of debt approximates fair value.
</t>
        </r>
      </text>
    </comment>
    <comment ref="C324" authorId="0" shapeId="0" xr:uid="{27C2005F-4352-4A52-A954-BA06245FBA0C}">
      <text>
        <r>
          <rPr>
            <sz val="9"/>
            <color indexed="81"/>
            <rFont val="Tahoma"/>
            <family val="2"/>
          </rPr>
          <t>The Stage 2 long-term WACC assumes the weight and cost of debt remains constant, and cost of equity reaches the long-term average based on a long-term beta of 0.908 using the historic average VIX of 19.12%, the historic average 10-year U.S. Treasury rate of 6.1%, and the Historic Constant Sharpe of 0.351.</t>
        </r>
      </text>
    </comment>
    <comment ref="C326" authorId="3" shapeId="0" xr:uid="{1650E35E-7ECA-4BF0-A42B-375F24E2760E}">
      <text>
        <r>
          <rPr>
            <b/>
            <sz val="9"/>
            <color indexed="81"/>
            <rFont val="Tahoma"/>
            <family val="2"/>
          </rPr>
          <t>Equation:
CFO:</t>
        </r>
        <r>
          <rPr>
            <sz val="9"/>
            <color indexed="81"/>
            <rFont val="Tahoma"/>
            <family val="2"/>
          </rPr>
          <t xml:space="preserve"> [CFO x (1 + Constant CFO growth rate)] 
</t>
        </r>
        <r>
          <rPr>
            <b/>
            <sz val="9"/>
            <color indexed="81"/>
            <rFont val="Tahoma"/>
            <family val="2"/>
          </rPr>
          <t>Minus Capex:</t>
        </r>
        <r>
          <rPr>
            <sz val="9"/>
            <color indexed="81"/>
            <rFont val="Tahoma"/>
            <family val="2"/>
          </rPr>
          <t xml:space="preserve"> [(Average Capex to sales ratio) x [Sales x (1 + Constant Sales growth rate)]
</t>
        </r>
        <r>
          <rPr>
            <b/>
            <sz val="9"/>
            <color indexed="81"/>
            <rFont val="Tahoma"/>
            <family val="2"/>
          </rPr>
          <t>Plus after-tax cost of debt:</t>
        </r>
        <r>
          <rPr>
            <sz val="9"/>
            <color indexed="81"/>
            <rFont val="Tahoma"/>
            <family val="2"/>
          </rPr>
          <t xml:space="preserve"> [After tax cost of debt x Long-Term debt] </t>
        </r>
      </text>
    </comment>
    <comment ref="C328" authorId="4" shapeId="0" xr:uid="{C4EC59BD-FF8C-4F0B-8A52-E240F2506375}">
      <text>
        <r>
          <rPr>
            <sz val="9"/>
            <color indexed="81"/>
            <rFont val="Tahoma"/>
            <family val="2"/>
          </rPr>
          <t xml:space="preserve">This adds back cash and removes debt from the enterprise value to arrive at the equity only value
</t>
        </r>
      </text>
    </comment>
    <comment ref="B331" authorId="0" shapeId="0" xr:uid="{076A7812-B260-4816-8A0C-F8FD07274A89}">
      <text>
        <r>
          <rPr>
            <sz val="9"/>
            <color indexed="81"/>
            <rFont val="Tahoma"/>
            <family val="2"/>
          </rPr>
          <t>There are many approaches to estimating a stock's risk. In this demonstration we use the standard deviation and the monthly average return over the last 12 months to construct an estimated price target range. Standard deviation is a measure of dispersion around the mean monthly return. The larger the historic standard deviation the greater the volatility in prices. Using a normal distribution, approximately 95% of observations fall within 2 standard deviations of the mean. This approach has multiple limitations including: 1) it assumes that historic results can predict future return characteristics, and 2) it assumes the stock's returns are normally distributed. This analysis is for demonstration only, refer to full Terms of Use at GutenbergResearch.com. The mean &amp; standard deviation in this section were last updated on 9/18/2021</t>
        </r>
      </text>
    </comment>
  </commentList>
</comments>
</file>

<file path=xl/sharedStrings.xml><?xml version="1.0" encoding="utf-8"?>
<sst xmlns="http://schemas.openxmlformats.org/spreadsheetml/2006/main" count="3061" uniqueCount="375">
  <si>
    <t>Basic shares outstanding</t>
  </si>
  <si>
    <t xml:space="preserve">Diluted shares outstanding </t>
  </si>
  <si>
    <t>Effective tax rate</t>
  </si>
  <si>
    <t>(Dollars in millions, except per share data)</t>
  </si>
  <si>
    <t>Total Current Assets</t>
  </si>
  <si>
    <t>Total Assets</t>
  </si>
  <si>
    <t>Assets</t>
  </si>
  <si>
    <t>Liabilities</t>
  </si>
  <si>
    <t>Total Current liabilities</t>
  </si>
  <si>
    <t>Total liabilities</t>
  </si>
  <si>
    <t>Total liabilities and equity</t>
  </si>
  <si>
    <t>Cash flows from operating activities</t>
  </si>
  <si>
    <t>Net cash provided by operating activities</t>
  </si>
  <si>
    <t>Cash flows from investing activities</t>
  </si>
  <si>
    <t>Net cash provided by (used for) investing</t>
  </si>
  <si>
    <t>Cash flows from financing activities</t>
  </si>
  <si>
    <t>Net cash provided by (used for) financing</t>
  </si>
  <si>
    <t>Net increase (decrease) in cash and equivalents</t>
  </si>
  <si>
    <t>Cash and equivalents at beginning of period</t>
  </si>
  <si>
    <t>Multiple Valuation</t>
  </si>
  <si>
    <t>Balance Sheet Ratios &amp; Assumptions</t>
  </si>
  <si>
    <t>Receivables turnover</t>
  </si>
  <si>
    <t>Number of days of payables</t>
  </si>
  <si>
    <t>Cash Flow Ratios &amp; Assumptions</t>
  </si>
  <si>
    <t>Operating margin (GAAP)</t>
  </si>
  <si>
    <t>Discounted FCFF</t>
  </si>
  <si>
    <t>Discounted Cash Flow Valuation</t>
  </si>
  <si>
    <t>Shares outstanding</t>
  </si>
  <si>
    <t>Market Capitalization ($M)</t>
  </si>
  <si>
    <t>Equity market risk premium</t>
  </si>
  <si>
    <t>Required return on equity (CAPM)</t>
  </si>
  <si>
    <t>Equity to total capital</t>
  </si>
  <si>
    <t>Average cost of debt</t>
  </si>
  <si>
    <t xml:space="preserve">After tax cost of debt </t>
  </si>
  <si>
    <t>Provisions for income tax</t>
  </si>
  <si>
    <t>Cash and equivalents</t>
  </si>
  <si>
    <t>Goodwill</t>
  </si>
  <si>
    <t>Accounts payable</t>
  </si>
  <si>
    <t xml:space="preserve">Retained earnings </t>
  </si>
  <si>
    <t>Total shareholders' equity</t>
  </si>
  <si>
    <t>Beta (relative to the S&amp;P500)</t>
  </si>
  <si>
    <t>Revenue growth (in perpetuity)</t>
  </si>
  <si>
    <t>Constant CFO growth rate</t>
  </si>
  <si>
    <t>DCF Valuation</t>
  </si>
  <si>
    <t xml:space="preserve">Basic EPS </t>
  </si>
  <si>
    <t xml:space="preserve">Diluted EPS </t>
  </si>
  <si>
    <t>DCF Period (approximate number of years)</t>
  </si>
  <si>
    <t xml:space="preserve">Plus cash/(debt) per share </t>
  </si>
  <si>
    <t>Implied P/E 12-month target value</t>
  </si>
  <si>
    <t>Implied DCF 12-month target value</t>
  </si>
  <si>
    <t>Total operating expenses</t>
  </si>
  <si>
    <t>Change in basic shares  (excluding repurchases)</t>
  </si>
  <si>
    <t>Change in diluted shares  (excluding repurchases)</t>
  </si>
  <si>
    <t>By obtaining this model you are deemed to have read and agreed to our Terms of Use. Visit our website for details: https://www.gutenbergresearch.com/terms-of-use.html</t>
  </si>
  <si>
    <t>GR</t>
  </si>
  <si>
    <t>Ratio Analysis</t>
  </si>
  <si>
    <t xml:space="preserve">Net Cash and investments per share </t>
  </si>
  <si>
    <t>Days sales outstanding</t>
  </si>
  <si>
    <t>Payables turnover</t>
  </si>
  <si>
    <t>Net Cash from Operations growth rate (YoY)</t>
  </si>
  <si>
    <t xml:space="preserve">Standard deviation </t>
  </si>
  <si>
    <t>Implied upper bound</t>
  </si>
  <si>
    <t>Implied Lower bound</t>
  </si>
  <si>
    <t>Implied target value</t>
  </si>
  <si>
    <t>Implied 50/50 average target value</t>
  </si>
  <si>
    <t xml:space="preserve">Implied target price band </t>
  </si>
  <si>
    <t>Total operating income/(loss)</t>
  </si>
  <si>
    <t>Income/(loss) before income tax</t>
  </si>
  <si>
    <t xml:space="preserve">Depreciation and amortization </t>
  </si>
  <si>
    <t>Changes in operating assets and liabilities, net of the effects</t>
  </si>
  <si>
    <t>Depreciation &amp; amortization-to-average P&amp;E</t>
  </si>
  <si>
    <t>Prepaid expenses and other current assets</t>
  </si>
  <si>
    <t>Free Cash Flow to Firm (FCFF)</t>
  </si>
  <si>
    <t>Total Debt</t>
  </si>
  <si>
    <t xml:space="preserve">Adjusted net cash  per share </t>
  </si>
  <si>
    <t>Non-GAAP Adjustments</t>
  </si>
  <si>
    <t>Cash Flow Statement Ratios</t>
  </si>
  <si>
    <t>Capex to revenue</t>
  </si>
  <si>
    <t>Equity</t>
  </si>
  <si>
    <t>Average CapEx (% of sales)</t>
  </si>
  <si>
    <t>Weighted Average Cost of Capital (WACC) Inputs</t>
  </si>
  <si>
    <t>Stage 1 WACC</t>
  </si>
  <si>
    <t>Share-based compensation to revenue</t>
  </si>
  <si>
    <t>NPV of Stage 1 cash flows</t>
  </si>
  <si>
    <t>PV of terminal value (Stage 2)</t>
  </si>
  <si>
    <r>
      <rPr>
        <b/>
        <sz val="11"/>
        <color theme="1"/>
        <rFont val="Calibri"/>
        <family val="2"/>
        <scheme val="minor"/>
      </rPr>
      <t>Purpose:</t>
    </r>
    <r>
      <rPr>
        <sz val="11"/>
        <color theme="1"/>
        <rFont val="Calibri"/>
        <family val="2"/>
        <scheme val="minor"/>
      </rPr>
      <t xml:space="preserve"> This worksheet tracks the mean monthly share return and standard deviation.</t>
    </r>
  </si>
  <si>
    <t>Date</t>
  </si>
  <si>
    <t>Monthly return</t>
  </si>
  <si>
    <t>Diff from mean</t>
  </si>
  <si>
    <t>Diff Squared</t>
  </si>
  <si>
    <t>Mean</t>
  </si>
  <si>
    <t>Sum of squared differences</t>
  </si>
  <si>
    <t>Variance</t>
  </si>
  <si>
    <t>Standard Deviation</t>
  </si>
  <si>
    <t>check</t>
  </si>
  <si>
    <t>Target share price</t>
  </si>
  <si>
    <t>DCF check</t>
  </si>
  <si>
    <t>Estimate of Risk Free (future 10yr UST)</t>
  </si>
  <si>
    <t>Segment Data</t>
  </si>
  <si>
    <t>Reconciliation</t>
  </si>
  <si>
    <t>Adjustments</t>
  </si>
  <si>
    <t>Constant market Sharpe ratio</t>
  </si>
  <si>
    <t>S&amp;P500 implied volatility</t>
  </si>
  <si>
    <t>Constant Growth Stage Assumptions</t>
  </si>
  <si>
    <t>Stage 2 Long-Term WACC</t>
  </si>
  <si>
    <t>Risk Estimation Summary</t>
  </si>
  <si>
    <t>Dec-18</t>
  </si>
  <si>
    <t xml:space="preserve">   Net income attributable to common shareholders</t>
  </si>
  <si>
    <t>Accounts receivable</t>
  </si>
  <si>
    <t>Other investing activities</t>
  </si>
  <si>
    <t>Repurchase of common stock</t>
  </si>
  <si>
    <t>Other financing activities</t>
  </si>
  <si>
    <t>Cash and equivalents at end of period (BS)</t>
  </si>
  <si>
    <t>Effect of exchange rate changes &amp; restricted cash</t>
  </si>
  <si>
    <t>Accumulated other comprehensive loss</t>
  </si>
  <si>
    <t>Revenue growth rate (GAAP, YoY)</t>
  </si>
  <si>
    <t>Starbucks Income Statement</t>
  </si>
  <si>
    <t>Starbucks Balance Sheet</t>
  </si>
  <si>
    <t>Starbucks Cash Flow Statement</t>
  </si>
  <si>
    <t>F1Q19</t>
  </si>
  <si>
    <t>Sept-21E</t>
  </si>
  <si>
    <t>Dec-21E</t>
  </si>
  <si>
    <t>Mar-22E</t>
  </si>
  <si>
    <t>June-22E</t>
  </si>
  <si>
    <t>Sept-22E</t>
  </si>
  <si>
    <t>Dec-22E</t>
  </si>
  <si>
    <t>Mar-23E</t>
  </si>
  <si>
    <t>June-23E</t>
  </si>
  <si>
    <t>Sept-23E</t>
  </si>
  <si>
    <t>F4Q21E</t>
  </si>
  <si>
    <t>FY 2021E</t>
  </si>
  <si>
    <t>F1Q22E</t>
  </si>
  <si>
    <t>F2Q22E</t>
  </si>
  <si>
    <t>F3Q22E</t>
  </si>
  <si>
    <t>F4Q22E</t>
  </si>
  <si>
    <t>FY 2022E</t>
  </si>
  <si>
    <t>F1Q23E</t>
  </si>
  <si>
    <t>F2Q23E</t>
  </si>
  <si>
    <t>F3Q23E</t>
  </si>
  <si>
    <t>F4Q23E</t>
  </si>
  <si>
    <t>FY 2023E</t>
  </si>
  <si>
    <t>Store operating expenses</t>
  </si>
  <si>
    <t>Other operating expenses</t>
  </si>
  <si>
    <t>Depreciation and amortization expenses</t>
  </si>
  <si>
    <t>General and administrative expenses</t>
  </si>
  <si>
    <t>Income from equity investees</t>
  </si>
  <si>
    <t>Interest income and other</t>
  </si>
  <si>
    <t>Interest expense</t>
  </si>
  <si>
    <t>Net income including noncontrolling interest</t>
  </si>
  <si>
    <t xml:space="preserve">Net earnings attributable to noncontrolling interest </t>
  </si>
  <si>
    <t>Cash dividend</t>
  </si>
  <si>
    <t>Americas (GAAP)</t>
  </si>
  <si>
    <t>Restructuring and impairments</t>
  </si>
  <si>
    <t>Americas company-operated stores</t>
  </si>
  <si>
    <t>Americas licensed stores</t>
  </si>
  <si>
    <t>Comp store sales - Ticket</t>
  </si>
  <si>
    <t>Comp store sales - Transaction</t>
  </si>
  <si>
    <t>Comp store sales - Total</t>
  </si>
  <si>
    <t xml:space="preserve">Net new company operated stores added </t>
  </si>
  <si>
    <t>Estimated stores included in comp sales calculation [step 1]</t>
  </si>
  <si>
    <t>Estimated revenue per store in comp sales calc ($M) [step 4]</t>
  </si>
  <si>
    <t>Comp sale revenue reconciliation [step 5]</t>
  </si>
  <si>
    <t xml:space="preserve">Net new licensed  stores added </t>
  </si>
  <si>
    <t>Revenue per company operated store [step 2]</t>
  </si>
  <si>
    <t>Average revenue per licensed store</t>
  </si>
  <si>
    <t>Average licensed stores in the period</t>
  </si>
  <si>
    <t>Americas Revenue: Other</t>
  </si>
  <si>
    <t>Americas Revenue: licensed stores ($M)</t>
  </si>
  <si>
    <t>Americas Revenue: Company-operated stores ($M)</t>
  </si>
  <si>
    <t>Other revenue YoY growth rate</t>
  </si>
  <si>
    <t>Americas total net revenues ($M)</t>
  </si>
  <si>
    <t>Americas total stores</t>
  </si>
  <si>
    <t>Americas total net store additions</t>
  </si>
  <si>
    <t>Channel Development (GAAP)</t>
  </si>
  <si>
    <t>Channel Dev Total operating expenses</t>
  </si>
  <si>
    <t>Channel Dev Total operating income</t>
  </si>
  <si>
    <t>Channel Dev Total operating margin (%)</t>
  </si>
  <si>
    <t>Corporate &amp; Other  (GAAP)</t>
  </si>
  <si>
    <t>Corp &amp; Other Total operating expenses</t>
  </si>
  <si>
    <t>Corp &amp; Other Total operating income</t>
  </si>
  <si>
    <t>Revenue YoY growth rate</t>
  </si>
  <si>
    <t>Company-operated revenue</t>
  </si>
  <si>
    <t>Licensed store revenue</t>
  </si>
  <si>
    <t>Other revenue</t>
  </si>
  <si>
    <t>Operating Income</t>
  </si>
  <si>
    <t>Gain on acquisition of JV/disposition of business</t>
  </si>
  <si>
    <r>
      <t xml:space="preserve">Other company-operated revenue (stores open less than 13 months and FX) </t>
    </r>
    <r>
      <rPr>
        <i/>
        <sz val="11"/>
        <color theme="3"/>
        <rFont val="Calibri"/>
        <family val="2"/>
        <scheme val="minor"/>
      </rPr>
      <t>[step 3]</t>
    </r>
  </si>
  <si>
    <r>
      <t>Other company-operated revenue (stores open less than 13 months and FX)</t>
    </r>
    <r>
      <rPr>
        <i/>
        <sz val="11"/>
        <color theme="3"/>
        <rFont val="Calibri"/>
        <family val="2"/>
        <scheme val="minor"/>
      </rPr>
      <t xml:space="preserve"> [step 3]</t>
    </r>
  </si>
  <si>
    <t>Nestle Transaction (Operating expenses)</t>
  </si>
  <si>
    <t>Restructuring and impairments (Operating expenses)</t>
  </si>
  <si>
    <t>Stock Awards (Operating expenses)</t>
  </si>
  <si>
    <t>Total impact on operating expenses</t>
  </si>
  <si>
    <t>Total impact on operating income</t>
  </si>
  <si>
    <t>Gain/(loss) on acquisitions and divestitures (Net income)</t>
  </si>
  <si>
    <t>Non-GAAP operating income adjustments</t>
  </si>
  <si>
    <t xml:space="preserve">Non-GAAP operating income </t>
  </si>
  <si>
    <t>Non-GAAP net income adjustments</t>
  </si>
  <si>
    <t xml:space="preserve">Non-GAAP net income </t>
  </si>
  <si>
    <t>Non-GAAP diluted EPS</t>
  </si>
  <si>
    <t>Income tax impact of adjustments and other (Net income)</t>
  </si>
  <si>
    <t>Income tax impact and other as % of operating income adj</t>
  </si>
  <si>
    <t>Short-term investments</t>
  </si>
  <si>
    <t>Accounts receivable, net</t>
  </si>
  <si>
    <t>Inventories</t>
  </si>
  <si>
    <t>Long-term investments</t>
  </si>
  <si>
    <t xml:space="preserve">Property, plant and equipment, net </t>
  </si>
  <si>
    <t>Other intangible assets, net</t>
  </si>
  <si>
    <t>Accrued liabilities</t>
  </si>
  <si>
    <t>Stored value card liability and deferred revenue</t>
  </si>
  <si>
    <t>Long-term debt</t>
  </si>
  <si>
    <t>Other long-term liabilities</t>
  </si>
  <si>
    <t>Common stock and additional paid in capital</t>
  </si>
  <si>
    <t>Noncontrolling interest</t>
  </si>
  <si>
    <t>Net income - including noncontrolling interests</t>
  </si>
  <si>
    <t>Deferred income taxes, net</t>
  </si>
  <si>
    <t>Income earned from equity method investees</t>
  </si>
  <si>
    <t>Distributions received from equity method investees</t>
  </si>
  <si>
    <t>Stock-based compensation expense</t>
  </si>
  <si>
    <t>Deferred revenue</t>
  </si>
  <si>
    <t>Proceeds from issuance of common stock</t>
  </si>
  <si>
    <t>Sale/Maturities/(Purchases) of investments</t>
  </si>
  <si>
    <t>Additions to PP&amp;E</t>
  </si>
  <si>
    <t>Gain resulting from acquisitions/sales</t>
  </si>
  <si>
    <t>Other Noncash Income/(Expense)</t>
  </si>
  <si>
    <t>Other operating assets and liabilities</t>
  </si>
  <si>
    <t>Cash dividends paid</t>
  </si>
  <si>
    <t>Increase/(Decrease) in prepaid expenses, other</t>
  </si>
  <si>
    <t>Operating margin (Non-GAAP)</t>
  </si>
  <si>
    <t>Interest &amp; other income as a % of average  investments and cash</t>
  </si>
  <si>
    <t>Interest expense as a % of average debt balances</t>
  </si>
  <si>
    <t>Deferred income taxes as % of def revenue &amp; stored value liability</t>
  </si>
  <si>
    <t xml:space="preserve">Distributions from equity investments as a % of income </t>
  </si>
  <si>
    <t>Inventory turnover</t>
  </si>
  <si>
    <t>Short-term investments as a % of total investments</t>
  </si>
  <si>
    <t>Total investments as a % of assets</t>
  </si>
  <si>
    <t>Debt to equity ratio</t>
  </si>
  <si>
    <t>Short-term debt to total debt</t>
  </si>
  <si>
    <t>All Other  (Operating expense)</t>
  </si>
  <si>
    <t>Americas total operating expenses</t>
  </si>
  <si>
    <t>Americas total operating income</t>
  </si>
  <si>
    <t>Americas total operating margin (%)</t>
  </si>
  <si>
    <t>Minimum tax withholdings on share-based awards</t>
  </si>
  <si>
    <t>Cash &amp; marketable securities (exEquity method investments)</t>
  </si>
  <si>
    <t>F2Q19</t>
  </si>
  <si>
    <t>Mar-19</t>
  </si>
  <si>
    <t>General and administrative expenses (GAAP)</t>
  </si>
  <si>
    <t>June-19</t>
  </si>
  <si>
    <t>F3Q19</t>
  </si>
  <si>
    <t>Dec-23E</t>
  </si>
  <si>
    <t>Mar-24E</t>
  </si>
  <si>
    <t>June-24E</t>
  </si>
  <si>
    <t>Sept-24E</t>
  </si>
  <si>
    <t>F1Q24E</t>
  </si>
  <si>
    <t>F2Q24E</t>
  </si>
  <si>
    <t>F3Q24E</t>
  </si>
  <si>
    <t>F4Q24E</t>
  </si>
  <si>
    <t>FY 2024E</t>
  </si>
  <si>
    <t>F4Q19</t>
  </si>
  <si>
    <t>FY 2019</t>
  </si>
  <si>
    <t>F1Q20</t>
  </si>
  <si>
    <t>F2Q20</t>
  </si>
  <si>
    <t>F3Q20</t>
  </si>
  <si>
    <t>Product and distribution costs</t>
  </si>
  <si>
    <t>Revenue - Company-operated stores</t>
  </si>
  <si>
    <t>Revenue - Licensed stores revenue</t>
  </si>
  <si>
    <t>Revenue - Product, Services, and Other</t>
  </si>
  <si>
    <t>Total revenues</t>
  </si>
  <si>
    <t>Proceeds from issuance of commercial paper</t>
  </si>
  <si>
    <t>Increase/(Decrease) in Income Taxes Payable</t>
  </si>
  <si>
    <t xml:space="preserve">Debt/commercial paper (payments) </t>
  </si>
  <si>
    <t>Debt issuance</t>
  </si>
  <si>
    <t>Other current liabilities</t>
  </si>
  <si>
    <t>Accrued payroll and benefits (current)</t>
  </si>
  <si>
    <t>Income taxes payable (current)</t>
  </si>
  <si>
    <t xml:space="preserve">Current portion of operating lease liability </t>
  </si>
  <si>
    <t>Equity investments</t>
  </si>
  <si>
    <t>Operating lease, right-of-use asset</t>
  </si>
  <si>
    <t>Other long-term assets</t>
  </si>
  <si>
    <t>Current portion of debt</t>
  </si>
  <si>
    <t>Operating lease liability</t>
  </si>
  <si>
    <t>Day Count (number of days in the quarter)</t>
  </si>
  <si>
    <t>Dec-24E</t>
  </si>
  <si>
    <t>Mar-25E</t>
  </si>
  <si>
    <t>June-25E</t>
  </si>
  <si>
    <t>Sept-25E</t>
  </si>
  <si>
    <t>F1Q25E</t>
  </si>
  <si>
    <t>F2Q25E</t>
  </si>
  <si>
    <t>F3Q25E</t>
  </si>
  <si>
    <t>F4Q25E</t>
  </si>
  <si>
    <t>FY 2025E</t>
  </si>
  <si>
    <t>International Segment (GAAP)</t>
  </si>
  <si>
    <t>International company-operated stores</t>
  </si>
  <si>
    <t>Int'l Revenue: Company-operated stores ($M)</t>
  </si>
  <si>
    <t>International licensed stores</t>
  </si>
  <si>
    <t>Int'l Revenue: licensed stores ($M)</t>
  </si>
  <si>
    <t>Int'l Revenue: Other</t>
  </si>
  <si>
    <t>Int'l total stores</t>
  </si>
  <si>
    <t>Int'l total net store additions</t>
  </si>
  <si>
    <t>Int'l total net revenues ($M)</t>
  </si>
  <si>
    <t>Int'l Total operating expenses</t>
  </si>
  <si>
    <t>Int'l Total operating income</t>
  </si>
  <si>
    <t>Int'l Total operating margin (%)</t>
  </si>
  <si>
    <t>Channel Development Revenue</t>
  </si>
  <si>
    <t>Net revenues ($M)</t>
  </si>
  <si>
    <t>Net revenue YoY growth rate</t>
  </si>
  <si>
    <t>International transaction and integration related costs</t>
  </si>
  <si>
    <t>Share Count Analysis</t>
  </si>
  <si>
    <t>Sept '18 ASR - Share repurchase assumptions: average price</t>
  </si>
  <si>
    <t>Sept '18 ASR - Share repurchase: amount in the period ($M)</t>
  </si>
  <si>
    <t>Sept '18 ASR -Shares repurchased (in millions)</t>
  </si>
  <si>
    <t>March '19 ASR - Share repurchase assumptions: average price</t>
  </si>
  <si>
    <t>March '19 ASR - Share repurchase: amount in the period ($M)</t>
  </si>
  <si>
    <t>March '19 ASR -Shares repurchased (in millions)</t>
  </si>
  <si>
    <t>Share repurchase assumptions: average price (exASRs)</t>
  </si>
  <si>
    <t>Share repurchase: amount in the period ($M, exASRs)</t>
  </si>
  <si>
    <t>Shares repurchased (in millions, exASRs)</t>
  </si>
  <si>
    <t>Non-GAAP EPS Growth (YoY)</t>
  </si>
  <si>
    <t>Cash Flow From Operations Growth (YoY)</t>
  </si>
  <si>
    <t>Free Cash Flow Growth (YoY)</t>
  </si>
  <si>
    <t>Price</t>
  </si>
  <si>
    <t>Mean monthly return</t>
  </si>
  <si>
    <t>Sept-20</t>
  </si>
  <si>
    <t>F4Q20</t>
  </si>
  <si>
    <t>Actual</t>
  </si>
  <si>
    <t>Absolute Value of Differences</t>
  </si>
  <si>
    <t>Total Revenue</t>
  </si>
  <si>
    <t>Most Accurate Model</t>
  </si>
  <si>
    <t>Class</t>
  </si>
  <si>
    <t>Average</t>
  </si>
  <si>
    <t>Consensus</t>
  </si>
  <si>
    <t>Est</t>
  </si>
  <si>
    <t>Operating Income (Non-GAAP)</t>
  </si>
  <si>
    <t>Net Income (Non-GAAP)</t>
  </si>
  <si>
    <t>FY 2020</t>
  </si>
  <si>
    <t>June-20</t>
  </si>
  <si>
    <t>Mar-20</t>
  </si>
  <si>
    <t>Dec-19</t>
  </si>
  <si>
    <t>Sept-19</t>
  </si>
  <si>
    <t>Dec-20</t>
  </si>
  <si>
    <t>F1Q21</t>
  </si>
  <si>
    <t xml:space="preserve"> Store opex (as % of comp-op store revenue)</t>
  </si>
  <si>
    <t>Product/dist costs (as % of total segment revenue)</t>
  </si>
  <si>
    <t xml:space="preserve"> Other opex (as % of total segment revenue)</t>
  </si>
  <si>
    <t>G&amp;A expense (as % of total segment revenue)</t>
  </si>
  <si>
    <t>Other opex (as % of comp-op store revenue)</t>
  </si>
  <si>
    <t>Impact of extra week  (Operating income)</t>
  </si>
  <si>
    <t>Mar-21</t>
  </si>
  <si>
    <t>F2Q21</t>
  </si>
  <si>
    <t>June-21</t>
  </si>
  <si>
    <t>F3Q21</t>
  </si>
  <si>
    <t>Blue cells = Gutenberg estimates (updated 9/5/2021)</t>
  </si>
  <si>
    <t>Purple cells = Company guidance (updated 9/5/2021)</t>
  </si>
  <si>
    <t>Dec-25E</t>
  </si>
  <si>
    <t>Mar-26E</t>
  </si>
  <si>
    <t>June-26E</t>
  </si>
  <si>
    <t>Sept-26E</t>
  </si>
  <si>
    <t>F1Q26E</t>
  </si>
  <si>
    <t>F2Q26E</t>
  </si>
  <si>
    <t>F3Q26E</t>
  </si>
  <si>
    <t>F4Q26E</t>
  </si>
  <si>
    <t>FY 2026E</t>
  </si>
  <si>
    <t>Global Store Growth</t>
  </si>
  <si>
    <t>Approximate Dividend Payout Ratio</t>
  </si>
  <si>
    <t>Debt-to-EBITDA</t>
  </si>
  <si>
    <t>P/E 3-month average (NTM)</t>
  </si>
  <si>
    <t>P/E 3-month high (NTM)</t>
  </si>
  <si>
    <t>P/E 3-month low (NTM)</t>
  </si>
  <si>
    <t>P/E used for valuation (NTM)</t>
  </si>
  <si>
    <r>
      <rPr>
        <b/>
        <sz val="11"/>
        <color theme="1"/>
        <rFont val="Calibri"/>
        <family val="2"/>
        <scheme val="minor"/>
      </rPr>
      <t>Last updated:</t>
    </r>
    <r>
      <rPr>
        <sz val="11"/>
        <color theme="1"/>
        <rFont val="Calibri"/>
        <family val="2"/>
        <scheme val="minor"/>
      </rPr>
      <t xml:space="preserve"> 9/18/2021</t>
    </r>
  </si>
  <si>
    <r>
      <t xml:space="preserve">Last updated: </t>
    </r>
    <r>
      <rPr>
        <sz val="11"/>
        <color theme="1"/>
        <rFont val="Calibri"/>
        <family val="2"/>
        <scheme val="minor"/>
      </rPr>
      <t>9/18/2021</t>
    </r>
  </si>
  <si>
    <t>Orange cells = Consensus estimates (updated 9/21/2021)</t>
  </si>
  <si>
    <t>2023 EBITDA (Non-GAAP)</t>
  </si>
  <si>
    <t>2023 Debt</t>
  </si>
  <si>
    <t>2023 Cash and Investments</t>
  </si>
  <si>
    <t>Blue cells = Primary estimates (updated 9/5/2021)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</si>
</sst>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_(* #,##0.000_);_(* \(#,##0.000\);_(* &quot;-&quot;??_);_(@_)"/>
    <numFmt numFmtId="168" formatCode="0.0_)\%;\(0.0\)\%;0.0_)\%;@_)_%"/>
    <numFmt numFmtId="169" formatCode="#,##0.0_)_%;\(#,##0.0\)_%;0.0_)_%;@_)_%"/>
    <numFmt numFmtId="170" formatCode="#,##0.0_);\(#,##0.0\);#,##0.0_);@_)"/>
    <numFmt numFmtId="171" formatCode="&quot;$&quot;_(#,##0.00_);&quot;$&quot;\(#,##0.00\);&quot;$&quot;_(0.00_);@_)"/>
    <numFmt numFmtId="172" formatCode="#,##0.00_);\(#,##0.00\);0.00_);@_)"/>
    <numFmt numFmtId="173" formatCode="\€_(#,##0.00_);\€\(#,##0.00\);\€_(0.00_);@_)"/>
    <numFmt numFmtId="174" formatCode="#,##0_)\x;\(#,##0\)\x;0_)\x;@_)_x"/>
    <numFmt numFmtId="175" formatCode="#,##0_)_x;\(#,##0\)_x;0_)_x;@_)_x"/>
    <numFmt numFmtId="176" formatCode="* #,##0.00_);\(#,##0.00\)"/>
    <numFmt numFmtId="177" formatCode="&quot;$&quot;#,##0;\-&quot;$&quot;#,##0"/>
    <numFmt numFmtId="178" formatCode="#,##0;\-#,##0;&quot;-&quot;"/>
    <numFmt numFmtId="179" formatCode="0.000000"/>
    <numFmt numFmtId="180" formatCode="_(* #,##0,,_);_(* \(#,##0,,\);_(* &quot;-&quot;_)"/>
    <numFmt numFmtId="181" formatCode="_(* #,##0_);[Red]_(* \(#,##0\);_(* &quot;&quot;&quot;&quot;&quot;&quot;&quot;&quot;\ \-\ &quot;&quot;&quot;&quot;&quot;&quot;&quot;&quot;_);_(@_)"/>
    <numFmt numFmtId="182" formatCode="&quot;£&quot;#,##0;[Red]\-&quot;£&quot;#,##0"/>
    <numFmt numFmtId="183" formatCode="_(* #,##0,_);[Red]_(* \(#,##0,\);_(* &quot;&quot;&quot;&quot;&quot;&quot;&quot;&quot;\ \-\ &quot;&quot;&quot;&quot;&quot;&quot;&quot;&quot;_);_(@_)"/>
    <numFmt numFmtId="184" formatCode="0.00_);[Red]\(0.00\)"/>
    <numFmt numFmtId="185" formatCode="0%;\(0%\);;"/>
    <numFmt numFmtId="186" formatCode="&quot;£&quot;#,##0.00;[Red]\-&quot;£&quot;#,##0.00"/>
    <numFmt numFmtId="187" formatCode="_(* #,##0.000_);_(* \(#,##0.000\);_(* &quot;-&quot;_);_(@_)"/>
    <numFmt numFmtId="188" formatCode="0%;\(0%\);&quot;-&quot;"/>
    <numFmt numFmtId="189" formatCode="_-&quot;£&quot;* #,##0_-;\-&quot;£&quot;* #,##0_-;_-&quot;£&quot;* &quot;-&quot;_-;_-@_-"/>
    <numFmt numFmtId="190" formatCode="_(&quot;$&quot;* #,##0,_);_(&quot;$&quot;* \(#,##0,\);_(&quot;$&quot;* &quot;-&quot;_);_(@_)"/>
    <numFmt numFmtId="191" formatCode="#,##0\ ;\(#,##0.0\)"/>
    <numFmt numFmtId="192" formatCode="0.0"/>
    <numFmt numFmtId="193" formatCode="#,##0.00;\-#,##0.00;&quot;-&quot;"/>
    <numFmt numFmtId="194" formatCode="_._.* \(#,##0\)_%;_._.* #,##0_)_%;_._.* 0_)_%;_._.@_)_%"/>
    <numFmt numFmtId="195" formatCode="_._.&quot;$&quot;* \(#,##0\)_%;_._.&quot;$&quot;* #,##0_)_%;_._.&quot;$&quot;* 0_)_%;_._.@_)_%"/>
    <numFmt numFmtId="196" formatCode="&quot;$&quot;0.00_)"/>
    <numFmt numFmtId="197" formatCode="&quot;SFr.&quot;\ #,##0.00;&quot;SFr.&quot;\ \-#,##0.00"/>
    <numFmt numFmtId="198" formatCode="#,##0;\(#,##0\)"/>
    <numFmt numFmtId="199" formatCode="_([$€-2]* #,##0.00_);_([$€-2]* \(#,##0.00\);_([$€-2]* &quot;-&quot;??_)"/>
    <numFmt numFmtId="200" formatCode="_-* #,##0\ _D_M_-;\-* #,##0\ _D_M_-;_-* &quot;-&quot;\ _D_M_-;_-@_-"/>
    <numFmt numFmtId="201" formatCode="_-* #,##0.00\ _D_M_-;\-* #,##0.00\ _D_M_-;_-* &quot;-&quot;??\ _D_M_-;_-@_-"/>
    <numFmt numFmtId="202" formatCode="_-* #,##0\ &quot;DM&quot;_-;\-* #,##0\ &quot;DM&quot;_-;_-* &quot;-&quot;\ &quot;DM&quot;_-;_-@_-"/>
    <numFmt numFmtId="203" formatCode="_-* #,##0.00\ &quot;DM&quot;_-;\-* #,##0.00\ &quot;DM&quot;_-;_-* &quot;-&quot;??\ &quot;DM&quot;_-;_-@_-"/>
    <numFmt numFmtId="204" formatCode="#,##0.0_);\(#,##0.0\)"/>
    <numFmt numFmtId="205" formatCode="#,##0.0\ ;\(#,##0.0\)"/>
    <numFmt numFmtId="206" formatCode="0%;\(0%\)"/>
    <numFmt numFmtId="207" formatCode="&quot;SFr.&quot;#,##0;[Red]&quot;SFr.&quot;\-#,##0"/>
    <numFmt numFmtId="208" formatCode="#,##0.0000000000;\-#,##0.0000000000"/>
    <numFmt numFmtId="209" formatCode="#,##0.0;\-#,##0.0"/>
    <numFmt numFmtId="210" formatCode="#,##0.000;\-#,##0.000"/>
    <numFmt numFmtId="211" formatCode="#,##0.0000;\-#,##0.0000"/>
    <numFmt numFmtId="212" formatCode="#,##0.00000;\-#,##0.00000"/>
    <numFmt numFmtId="213" formatCode="#,##0.000000;\-#,##0.000000"/>
    <numFmt numFmtId="214" formatCode="#,##0.0000000;\-#,##0.0000000"/>
    <numFmt numFmtId="215" formatCode="#,##0.00000000;\-#,##0.00000000"/>
    <numFmt numFmtId="216" formatCode="#,##0.000000000;\-#,##0.000000000"/>
    <numFmt numFmtId="217" formatCode="#,##0___);\(#,##0.00\)"/>
    <numFmt numFmtId="218" formatCode="#,##0&quot;%&quot;"/>
    <numFmt numFmtId="219" formatCode="#,##0_);[Red]\(#,##0\);&quot;-&quot;"/>
    <numFmt numFmtId="220" formatCode="_-&quot;£&quot;* #,##0.00_-;\-&quot;£&quot;* #,##0.00_-;_-&quot;£&quot;* &quot;-&quot;??_-;_-@_-"/>
    <numFmt numFmtId="221" formatCode="*-"/>
    <numFmt numFmtId="222" formatCode="#,##0;[Red]\(#,##0\)"/>
    <numFmt numFmtId="223" formatCode="_-&quot;$&quot;* #,##0_-;\-&quot;$&quot;* #,##0_-;_-&quot;$&quot;* &quot;-&quot;_-;_-@_-"/>
    <numFmt numFmtId="224" formatCode="_-&quot;$&quot;* #,##0.00_-;\-&quot;$&quot;* #,##0.00_-;_-&quot;$&quot;* &quot;-&quot;??_-;_-@_-"/>
    <numFmt numFmtId="225" formatCode="&quot;$&quot;#,##0"/>
    <numFmt numFmtId="226" formatCode="0.0\x"/>
    <numFmt numFmtId="227" formatCode="0.00000"/>
    <numFmt numFmtId="228" formatCode="_(* #,##0.0000_);_(* \(#,##0.0000\);_(* &quot;-&quot;??_);_(@_)"/>
    <numFmt numFmtId="229" formatCode="0.000%"/>
  </numFmts>
  <fonts count="8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FF0000"/>
      <name val="Calibri"/>
      <family val="2"/>
      <scheme val="minor"/>
    </font>
    <font>
      <sz val="11"/>
      <name val="Calibri"/>
      <family val="2"/>
    </font>
    <font>
      <b/>
      <sz val="11"/>
      <color theme="0" tint="-0.14999847407452621"/>
      <name val="Calibri"/>
      <family val="2"/>
      <scheme val="minor"/>
    </font>
    <font>
      <sz val="9"/>
      <color indexed="81"/>
      <name val="Tahoma"/>
      <family val="2"/>
    </font>
    <font>
      <b/>
      <sz val="9"/>
      <color indexed="81"/>
      <name val="Tahom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0"/>
      <name val="Helv"/>
      <family val="2"/>
    </font>
    <font>
      <sz val="8"/>
      <name val="Helv"/>
    </font>
    <font>
      <b/>
      <sz val="12"/>
      <name val="Tms Rmn"/>
    </font>
    <font>
      <b/>
      <i/>
      <sz val="12"/>
      <name val="Tms Rmn"/>
    </font>
    <font>
      <b/>
      <sz val="10"/>
      <name val="MS Sans Serif"/>
      <family val="2"/>
    </font>
    <font>
      <sz val="10"/>
      <color indexed="8"/>
      <name val="Arial"/>
      <family val="2"/>
    </font>
    <font>
      <b/>
      <sz val="11"/>
      <name val="Arial"/>
      <family val="2"/>
    </font>
    <font>
      <sz val="10"/>
      <name val="Helv"/>
    </font>
    <font>
      <sz val="10"/>
      <color theme="1"/>
      <name val="Arial"/>
      <family val="2"/>
    </font>
    <font>
      <sz val="10"/>
      <color indexed="0"/>
      <name val="MS Sans Serif"/>
      <family val="2"/>
    </font>
    <font>
      <b/>
      <sz val="14"/>
      <name val="Arial"/>
      <family val="2"/>
    </font>
    <font>
      <sz val="11"/>
      <color indexed="12"/>
      <name val="Times New Roman"/>
      <family val="1"/>
    </font>
    <font>
      <sz val="11"/>
      <name val="Times New Roman"/>
      <family val="1"/>
    </font>
    <font>
      <sz val="10"/>
      <color indexed="12"/>
      <name val="Helv"/>
    </font>
    <font>
      <sz val="8"/>
      <color indexed="18"/>
      <name val="Helv"/>
    </font>
    <font>
      <b/>
      <u/>
      <sz val="10"/>
      <color indexed="8"/>
      <name val="Times New Roman"/>
      <family val="1"/>
    </font>
    <font>
      <sz val="10"/>
      <color indexed="12"/>
      <name val="Arial"/>
      <family val="2"/>
    </font>
    <font>
      <sz val="8"/>
      <name val="Arial"/>
      <family val="2"/>
    </font>
    <font>
      <b/>
      <sz val="12"/>
      <name val="Arial"/>
      <family val="2"/>
    </font>
    <font>
      <b/>
      <sz val="10"/>
      <name val="Arial"/>
      <family val="2"/>
    </font>
    <font>
      <u/>
      <sz val="11"/>
      <color theme="10"/>
      <name val="Calibri"/>
      <family val="2"/>
    </font>
    <font>
      <u/>
      <sz val="10"/>
      <color indexed="12"/>
      <name val="Arial"/>
      <family val="2"/>
    </font>
    <font>
      <u/>
      <sz val="10"/>
      <color theme="10"/>
      <name val="Trebuchet MS"/>
      <family val="2"/>
    </font>
    <font>
      <sz val="10"/>
      <color indexed="14"/>
      <name val="Arial"/>
      <family val="2"/>
    </font>
    <font>
      <sz val="10"/>
      <name val="MS Sans Serif"/>
      <family val="2"/>
    </font>
    <font>
      <sz val="7"/>
      <name val="Small Fonts"/>
      <family val="2"/>
    </font>
    <font>
      <sz val="12"/>
      <name val="Helv"/>
      <family val="2"/>
    </font>
    <font>
      <sz val="10"/>
      <name val="Trebuchet MS"/>
      <family val="2"/>
    </font>
    <font>
      <sz val="10"/>
      <name val="Tms Rmn"/>
    </font>
    <font>
      <sz val="10"/>
      <name val="Tms Rmn"/>
      <family val="1"/>
    </font>
    <font>
      <sz val="11"/>
      <color indexed="8"/>
      <name val="Calibri"/>
      <family val="2"/>
    </font>
    <font>
      <b/>
      <u/>
      <sz val="26"/>
      <color indexed="9"/>
      <name val="Arial"/>
      <family val="2"/>
    </font>
    <font>
      <sz val="10"/>
      <color indexed="10"/>
      <name val="Arial"/>
      <family val="2"/>
    </font>
    <font>
      <sz val="12"/>
      <name val="Helv"/>
    </font>
    <font>
      <sz val="10"/>
      <color rgb="FF404040"/>
      <name val="Segoe UI"/>
      <family val="2"/>
    </font>
    <font>
      <b/>
      <sz val="10"/>
      <color rgb="FF404040"/>
      <name val="Segoe UI"/>
      <family val="2"/>
    </font>
    <font>
      <b/>
      <sz val="10"/>
      <color indexed="10"/>
      <name val="Arial"/>
      <family val="2"/>
    </font>
    <font>
      <sz val="8"/>
      <name val="Tms Rmn"/>
    </font>
    <font>
      <b/>
      <u val="singleAccounting"/>
      <sz val="11"/>
      <name val="Calibri"/>
      <family val="2"/>
      <scheme val="minor"/>
    </font>
    <font>
      <b/>
      <sz val="11"/>
      <color rgb="FFFF0000"/>
      <name val="Calibri"/>
      <family val="2"/>
      <scheme val="minor"/>
    </font>
    <font>
      <b/>
      <u val="singleAccounting"/>
      <sz val="11"/>
      <color rgb="FFFF0000"/>
      <name val="Calibri"/>
      <family val="2"/>
      <scheme val="minor"/>
    </font>
    <font>
      <b/>
      <u/>
      <sz val="11"/>
      <color rgb="FFFF0000"/>
      <name val="Calibri"/>
      <family val="2"/>
      <scheme val="minor"/>
    </font>
    <font>
      <b/>
      <sz val="11"/>
      <color theme="2"/>
      <name val="Calibri"/>
      <family val="2"/>
      <scheme val="minor"/>
    </font>
    <font>
      <b/>
      <u val="singleAccounting"/>
      <sz val="11"/>
      <color theme="2"/>
      <name val="Calibri"/>
      <family val="2"/>
      <scheme val="minor"/>
    </font>
    <font>
      <b/>
      <u/>
      <sz val="12"/>
      <color theme="2"/>
      <name val="Calibri"/>
      <family val="2"/>
      <scheme val="minor"/>
    </font>
    <font>
      <sz val="10"/>
      <color theme="2"/>
      <name val="Calibri"/>
      <family val="2"/>
      <scheme val="minor"/>
    </font>
    <font>
      <sz val="11"/>
      <name val="Calibri"/>
      <family val="2"/>
      <scheme val="minor"/>
    </font>
    <font>
      <b/>
      <sz val="11"/>
      <name val="Calibri"/>
      <family val="2"/>
      <scheme val="minor"/>
    </font>
    <font>
      <u val="singleAccounting"/>
      <sz val="11"/>
      <name val="Calibri"/>
      <family val="2"/>
      <scheme val="minor"/>
    </font>
    <font>
      <b/>
      <u/>
      <sz val="11"/>
      <name val="Calibri"/>
      <family val="2"/>
      <scheme val="minor"/>
    </font>
    <font>
      <sz val="11"/>
      <color theme="1" tint="0.14999847407452621"/>
      <name val="Calibri"/>
      <family val="2"/>
      <scheme val="minor"/>
    </font>
    <font>
      <b/>
      <sz val="11"/>
      <color theme="1" tint="0.14999847407452621"/>
      <name val="Calibri"/>
      <family val="2"/>
      <scheme val="minor"/>
    </font>
    <font>
      <b/>
      <u/>
      <sz val="11"/>
      <color theme="1" tint="0.14999847407452621"/>
      <name val="Calibri"/>
      <family val="2"/>
      <scheme val="minor"/>
    </font>
    <font>
      <u val="singleAccounting"/>
      <sz val="11"/>
      <color theme="1" tint="0.14999847407452621"/>
      <name val="Calibri"/>
      <family val="2"/>
      <scheme val="minor"/>
    </font>
    <font>
      <i/>
      <sz val="11"/>
      <color theme="1"/>
      <name val="Calibri"/>
      <family val="2"/>
      <scheme val="minor"/>
    </font>
    <font>
      <i/>
      <sz val="8"/>
      <name val="Calibri"/>
      <family val="2"/>
      <scheme val="minor"/>
    </font>
    <font>
      <sz val="8"/>
      <name val="Calibri"/>
      <family val="2"/>
      <scheme val="minor"/>
    </font>
    <font>
      <u/>
      <sz val="11"/>
      <name val="Calibri"/>
      <family val="2"/>
      <scheme val="minor"/>
    </font>
    <font>
      <i/>
      <sz val="11"/>
      <color theme="3"/>
      <name val="Calibri"/>
      <family val="2"/>
      <scheme val="minor"/>
    </font>
    <font>
      <b/>
      <i/>
      <sz val="11"/>
      <color theme="3"/>
      <name val="Calibri"/>
      <family val="2"/>
      <scheme val="minor"/>
    </font>
    <font>
      <i/>
      <sz val="9"/>
      <color theme="3"/>
      <name val="Calibri"/>
      <family val="2"/>
      <scheme val="minor"/>
    </font>
    <font>
      <b/>
      <i/>
      <u/>
      <sz val="12"/>
      <color theme="3"/>
      <name val="Calibri"/>
      <family val="2"/>
      <scheme val="minor"/>
    </font>
    <font>
      <i/>
      <u val="singleAccounting"/>
      <sz val="11"/>
      <color theme="3"/>
      <name val="Calibri"/>
      <family val="2"/>
      <scheme val="minor"/>
    </font>
    <font>
      <b/>
      <i/>
      <u val="singleAccounting"/>
      <sz val="11"/>
      <color theme="3"/>
      <name val="Calibri"/>
      <family val="2"/>
      <scheme val="minor"/>
    </font>
    <font>
      <sz val="11"/>
      <color theme="0"/>
      <name val="Calibri"/>
      <family val="2"/>
      <scheme val="minor"/>
    </font>
    <font>
      <u/>
      <sz val="9"/>
      <color indexed="81"/>
      <name val="Tahoma"/>
      <family val="2"/>
    </font>
    <font>
      <i/>
      <sz val="11"/>
      <name val="Calibri"/>
      <family val="2"/>
      <scheme val="minor"/>
    </font>
    <font>
      <i/>
      <sz val="11"/>
      <color rgb="FFFF0000"/>
      <name val="Calibri"/>
      <family val="2"/>
      <scheme val="minor"/>
    </font>
    <font>
      <i/>
      <sz val="11"/>
      <color theme="4"/>
      <name val="Calibri"/>
      <family val="2"/>
      <scheme val="minor"/>
    </font>
    <font>
      <i/>
      <sz val="8"/>
      <color theme="3"/>
      <name val="Calibri"/>
      <family val="2"/>
      <scheme val="minor"/>
    </font>
  </fonts>
  <fills count="14">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indexed="43"/>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44"/>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39997558519241921"/>
        <bgColor indexed="64"/>
      </patternFill>
    </fill>
  </fills>
  <borders count="47">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style="thin">
        <color auto="1"/>
      </top>
      <bottom style="thin">
        <color auto="1"/>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diagonal/>
    </border>
    <border>
      <left/>
      <right style="thin">
        <color auto="1"/>
      </right>
      <top style="hair">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right/>
      <top/>
      <bottom style="hair">
        <color auto="1"/>
      </bottom>
      <diagonal/>
    </border>
    <border>
      <left/>
      <right/>
      <top style="hair">
        <color auto="1"/>
      </top>
      <bottom/>
      <diagonal/>
    </border>
    <border>
      <left style="thin">
        <color auto="1"/>
      </left>
      <right style="thin">
        <color auto="1"/>
      </right>
      <top style="hair">
        <color auto="1"/>
      </top>
      <bottom/>
      <diagonal/>
    </border>
    <border>
      <left style="thin">
        <color auto="1"/>
      </left>
      <right style="thin">
        <color auto="1"/>
      </right>
      <top style="thin">
        <color auto="1"/>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right style="thin">
        <color rgb="FFBFBFBF"/>
      </right>
      <top style="thin">
        <color rgb="FFBFBFBF"/>
      </top>
      <bottom/>
      <diagonal/>
    </border>
    <border>
      <left style="thin">
        <color rgb="FFBFBFBF"/>
      </left>
      <right/>
      <top/>
      <bottom style="thin">
        <color rgb="FFBFBFBF"/>
      </bottom>
      <diagonal/>
    </border>
    <border>
      <left/>
      <right/>
      <top/>
      <bottom style="thin">
        <color rgb="FFBFBFBF"/>
      </bottom>
      <diagonal/>
    </border>
    <border>
      <left/>
      <right style="thin">
        <color rgb="FFBFBFBF"/>
      </right>
      <top/>
      <bottom style="thin">
        <color rgb="FFBFBFBF"/>
      </bottom>
      <diagonal/>
    </border>
    <border>
      <left style="thin">
        <color rgb="FFBFBFBF"/>
      </left>
      <right/>
      <top/>
      <bottom/>
      <diagonal/>
    </border>
    <border>
      <left/>
      <right style="thin">
        <color rgb="FFBFBFBF"/>
      </right>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top/>
      <bottom style="medium">
        <color auto="1"/>
      </bottom>
      <diagonal/>
    </border>
  </borders>
  <cellStyleXfs count="336">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lignment vertical="top"/>
    </xf>
    <xf numFmtId="0" fontId="5" fillId="0" borderId="0"/>
    <xf numFmtId="43" fontId="5" fillId="0" borderId="0" applyFont="0" applyFill="0" applyBorder="0" applyAlignment="0" applyProtection="0"/>
    <xf numFmtId="168"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4" borderId="0" applyNumberFormat="0" applyFont="0" applyAlignment="0" applyProtection="0"/>
    <xf numFmtId="174" fontId="3" fillId="0" borderId="0" applyFont="0" applyFill="0" applyBorder="0" applyAlignment="0" applyProtection="0"/>
    <xf numFmtId="175" fontId="3" fillId="0" borderId="0" applyFont="0" applyFill="0" applyBorder="0" applyProtection="0">
      <alignment horizontal="right"/>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1" fillId="0" borderId="15" applyNumberFormat="0" applyFill="0" applyAlignment="0" applyProtection="0"/>
    <xf numFmtId="0" fontId="12" fillId="0" borderId="16" applyNumberFormat="0" applyFill="0" applyProtection="0">
      <alignment horizontal="center"/>
    </xf>
    <xf numFmtId="0" fontId="12" fillId="0" borderId="0" applyNumberFormat="0" applyFill="0" applyBorder="0" applyProtection="0">
      <alignment horizontal="left"/>
    </xf>
    <xf numFmtId="0" fontId="13" fillId="0" borderId="0" applyNumberFormat="0" applyFill="0" applyBorder="0" applyProtection="0">
      <alignment horizontal="centerContinuous"/>
    </xf>
    <xf numFmtId="0" fontId="14" fillId="0" borderId="0" applyNumberFormat="0" applyFill="0" applyBorder="0" applyAlignment="0" applyProtection="0"/>
    <xf numFmtId="0" fontId="15" fillId="0" borderId="0"/>
    <xf numFmtId="176" fontId="16" fillId="0" borderId="0">
      <alignment horizontal="center"/>
    </xf>
    <xf numFmtId="37" fontId="17" fillId="0" borderId="0"/>
    <xf numFmtId="37" fontId="18" fillId="0" borderId="0"/>
    <xf numFmtId="177" fontId="19"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9"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9"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 fillId="0" borderId="0" applyAlignment="0" applyProtection="0"/>
    <xf numFmtId="177" fontId="19" fillId="0" borderId="2" applyAlignment="0" applyProtection="0"/>
    <xf numFmtId="177" fontId="1" fillId="0" borderId="0" applyAlignment="0" applyProtection="0"/>
    <xf numFmtId="177" fontId="1" fillId="0" borderId="0" applyAlignment="0" applyProtection="0"/>
    <xf numFmtId="177" fontId="1" fillId="0" borderId="0" applyAlignment="0" applyProtection="0"/>
    <xf numFmtId="177" fontId="19" fillId="0" borderId="2" applyAlignment="0" applyProtection="0"/>
    <xf numFmtId="177" fontId="19" fillId="0" borderId="2" applyAlignment="0" applyProtection="0"/>
    <xf numFmtId="177" fontId="19" fillId="0" borderId="2" applyAlignment="0" applyProtection="0"/>
    <xf numFmtId="177" fontId="19" fillId="0" borderId="2" applyAlignment="0" applyProtection="0"/>
    <xf numFmtId="177" fontId="1" fillId="0" borderId="0" applyAlignment="0" applyProtection="0"/>
    <xf numFmtId="178" fontId="20" fillId="0" borderId="0" applyFill="0" applyBorder="0" applyAlignment="0"/>
    <xf numFmtId="179" fontId="3" fillId="0" borderId="0" applyFill="0" applyBorder="0" applyAlignment="0"/>
    <xf numFmtId="180" fontId="3" fillId="0" borderId="0" applyFill="0" applyBorder="0" applyAlignment="0"/>
    <xf numFmtId="164" fontId="3" fillId="0" borderId="0" applyFill="0" applyBorder="0" applyAlignment="0"/>
    <xf numFmtId="181" fontId="3" fillId="0" borderId="0" applyFill="0" applyBorder="0" applyAlignment="0"/>
    <xf numFmtId="182" fontId="3" fillId="0" borderId="0" applyFill="0" applyBorder="0" applyAlignment="0"/>
    <xf numFmtId="183" fontId="3" fillId="0" borderId="0" applyFill="0" applyBorder="0" applyAlignment="0"/>
    <xf numFmtId="184" fontId="3" fillId="0" borderId="0" applyFill="0" applyBorder="0" applyAlignment="0"/>
    <xf numFmtId="185" fontId="3" fillId="0" borderId="0" applyFill="0" applyBorder="0" applyAlignment="0"/>
    <xf numFmtId="186" fontId="3" fillId="0" borderId="0" applyFill="0" applyBorder="0" applyAlignment="0"/>
    <xf numFmtId="178" fontId="20"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0" fontId="21" fillId="0" borderId="0" applyFill="0" applyBorder="0" applyProtection="0">
      <alignment horizontal="center"/>
      <protection locked="0"/>
    </xf>
    <xf numFmtId="0" fontId="22"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0" fontId="3" fillId="0" borderId="0"/>
    <xf numFmtId="191" fontId="22" fillId="0" borderId="7"/>
    <xf numFmtId="192" fontId="1" fillId="0" borderId="0"/>
    <xf numFmtId="0" fontId="15" fillId="0" borderId="7"/>
    <xf numFmtId="192" fontId="1" fillId="0" borderId="0"/>
    <xf numFmtId="178" fontId="3" fillId="0" borderId="0" applyFont="0" applyFill="0" applyBorder="0" applyAlignment="0" applyProtection="0"/>
    <xf numFmtId="187" fontId="3" fillId="0" borderId="0" applyFont="0" applyFill="0" applyBorder="0" applyAlignment="0" applyProtection="0"/>
    <xf numFmtId="43" fontId="3" fillId="0" borderId="0" applyFont="0" applyFill="0" applyBorder="0" applyAlignment="0" applyProtection="0">
      <alignment wrapText="1"/>
    </xf>
    <xf numFmtId="43" fontId="1" fillId="0" borderId="0" applyFont="0" applyFill="0" applyBorder="0" applyAlignment="0" applyProtection="0"/>
    <xf numFmtId="43" fontId="3" fillId="0" borderId="0" applyFont="0" applyFill="0" applyBorder="0" applyAlignment="0" applyProtection="0">
      <alignment wrapText="1"/>
    </xf>
    <xf numFmtId="43" fontId="3" fillId="0" borderId="0" applyFont="0" applyFill="0" applyBorder="0" applyAlignment="0" applyProtection="0">
      <alignment wrapText="1"/>
    </xf>
    <xf numFmtId="43" fontId="3" fillId="0" borderId="0" applyFont="0" applyFill="0" applyBorder="0" applyAlignment="0" applyProtection="0"/>
    <xf numFmtId="4" fontId="22" fillId="0" borderId="0" applyFont="0" applyFill="0" applyBorder="0" applyAlignment="0" applyProtection="0"/>
    <xf numFmtId="4" fontId="22" fillId="0" borderId="0" applyFont="0" applyFill="0" applyBorder="0" applyAlignment="0" applyProtection="0"/>
    <xf numFmtId="43" fontId="1" fillId="0" borderId="0" applyFont="0" applyFill="0" applyBorder="0" applyAlignment="0" applyProtection="0"/>
    <xf numFmtId="4" fontId="1" fillId="0" borderId="0" applyFont="0" applyFill="0" applyBorder="0" applyAlignment="0" applyProtection="0"/>
    <xf numFmtId="43" fontId="23" fillId="0" borderId="0" applyFont="0" applyFill="0" applyBorder="0" applyAlignment="0" applyProtection="0"/>
    <xf numFmtId="4" fontId="1" fillId="0" borderId="0" applyFont="0" applyFill="0" applyBorder="0" applyAlignment="0" applyProtection="0"/>
    <xf numFmtId="4"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0" fontId="25" fillId="0" borderId="0" applyFill="0" applyBorder="0" applyAlignment="0" applyProtection="0">
      <protection locked="0"/>
    </xf>
    <xf numFmtId="193" fontId="3" fillId="0" borderId="0">
      <alignment horizontal="center"/>
    </xf>
    <xf numFmtId="194" fontId="26" fillId="0" borderId="0" applyFill="0" applyBorder="0" applyProtection="0"/>
    <xf numFmtId="195" fontId="27" fillId="0" borderId="0" applyFont="0" applyFill="0" applyBorder="0" applyAlignment="0" applyProtection="0"/>
    <xf numFmtId="196" fontId="28" fillId="0" borderId="17">
      <protection hidden="1"/>
    </xf>
    <xf numFmtId="180" fontId="3" fillId="0" borderId="0" applyFont="0" applyFill="0" applyBorder="0" applyAlignment="0" applyProtection="0"/>
    <xf numFmtId="164" fontId="3" fillId="0" borderId="0" applyFont="0" applyFill="0" applyBorder="0" applyAlignment="0" applyProtection="0"/>
    <xf numFmtId="8" fontId="1" fillId="0" borderId="0" applyFont="0" applyFill="0" applyBorder="0" applyAlignment="0" applyProtection="0"/>
    <xf numFmtId="44" fontId="3" fillId="0" borderId="0" applyFont="0" applyFill="0" applyBorder="0" applyAlignment="0" applyProtection="0"/>
    <xf numFmtId="0" fontId="24" fillId="0" borderId="0" applyNumberFormat="0" applyFill="0" applyBorder="0" applyAlignment="0" applyProtection="0"/>
    <xf numFmtId="1" fontId="16" fillId="0" borderId="0"/>
    <xf numFmtId="14" fontId="29" fillId="0" borderId="0">
      <alignment horizontal="center"/>
    </xf>
    <xf numFmtId="14" fontId="20" fillId="0" borderId="0" applyFill="0" applyBorder="0" applyAlignment="0"/>
    <xf numFmtId="15" fontId="30" fillId="5" borderId="0" applyNumberFormat="0" applyFont="0" applyFill="0" applyBorder="0" applyAlignment="0">
      <alignment horizontal="center" wrapText="1"/>
    </xf>
    <xf numFmtId="0" fontId="20" fillId="0" borderId="14" applyNumberFormat="0" applyFill="0" applyBorder="0" applyAlignment="0" applyProtection="0"/>
    <xf numFmtId="197" fontId="22" fillId="0" borderId="0" applyFont="0" applyFill="0" applyBorder="0" applyAlignment="0" applyProtection="0"/>
    <xf numFmtId="198" fontId="27" fillId="0" borderId="0" applyFont="0" applyFill="0" applyBorder="0" applyAlignment="0" applyProtection="0"/>
    <xf numFmtId="178" fontId="31"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1"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196" fontId="28" fillId="0" borderId="17">
      <protection hidden="1"/>
    </xf>
    <xf numFmtId="199" fontId="3" fillId="0" borderId="0" applyFont="0" applyFill="0" applyBorder="0" applyAlignment="0" applyProtection="0"/>
    <xf numFmtId="38" fontId="32" fillId="5" borderId="0" applyNumberFormat="0" applyBorder="0" applyAlignment="0" applyProtection="0"/>
    <xf numFmtId="0" fontId="33" fillId="0" borderId="18" applyNumberFormat="0" applyAlignment="0" applyProtection="0">
      <alignment horizontal="left" vertical="center"/>
    </xf>
    <xf numFmtId="0" fontId="33"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3"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3"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3" fillId="0" borderId="9">
      <alignment horizontal="left" vertical="center"/>
    </xf>
    <xf numFmtId="0" fontId="1" fillId="0" borderId="0">
      <alignment horizontal="left" vertical="center"/>
    </xf>
    <xf numFmtId="0" fontId="1" fillId="0" borderId="0">
      <alignment horizontal="left" vertical="center"/>
    </xf>
    <xf numFmtId="0" fontId="1" fillId="0" borderId="0">
      <alignment horizontal="left" vertical="center"/>
    </xf>
    <xf numFmtId="0" fontId="33" fillId="0" borderId="9">
      <alignment horizontal="left" vertical="center"/>
    </xf>
    <xf numFmtId="0" fontId="33" fillId="0" borderId="9">
      <alignment horizontal="left" vertical="center"/>
    </xf>
    <xf numFmtId="0" fontId="33" fillId="0" borderId="9">
      <alignment horizontal="left" vertical="center"/>
    </xf>
    <xf numFmtId="0" fontId="33" fillId="0" borderId="9">
      <alignment horizontal="left" vertical="center"/>
    </xf>
    <xf numFmtId="0" fontId="1" fillId="0" borderId="0">
      <alignment horizontal="left" vertical="center"/>
    </xf>
    <xf numFmtId="14" fontId="34" fillId="6" borderId="17">
      <alignment horizontal="center" vertical="center" wrapText="1"/>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1" fillId="0" borderId="0" applyFill="0" applyAlignment="0" applyProtection="0">
      <protection locked="0"/>
    </xf>
    <xf numFmtId="0" fontId="21" fillId="0" borderId="7" applyFill="0" applyAlignment="0" applyProtection="0">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0" fontId="32" fillId="7" borderId="14" applyNumberFormat="0" applyBorder="0" applyAlignment="0" applyProtection="0"/>
    <xf numFmtId="178" fontId="38"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38"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200" fontId="3" fillId="0" borderId="0" applyFont="0" applyFill="0" applyBorder="0" applyAlignment="0" applyProtection="0"/>
    <xf numFmtId="201" fontId="3" fillId="0" borderId="0" applyFont="0" applyFill="0" applyBorder="0" applyAlignment="0" applyProtection="0"/>
    <xf numFmtId="38" fontId="39" fillId="0" borderId="0" applyFont="0" applyFill="0" applyBorder="0" applyAlignment="0" applyProtection="0"/>
    <xf numFmtId="40" fontId="39" fillId="0" borderId="0" applyFont="0" applyFill="0" applyBorder="0" applyAlignment="0" applyProtection="0"/>
    <xf numFmtId="202" fontId="3" fillId="0" borderId="0" applyFont="0" applyFill="0" applyBorder="0" applyAlignment="0" applyProtection="0"/>
    <xf numFmtId="203" fontId="3" fillId="0" borderId="0" applyFont="0" applyFill="0" applyBorder="0" applyAlignment="0" applyProtection="0"/>
    <xf numFmtId="6" fontId="39" fillId="0" borderId="0" applyFont="0" applyFill="0" applyBorder="0" applyAlignment="0" applyProtection="0"/>
    <xf numFmtId="8" fontId="39" fillId="0" borderId="0" applyFont="0" applyFill="0" applyBorder="0" applyAlignment="0" applyProtection="0"/>
    <xf numFmtId="204" fontId="16" fillId="0" borderId="7"/>
    <xf numFmtId="37" fontId="40" fillId="0" borderId="0"/>
    <xf numFmtId="205" fontId="22" fillId="0" borderId="0"/>
    <xf numFmtId="205" fontId="1" fillId="0" borderId="0"/>
    <xf numFmtId="206" fontId="3" fillId="0" borderId="0"/>
    <xf numFmtId="207" fontId="3" fillId="0" borderId="0"/>
    <xf numFmtId="0" fontId="41" fillId="0" borderId="0"/>
    <xf numFmtId="0" fontId="41" fillId="0" borderId="0"/>
    <xf numFmtId="0" fontId="41" fillId="0" borderId="0"/>
    <xf numFmtId="0" fontId="41" fillId="0" borderId="0"/>
    <xf numFmtId="0" fontId="3" fillId="0" borderId="0"/>
    <xf numFmtId="0" fontId="3" fillId="0" borderId="0"/>
    <xf numFmtId="0" fontId="1" fillId="0" borderId="0"/>
    <xf numFmtId="0" fontId="3" fillId="0" borderId="0"/>
    <xf numFmtId="0" fontId="3" fillId="0" borderId="0">
      <alignment wrapText="1"/>
    </xf>
    <xf numFmtId="0" fontId="3" fillId="0" borderId="0"/>
    <xf numFmtId="0" fontId="42" fillId="0" borderId="0"/>
    <xf numFmtId="0" fontId="3" fillId="0" borderId="0"/>
    <xf numFmtId="0" fontId="3" fillId="0" borderId="0"/>
    <xf numFmtId="37" fontId="43" fillId="0" borderId="0"/>
    <xf numFmtId="0" fontId="1" fillId="0" borderId="0"/>
    <xf numFmtId="0" fontId="1" fillId="0" borderId="0"/>
    <xf numFmtId="0" fontId="3" fillId="0" borderId="0">
      <alignment wrapText="1"/>
    </xf>
    <xf numFmtId="0" fontId="3" fillId="0" borderId="0"/>
    <xf numFmtId="37" fontId="43" fillId="0" borderId="0"/>
    <xf numFmtId="0" fontId="3" fillId="0" borderId="0"/>
    <xf numFmtId="37" fontId="43" fillId="0" borderId="0"/>
    <xf numFmtId="0" fontId="1" fillId="0" borderId="0"/>
    <xf numFmtId="0" fontId="23" fillId="0" borderId="0"/>
    <xf numFmtId="37" fontId="1" fillId="0" borderId="0"/>
    <xf numFmtId="0" fontId="1" fillId="0" borderId="0"/>
    <xf numFmtId="37" fontId="1" fillId="0" borderId="0"/>
    <xf numFmtId="0" fontId="3" fillId="0" borderId="0">
      <alignment wrapText="1"/>
    </xf>
    <xf numFmtId="37" fontId="44" fillId="0" borderId="0"/>
    <xf numFmtId="0" fontId="3" fillId="0" borderId="0"/>
    <xf numFmtId="37" fontId="3" fillId="0" borderId="0"/>
    <xf numFmtId="37" fontId="3" fillId="0" borderId="0"/>
    <xf numFmtId="208" fontId="3" fillId="0" borderId="0"/>
    <xf numFmtId="209" fontId="3" fillId="0" borderId="0"/>
    <xf numFmtId="39" fontId="3" fillId="0" borderId="0"/>
    <xf numFmtId="39" fontId="3" fillId="0" borderId="0"/>
    <xf numFmtId="210" fontId="3" fillId="0" borderId="0"/>
    <xf numFmtId="211" fontId="3" fillId="0" borderId="0"/>
    <xf numFmtId="212" fontId="3" fillId="0" borderId="0"/>
    <xf numFmtId="213" fontId="3" fillId="0" borderId="0"/>
    <xf numFmtId="214" fontId="3" fillId="0" borderId="0"/>
    <xf numFmtId="215" fontId="3" fillId="0" borderId="0"/>
    <xf numFmtId="216" fontId="3" fillId="0" borderId="0"/>
    <xf numFmtId="217" fontId="39" fillId="0" borderId="0"/>
    <xf numFmtId="218" fontId="28" fillId="0" borderId="0">
      <protection hidden="1"/>
    </xf>
    <xf numFmtId="185" fontId="3" fillId="0" borderId="0" applyFont="0" applyFill="0" applyBorder="0" applyAlignment="0" applyProtection="0"/>
    <xf numFmtId="186"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10" fontId="3" fillId="0" borderId="0" applyFont="0" applyFill="0" applyBorder="0" applyAlignment="0" applyProtection="0"/>
    <xf numFmtId="9" fontId="45"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39" fillId="0" borderId="19" applyNumberFormat="0" applyBorder="0"/>
    <xf numFmtId="204" fontId="16" fillId="0" borderId="0"/>
    <xf numFmtId="0" fontId="46" fillId="8" borderId="20" applyNumberFormat="0" applyFont="0" applyFill="0" applyAlignment="0">
      <alignment horizontal="center" vertical="center"/>
    </xf>
    <xf numFmtId="178" fontId="47" fillId="0" borderId="0" applyFill="0" applyBorder="0" applyAlignment="0"/>
    <xf numFmtId="187" fontId="3" fillId="0" borderId="0" applyFill="0" applyBorder="0" applyAlignment="0"/>
    <xf numFmtId="180" fontId="3" fillId="0" borderId="0" applyFill="0" applyBorder="0" applyAlignment="0"/>
    <xf numFmtId="164" fontId="3" fillId="0" borderId="0" applyFill="0" applyBorder="0" applyAlignment="0"/>
    <xf numFmtId="178" fontId="47" fillId="0" borderId="0" applyFill="0" applyBorder="0" applyAlignment="0"/>
    <xf numFmtId="187" fontId="3" fillId="0" borderId="0" applyFill="0" applyBorder="0" applyAlignment="0"/>
    <xf numFmtId="188" fontId="3" fillId="0" borderId="0" applyFill="0" applyBorder="0" applyAlignment="0"/>
    <xf numFmtId="189" fontId="3" fillId="0" borderId="0" applyFill="0" applyBorder="0" applyAlignment="0"/>
    <xf numFmtId="180" fontId="3" fillId="0" borderId="0" applyFill="0" applyBorder="0" applyAlignment="0"/>
    <xf numFmtId="164" fontId="3" fillId="0" borderId="0" applyFill="0" applyBorder="0" applyAlignment="0"/>
    <xf numFmtId="37" fontId="43" fillId="0" borderId="21"/>
    <xf numFmtId="0" fontId="48" fillId="0" borderId="0"/>
    <xf numFmtId="0" fontId="22" fillId="0" borderId="0"/>
    <xf numFmtId="0" fontId="39" fillId="0" borderId="0"/>
    <xf numFmtId="37" fontId="49" fillId="0" borderId="17">
      <alignment horizontal="right"/>
      <protection locked="0"/>
    </xf>
    <xf numFmtId="37" fontId="50" fillId="0" borderId="17">
      <alignment horizontal="right"/>
      <protection locked="0"/>
    </xf>
    <xf numFmtId="49" fontId="20" fillId="0" borderId="0" applyFill="0" applyBorder="0" applyAlignment="0"/>
    <xf numFmtId="219" fontId="3" fillId="0" borderId="0" applyFill="0" applyBorder="0" applyAlignment="0"/>
    <xf numFmtId="220" fontId="3" fillId="0" borderId="0" applyFill="0" applyBorder="0" applyAlignment="0"/>
    <xf numFmtId="221" fontId="3" fillId="0" borderId="0" applyFill="0" applyBorder="0" applyAlignment="0"/>
    <xf numFmtId="222" fontId="3" fillId="0" borderId="0" applyFill="0" applyBorder="0" applyAlignment="0"/>
    <xf numFmtId="49" fontId="3" fillId="0" borderId="0"/>
    <xf numFmtId="0" fontId="51" fillId="0" borderId="0" applyFill="0" applyBorder="0" applyProtection="0">
      <alignment horizontal="left" vertical="top"/>
    </xf>
    <xf numFmtId="40" fontId="52"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37" fontId="43" fillId="0" borderId="7"/>
    <xf numFmtId="37" fontId="43" fillId="0" borderId="22"/>
    <xf numFmtId="223" fontId="3" fillId="0" borderId="0" applyFont="0" applyFill="0" applyBorder="0" applyAlignment="0" applyProtection="0"/>
    <xf numFmtId="224" fontId="3" fillId="0" borderId="0" applyFont="0" applyFill="0" applyBorder="0" applyAlignment="0" applyProtection="0"/>
    <xf numFmtId="0" fontId="3" fillId="0" borderId="0"/>
    <xf numFmtId="0" fontId="3" fillId="0" borderId="0"/>
    <xf numFmtId="0" fontId="3" fillId="0" borderId="0"/>
    <xf numFmtId="0" fontId="3" fillId="0" borderId="0"/>
    <xf numFmtId="14" fontId="34" fillId="6" borderId="46">
      <alignment horizontal="center" vertical="center" wrapText="1"/>
    </xf>
    <xf numFmtId="196" fontId="28" fillId="0" borderId="46">
      <protection hidden="1"/>
    </xf>
    <xf numFmtId="196" fontId="28" fillId="0" borderId="46">
      <protection hidden="1"/>
    </xf>
    <xf numFmtId="37" fontId="49" fillId="0" borderId="46">
      <alignment horizontal="right"/>
      <protection locked="0"/>
    </xf>
    <xf numFmtId="37" fontId="50" fillId="0" borderId="46">
      <alignment horizontal="right"/>
      <protection locked="0"/>
    </xf>
  </cellStyleXfs>
  <cellXfs count="638">
    <xf numFmtId="0" fontId="0" fillId="0" borderId="0" xfId="0"/>
    <xf numFmtId="165" fontId="0" fillId="0" borderId="0" xfId="1" applyNumberFormat="1" applyFont="1"/>
    <xf numFmtId="166" fontId="0" fillId="0" borderId="0" xfId="2" applyNumberFormat="1" applyFont="1"/>
    <xf numFmtId="164" fontId="4" fillId="0" borderId="0" xfId="1" applyNumberFormat="1" applyFont="1" applyAlignment="1">
      <alignment horizontal="right"/>
    </xf>
    <xf numFmtId="0" fontId="4" fillId="0" borderId="0" xfId="0" applyFont="1"/>
    <xf numFmtId="0" fontId="0" fillId="0" borderId="0" xfId="0" applyAlignment="1">
      <alignment wrapText="1"/>
    </xf>
    <xf numFmtId="0" fontId="2" fillId="0" borderId="0" xfId="0" applyFont="1" applyAlignment="1">
      <alignment horizontal="left"/>
    </xf>
    <xf numFmtId="0" fontId="0" fillId="0" borderId="0" xfId="0" applyAlignment="1">
      <alignment horizontal="center" textRotation="90"/>
    </xf>
    <xf numFmtId="164" fontId="6" fillId="0" borderId="0" xfId="1" quotePrefix="1" applyNumberFormat="1" applyFont="1" applyAlignment="1">
      <alignment horizontal="left"/>
    </xf>
    <xf numFmtId="164" fontId="6" fillId="0" borderId="0" xfId="1" quotePrefix="1" applyNumberFormat="1" applyFont="1" applyAlignment="1">
      <alignment horizontal="right"/>
    </xf>
    <xf numFmtId="164" fontId="0" fillId="0" borderId="0" xfId="1" applyNumberFormat="1" applyFont="1"/>
    <xf numFmtId="0" fontId="4" fillId="0" borderId="0" xfId="0" applyFont="1" applyAlignment="1">
      <alignment horizontal="right"/>
    </xf>
    <xf numFmtId="43" fontId="4" fillId="0" borderId="0" xfId="1" applyFont="1" applyAlignment="1">
      <alignment horizontal="right"/>
    </xf>
    <xf numFmtId="165" fontId="4" fillId="0" borderId="0" xfId="1" applyNumberFormat="1" applyFont="1" applyAlignment="1">
      <alignment horizontal="right"/>
    </xf>
    <xf numFmtId="9" fontId="4" fillId="0" borderId="0" xfId="2" applyFont="1" applyAlignment="1">
      <alignment horizontal="right"/>
    </xf>
    <xf numFmtId="165" fontId="4" fillId="0" borderId="5" xfId="1" applyNumberFormat="1" applyFont="1" applyBorder="1" applyAlignment="1">
      <alignment horizontal="right"/>
    </xf>
    <xf numFmtId="164" fontId="55" fillId="0" borderId="0" xfId="1" quotePrefix="1" applyNumberFormat="1" applyFont="1" applyAlignment="1">
      <alignment horizontal="right"/>
    </xf>
    <xf numFmtId="164" fontId="55" fillId="0" borderId="5" xfId="1" quotePrefix="1" applyNumberFormat="1" applyFont="1" applyBorder="1" applyAlignment="1">
      <alignment horizontal="right"/>
    </xf>
    <xf numFmtId="165" fontId="4" fillId="0" borderId="5" xfId="1" quotePrefix="1" applyNumberFormat="1" applyFont="1" applyBorder="1" applyAlignment="1">
      <alignment horizontal="right"/>
    </xf>
    <xf numFmtId="0" fontId="4" fillId="0" borderId="0" xfId="0" applyFont="1" applyAlignment="1">
      <alignment horizontal="left"/>
    </xf>
    <xf numFmtId="0" fontId="54" fillId="0" borderId="0" xfId="0" applyFont="1"/>
    <xf numFmtId="9" fontId="4" fillId="0" borderId="5" xfId="2" applyFont="1" applyBorder="1" applyAlignment="1">
      <alignment horizontal="right"/>
    </xf>
    <xf numFmtId="164" fontId="54" fillId="0" borderId="0" xfId="1" quotePrefix="1" applyNumberFormat="1" applyFont="1" applyAlignment="1">
      <alignment horizontal="right"/>
    </xf>
    <xf numFmtId="43" fontId="54" fillId="0" borderId="0" xfId="1" quotePrefix="1" applyFont="1" applyAlignment="1">
      <alignment horizontal="right"/>
    </xf>
    <xf numFmtId="165" fontId="4" fillId="0" borderId="31" xfId="1" applyNumberFormat="1" applyFont="1" applyBorder="1" applyAlignment="1">
      <alignment horizontal="right"/>
    </xf>
    <xf numFmtId="165" fontId="4" fillId="0" borderId="32" xfId="1" applyNumberFormat="1" applyFont="1" applyBorder="1" applyAlignment="1">
      <alignment horizontal="right"/>
    </xf>
    <xf numFmtId="164" fontId="4" fillId="0" borderId="5" xfId="1" quotePrefix="1" applyNumberFormat="1" applyFont="1" applyBorder="1" applyAlignment="1">
      <alignment horizontal="right"/>
    </xf>
    <xf numFmtId="165" fontId="4" fillId="0" borderId="2" xfId="1" applyNumberFormat="1" applyFont="1" applyBorder="1" applyAlignment="1">
      <alignment horizontal="right"/>
    </xf>
    <xf numFmtId="164" fontId="4" fillId="0" borderId="4" xfId="1" applyNumberFormat="1" applyFont="1" applyBorder="1" applyAlignment="1">
      <alignment horizontal="right"/>
    </xf>
    <xf numFmtId="0" fontId="4" fillId="0" borderId="0" xfId="0" applyFont="1" applyAlignment="1">
      <alignment vertical="top" wrapText="1"/>
    </xf>
    <xf numFmtId="164" fontId="53" fillId="3" borderId="0" xfId="1" quotePrefix="1" applyNumberFormat="1" applyFont="1" applyFill="1" applyAlignment="1">
      <alignment horizontal="right"/>
    </xf>
    <xf numFmtId="164" fontId="57" fillId="2" borderId="2" xfId="1" quotePrefix="1" applyNumberFormat="1" applyFont="1" applyFill="1" applyBorder="1" applyAlignment="1">
      <alignment horizontal="right"/>
    </xf>
    <xf numFmtId="164" fontId="58" fillId="2" borderId="0" xfId="1" quotePrefix="1" applyNumberFormat="1" applyFont="1" applyFill="1" applyAlignment="1">
      <alignment horizontal="right"/>
    </xf>
    <xf numFmtId="164" fontId="2" fillId="3" borderId="2" xfId="1" quotePrefix="1" applyNumberFormat="1" applyFont="1" applyFill="1" applyBorder="1" applyAlignment="1">
      <alignment horizontal="right"/>
    </xf>
    <xf numFmtId="165" fontId="61" fillId="0" borderId="0" xfId="1" applyNumberFormat="1" applyFont="1" applyAlignment="1">
      <alignment horizontal="right"/>
    </xf>
    <xf numFmtId="165" fontId="61" fillId="0" borderId="5" xfId="1" applyNumberFormat="1" applyFont="1" applyBorder="1" applyAlignment="1">
      <alignment horizontal="right"/>
    </xf>
    <xf numFmtId="0" fontId="4" fillId="0" borderId="4" xfId="0" applyFont="1" applyBorder="1"/>
    <xf numFmtId="165" fontId="63" fillId="0" borderId="0" xfId="1" applyNumberFormat="1" applyFont="1" applyAlignment="1">
      <alignment horizontal="right"/>
    </xf>
    <xf numFmtId="165" fontId="63" fillId="0" borderId="5" xfId="1" applyNumberFormat="1" applyFont="1" applyBorder="1" applyAlignment="1">
      <alignment horizontal="right"/>
    </xf>
    <xf numFmtId="0" fontId="62" fillId="0" borderId="4" xfId="0" applyFont="1" applyBorder="1"/>
    <xf numFmtId="0" fontId="62" fillId="0" borderId="0" xfId="0" applyFont="1"/>
    <xf numFmtId="165" fontId="62" fillId="0" borderId="0" xfId="1" applyNumberFormat="1" applyFont="1" applyAlignment="1">
      <alignment horizontal="right"/>
    </xf>
    <xf numFmtId="165" fontId="62" fillId="0" borderId="5" xfId="1" applyNumberFormat="1" applyFont="1" applyBorder="1" applyAlignment="1">
      <alignment horizontal="right"/>
    </xf>
    <xf numFmtId="0" fontId="61" fillId="0" borderId="0" xfId="0" applyFont="1"/>
    <xf numFmtId="43" fontId="62" fillId="0" borderId="0" xfId="1" applyFont="1" applyAlignment="1">
      <alignment horizontal="right"/>
    </xf>
    <xf numFmtId="43" fontId="62" fillId="0" borderId="5" xfId="1" applyFont="1" applyBorder="1" applyAlignment="1">
      <alignment horizontal="right"/>
    </xf>
    <xf numFmtId="43" fontId="61" fillId="0" borderId="0" xfId="1" applyFont="1" applyAlignment="1">
      <alignment horizontal="right"/>
    </xf>
    <xf numFmtId="165" fontId="61" fillId="0" borderId="0" xfId="1" quotePrefix="1" applyNumberFormat="1" applyFont="1" applyAlignment="1">
      <alignment horizontal="right"/>
    </xf>
    <xf numFmtId="165" fontId="62" fillId="0" borderId="7" xfId="1" applyNumberFormat="1" applyFont="1" applyBorder="1" applyAlignment="1">
      <alignment horizontal="right"/>
    </xf>
    <xf numFmtId="166" fontId="61" fillId="0" borderId="0" xfId="2" quotePrefix="1" applyNumberFormat="1" applyFont="1" applyAlignment="1">
      <alignment horizontal="right"/>
    </xf>
    <xf numFmtId="165" fontId="61" fillId="0" borderId="5" xfId="1" quotePrefix="1" applyNumberFormat="1" applyFont="1" applyBorder="1" applyAlignment="1">
      <alignment horizontal="right"/>
    </xf>
    <xf numFmtId="166" fontId="61" fillId="9" borderId="0" xfId="2" quotePrefix="1" applyNumberFormat="1" applyFont="1" applyFill="1" applyAlignment="1">
      <alignment horizontal="right"/>
    </xf>
    <xf numFmtId="9" fontId="61" fillId="0" borderId="0" xfId="2" quotePrefix="1" applyFont="1" applyAlignment="1">
      <alignment horizontal="right"/>
    </xf>
    <xf numFmtId="166" fontId="61" fillId="0" borderId="0" xfId="2" applyNumberFormat="1" applyFont="1" applyAlignment="1">
      <alignment horizontal="right"/>
    </xf>
    <xf numFmtId="9" fontId="61" fillId="0" borderId="5" xfId="2" applyFont="1" applyBorder="1" applyAlignment="1">
      <alignment horizontal="right"/>
    </xf>
    <xf numFmtId="166" fontId="61" fillId="0" borderId="5" xfId="2" applyNumberFormat="1" applyFont="1" applyBorder="1" applyAlignment="1">
      <alignment horizontal="right"/>
    </xf>
    <xf numFmtId="9" fontId="61" fillId="0" borderId="0" xfId="2" applyFont="1" applyAlignment="1">
      <alignment horizontal="right"/>
    </xf>
    <xf numFmtId="0" fontId="61" fillId="0" borderId="3" xfId="0" applyFont="1" applyBorder="1"/>
    <xf numFmtId="164" fontId="61" fillId="0" borderId="0" xfId="1" quotePrefix="1" applyNumberFormat="1" applyFont="1" applyAlignment="1">
      <alignment horizontal="right"/>
    </xf>
    <xf numFmtId="164" fontId="61" fillId="0" borderId="5" xfId="1" quotePrefix="1" applyNumberFormat="1" applyFont="1" applyBorder="1" applyAlignment="1">
      <alignment horizontal="right"/>
    </xf>
    <xf numFmtId="164" fontId="61" fillId="9" borderId="0" xfId="1" quotePrefix="1" applyNumberFormat="1" applyFont="1" applyFill="1" applyAlignment="1">
      <alignment horizontal="right"/>
    </xf>
    <xf numFmtId="165" fontId="63" fillId="9" borderId="0" xfId="1" applyNumberFormat="1" applyFont="1" applyFill="1" applyAlignment="1">
      <alignment horizontal="right"/>
    </xf>
    <xf numFmtId="9" fontId="61" fillId="0" borderId="5" xfId="2" quotePrefix="1" applyFont="1" applyBorder="1" applyAlignment="1">
      <alignment horizontal="right"/>
    </xf>
    <xf numFmtId="165" fontId="61" fillId="9" borderId="0" xfId="1" applyNumberFormat="1" applyFont="1" applyFill="1" applyAlignment="1">
      <alignment horizontal="right"/>
    </xf>
    <xf numFmtId="9" fontId="61" fillId="9" borderId="0" xfId="2" applyFont="1" applyFill="1" applyAlignment="1">
      <alignment horizontal="right"/>
    </xf>
    <xf numFmtId="166" fontId="61" fillId="9" borderId="0" xfId="2" applyNumberFormat="1" applyFont="1" applyFill="1" applyAlignment="1">
      <alignment horizontal="right"/>
    </xf>
    <xf numFmtId="165" fontId="54" fillId="0" borderId="9" xfId="1" applyNumberFormat="1" applyFont="1" applyBorder="1" applyAlignment="1">
      <alignment horizontal="right"/>
    </xf>
    <xf numFmtId="7" fontId="61" fillId="0" borderId="0" xfId="1" applyNumberFormat="1" applyFont="1" applyAlignment="1">
      <alignment horizontal="right"/>
    </xf>
    <xf numFmtId="7" fontId="4" fillId="0" borderId="5" xfId="1" applyNumberFormat="1" applyFont="1" applyBorder="1" applyAlignment="1">
      <alignment horizontal="right"/>
    </xf>
    <xf numFmtId="7" fontId="61" fillId="9" borderId="0" xfId="1" applyNumberFormat="1" applyFont="1" applyFill="1" applyAlignment="1">
      <alignment horizontal="right"/>
    </xf>
    <xf numFmtId="9" fontId="61" fillId="9" borderId="4" xfId="2" applyFont="1" applyFill="1" applyBorder="1" applyAlignment="1">
      <alignment horizontal="right"/>
    </xf>
    <xf numFmtId="43" fontId="61" fillId="0" borderId="7" xfId="1" applyFont="1" applyBorder="1" applyAlignment="1">
      <alignment horizontal="right"/>
    </xf>
    <xf numFmtId="43" fontId="61" fillId="0" borderId="8" xfId="1" applyFont="1" applyBorder="1" applyAlignment="1">
      <alignment horizontal="right"/>
    </xf>
    <xf numFmtId="165" fontId="61" fillId="0" borderId="8" xfId="1" applyNumberFormat="1" applyFont="1" applyBorder="1" applyAlignment="1">
      <alignment horizontal="right"/>
    </xf>
    <xf numFmtId="0" fontId="4" fillId="0" borderId="4" xfId="0" applyFont="1" applyBorder="1" applyAlignment="1">
      <alignment horizontal="left"/>
    </xf>
    <xf numFmtId="0" fontId="64" fillId="11" borderId="4" xfId="0" applyFont="1" applyFill="1" applyBorder="1" applyAlignment="1">
      <alignment horizontal="left"/>
    </xf>
    <xf numFmtId="0" fontId="61" fillId="0" borderId="25" xfId="0" applyFont="1" applyBorder="1" applyAlignment="1">
      <alignment horizontal="left"/>
    </xf>
    <xf numFmtId="0" fontId="61" fillId="0" borderId="26" xfId="0" applyFont="1" applyBorder="1" applyAlignment="1">
      <alignment horizontal="left"/>
    </xf>
    <xf numFmtId="0" fontId="61" fillId="0" borderId="3" xfId="0" applyFont="1" applyBorder="1" applyAlignment="1">
      <alignment horizontal="left" indent="2"/>
    </xf>
    <xf numFmtId="166" fontId="61" fillId="0" borderId="5" xfId="2" quotePrefix="1" applyNumberFormat="1" applyFont="1" applyBorder="1" applyAlignment="1">
      <alignment horizontal="right"/>
    </xf>
    <xf numFmtId="165" fontId="62" fillId="11" borderId="0" xfId="1" applyNumberFormat="1" applyFont="1" applyFill="1" applyAlignment="1">
      <alignment horizontal="right"/>
    </xf>
    <xf numFmtId="165" fontId="61" fillId="11" borderId="0" xfId="1" applyNumberFormat="1" applyFont="1" applyFill="1" applyAlignment="1">
      <alignment horizontal="right"/>
    </xf>
    <xf numFmtId="165" fontId="61" fillId="11" borderId="5" xfId="1" applyNumberFormat="1" applyFont="1" applyFill="1" applyBorder="1" applyAlignment="1">
      <alignment horizontal="right"/>
    </xf>
    <xf numFmtId="165" fontId="61" fillId="11" borderId="30" xfId="1" applyNumberFormat="1" applyFont="1" applyFill="1" applyBorder="1" applyAlignment="1">
      <alignment horizontal="right"/>
    </xf>
    <xf numFmtId="165" fontId="61" fillId="11" borderId="29" xfId="1" applyNumberFormat="1" applyFont="1" applyFill="1" applyBorder="1" applyAlignment="1">
      <alignment horizontal="right"/>
    </xf>
    <xf numFmtId="164" fontId="57" fillId="2" borderId="33" xfId="1" quotePrefix="1" applyNumberFormat="1" applyFont="1" applyFill="1" applyBorder="1" applyAlignment="1">
      <alignment horizontal="right"/>
    </xf>
    <xf numFmtId="164" fontId="58" fillId="2" borderId="5" xfId="1" quotePrefix="1" applyNumberFormat="1" applyFont="1" applyFill="1" applyBorder="1" applyAlignment="1">
      <alignment horizontal="right"/>
    </xf>
    <xf numFmtId="9" fontId="61" fillId="0" borderId="8" xfId="2" quotePrefix="1" applyFont="1" applyBorder="1" applyAlignment="1">
      <alignment horizontal="right"/>
    </xf>
    <xf numFmtId="164" fontId="2" fillId="3" borderId="33" xfId="1" quotePrefix="1" applyNumberFormat="1" applyFont="1" applyFill="1" applyBorder="1" applyAlignment="1">
      <alignment horizontal="right"/>
    </xf>
    <xf numFmtId="164" fontId="53" fillId="3" borderId="5" xfId="1" quotePrefix="1" applyNumberFormat="1" applyFont="1" applyFill="1" applyBorder="1" applyAlignment="1">
      <alignment horizontal="right"/>
    </xf>
    <xf numFmtId="0" fontId="67" fillId="0" borderId="3" xfId="0" applyFont="1" applyBorder="1"/>
    <xf numFmtId="0" fontId="65" fillId="0" borderId="3" xfId="0" applyFont="1" applyBorder="1"/>
    <xf numFmtId="165" fontId="66" fillId="0" borderId="13" xfId="1" applyNumberFormat="1" applyFont="1" applyBorder="1" applyAlignment="1">
      <alignment horizontal="right"/>
    </xf>
    <xf numFmtId="43" fontId="65" fillId="0" borderId="4" xfId="1" applyFont="1" applyBorder="1" applyAlignment="1">
      <alignment horizontal="right"/>
    </xf>
    <xf numFmtId="166" fontId="65" fillId="9" borderId="4" xfId="1" applyNumberFormat="1" applyFont="1" applyFill="1" applyBorder="1" applyAlignment="1">
      <alignment horizontal="right"/>
    </xf>
    <xf numFmtId="166" fontId="66" fillId="0" borderId="4" xfId="2" applyNumberFormat="1" applyFont="1" applyBorder="1" applyAlignment="1">
      <alignment horizontal="right"/>
    </xf>
    <xf numFmtId="10" fontId="65" fillId="9" borderId="4" xfId="2" applyNumberFormat="1" applyFont="1" applyFill="1" applyBorder="1" applyAlignment="1">
      <alignment horizontal="right"/>
    </xf>
    <xf numFmtId="166" fontId="61" fillId="0" borderId="4" xfId="2" applyNumberFormat="1" applyFont="1" applyBorder="1" applyAlignment="1">
      <alignment horizontal="right"/>
    </xf>
    <xf numFmtId="166" fontId="62" fillId="0" borderId="13" xfId="2" applyNumberFormat="1" applyFont="1" applyBorder="1" applyAlignment="1">
      <alignment horizontal="right"/>
    </xf>
    <xf numFmtId="0" fontId="66" fillId="0" borderId="12" xfId="0" applyFont="1" applyBorder="1" applyAlignment="1">
      <alignment horizontal="left" indent="1"/>
    </xf>
    <xf numFmtId="0" fontId="66" fillId="0" borderId="3" xfId="0" applyFont="1" applyBorder="1" applyAlignment="1">
      <alignment horizontal="left" indent="1"/>
    </xf>
    <xf numFmtId="0" fontId="62" fillId="0" borderId="12" xfId="0" applyFont="1" applyBorder="1" applyAlignment="1">
      <alignment horizontal="left" indent="1"/>
    </xf>
    <xf numFmtId="166" fontId="66" fillId="0" borderId="13" xfId="2" applyNumberFormat="1" applyFont="1" applyBorder="1" applyAlignment="1">
      <alignment horizontal="right"/>
    </xf>
    <xf numFmtId="0" fontId="64" fillId="0" borderId="3" xfId="0" applyFont="1" applyBorder="1"/>
    <xf numFmtId="166" fontId="61" fillId="0" borderId="8" xfId="2" quotePrefix="1" applyNumberFormat="1" applyFont="1" applyBorder="1" applyAlignment="1">
      <alignment horizontal="right"/>
    </xf>
    <xf numFmtId="5" fontId="64" fillId="0" borderId="4" xfId="1" applyNumberFormat="1" applyFont="1" applyBorder="1" applyAlignment="1">
      <alignment horizontal="right"/>
    </xf>
    <xf numFmtId="165" fontId="61" fillId="0" borderId="4" xfId="1" applyNumberFormat="1" applyFont="1" applyBorder="1" applyAlignment="1">
      <alignment horizontal="right"/>
    </xf>
    <xf numFmtId="167" fontId="61" fillId="0" borderId="0" xfId="1" applyNumberFormat="1" applyFont="1" applyAlignment="1">
      <alignment horizontal="right"/>
    </xf>
    <xf numFmtId="166" fontId="61" fillId="0" borderId="0" xfId="1" applyNumberFormat="1" applyFont="1" applyAlignment="1">
      <alignment horizontal="right"/>
    </xf>
    <xf numFmtId="5" fontId="62" fillId="0" borderId="4" xfId="1" applyNumberFormat="1" applyFont="1" applyBorder="1" applyAlignment="1">
      <alignment horizontal="right"/>
    </xf>
    <xf numFmtId="5" fontId="62" fillId="0" borderId="24" xfId="1" applyNumberFormat="1" applyFont="1" applyBorder="1" applyAlignment="1">
      <alignment horizontal="right"/>
    </xf>
    <xf numFmtId="0" fontId="62" fillId="0" borderId="1" xfId="0" applyFont="1" applyBorder="1" applyAlignment="1">
      <alignment horizontal="left"/>
    </xf>
    <xf numFmtId="5" fontId="62" fillId="0" borderId="11" xfId="1" applyNumberFormat="1" applyFont="1" applyBorder="1" applyAlignment="1">
      <alignment horizontal="right"/>
    </xf>
    <xf numFmtId="0" fontId="61" fillId="0" borderId="1" xfId="0" applyFont="1" applyBorder="1"/>
    <xf numFmtId="5" fontId="61" fillId="0" borderId="4" xfId="1" applyNumberFormat="1" applyFont="1" applyBorder="1" applyAlignment="1">
      <alignment horizontal="right"/>
    </xf>
    <xf numFmtId="10" fontId="61" fillId="9" borderId="11" xfId="1" applyNumberFormat="1" applyFont="1" applyFill="1" applyBorder="1" applyAlignment="1">
      <alignment horizontal="right"/>
    </xf>
    <xf numFmtId="10" fontId="61" fillId="9" borderId="4" xfId="2" applyNumberFormat="1" applyFont="1" applyFill="1" applyBorder="1" applyAlignment="1">
      <alignment horizontal="right"/>
    </xf>
    <xf numFmtId="165" fontId="61" fillId="0" borderId="0" xfId="1" applyNumberFormat="1" applyFont="1" applyAlignment="1">
      <alignment horizontal="left"/>
    </xf>
    <xf numFmtId="43" fontId="61" fillId="0" borderId="0" xfId="1" applyFont="1" applyAlignment="1">
      <alignment horizontal="left"/>
    </xf>
    <xf numFmtId="0" fontId="2" fillId="0" borderId="0" xfId="0" applyFont="1"/>
    <xf numFmtId="164" fontId="6" fillId="2" borderId="34" xfId="1" quotePrefix="1" applyNumberFormat="1" applyFont="1" applyFill="1" applyBorder="1" applyAlignment="1">
      <alignment horizontal="center" vertical="center" wrapText="1"/>
    </xf>
    <xf numFmtId="0" fontId="0" fillId="0" borderId="40" xfId="0" applyBorder="1"/>
    <xf numFmtId="0" fontId="0" fillId="0" borderId="41" xfId="0" applyBorder="1"/>
    <xf numFmtId="0" fontId="0" fillId="0" borderId="38" xfId="0" applyBorder="1"/>
    <xf numFmtId="10" fontId="0" fillId="0" borderId="0" xfId="2" applyNumberFormat="1" applyFont="1"/>
    <xf numFmtId="10" fontId="0" fillId="0" borderId="0" xfId="0" applyNumberFormat="1"/>
    <xf numFmtId="10" fontId="0" fillId="0" borderId="38" xfId="0" applyNumberFormat="1" applyBorder="1"/>
    <xf numFmtId="0" fontId="0" fillId="0" borderId="36" xfId="0" applyBorder="1"/>
    <xf numFmtId="0" fontId="2" fillId="0" borderId="0" xfId="0" applyFont="1" applyAlignment="1">
      <alignment horizontal="right"/>
    </xf>
    <xf numFmtId="0" fontId="0" fillId="12" borderId="0" xfId="0" applyFill="1"/>
    <xf numFmtId="0" fontId="2" fillId="12" borderId="0" xfId="0" applyFont="1" applyFill="1" applyAlignment="1">
      <alignment horizontal="right"/>
    </xf>
    <xf numFmtId="10" fontId="2" fillId="12" borderId="41" xfId="2" applyNumberFormat="1" applyFont="1" applyFill="1" applyBorder="1"/>
    <xf numFmtId="43" fontId="65" fillId="9" borderId="4" xfId="1" applyFont="1" applyFill="1" applyBorder="1" applyAlignment="1">
      <alignment horizontal="right"/>
    </xf>
    <xf numFmtId="227" fontId="0" fillId="0" borderId="41" xfId="0" applyNumberFormat="1" applyBorder="1"/>
    <xf numFmtId="227" fontId="0" fillId="0" borderId="39" xfId="0" applyNumberFormat="1" applyBorder="1"/>
    <xf numFmtId="0" fontId="70" fillId="0" borderId="0" xfId="0" applyFont="1" applyAlignment="1">
      <alignment horizontal="right"/>
    </xf>
    <xf numFmtId="166" fontId="61" fillId="0" borderId="0" xfId="2" applyNumberFormat="1" applyFont="1" applyAlignment="1">
      <alignment horizontal="left"/>
    </xf>
    <xf numFmtId="9" fontId="61" fillId="0" borderId="0" xfId="1" applyNumberFormat="1" applyFont="1" applyAlignment="1">
      <alignment horizontal="left"/>
    </xf>
    <xf numFmtId="227" fontId="2" fillId="0" borderId="41" xfId="0" applyNumberFormat="1" applyFont="1" applyBorder="1"/>
    <xf numFmtId="0" fontId="0" fillId="0" borderId="37" xfId="0" applyBorder="1"/>
    <xf numFmtId="0" fontId="62" fillId="0" borderId="6" xfId="0" applyFont="1" applyBorder="1"/>
    <xf numFmtId="43" fontId="63" fillId="0" borderId="4" xfId="1" quotePrefix="1" applyFont="1" applyBorder="1" applyAlignment="1">
      <alignment horizontal="right"/>
    </xf>
    <xf numFmtId="0" fontId="61" fillId="0" borderId="6" xfId="0" applyFont="1" applyBorder="1"/>
    <xf numFmtId="6" fontId="61" fillId="0" borderId="10" xfId="0" applyNumberFormat="1" applyFont="1" applyBorder="1"/>
    <xf numFmtId="0" fontId="61" fillId="0" borderId="4" xfId="0" applyFont="1" applyBorder="1"/>
    <xf numFmtId="43" fontId="62" fillId="0" borderId="8" xfId="1" applyFont="1" applyBorder="1" applyAlignment="1">
      <alignment horizontal="right"/>
    </xf>
    <xf numFmtId="0" fontId="61" fillId="0" borderId="12" xfId="0" applyFont="1" applyBorder="1"/>
    <xf numFmtId="0" fontId="61" fillId="0" borderId="13" xfId="0" applyFont="1" applyBorder="1"/>
    <xf numFmtId="0" fontId="61" fillId="11" borderId="0" xfId="0" applyFont="1" applyFill="1" applyAlignment="1">
      <alignment horizontal="left"/>
    </xf>
    <xf numFmtId="166" fontId="61" fillId="9" borderId="7" xfId="2" applyNumberFormat="1" applyFont="1" applyFill="1" applyBorder="1" applyAlignment="1">
      <alignment horizontal="right"/>
    </xf>
    <xf numFmtId="166" fontId="61" fillId="9" borderId="7" xfId="2" quotePrefix="1" applyNumberFormat="1" applyFont="1" applyFill="1" applyBorder="1" applyAlignment="1">
      <alignment horizontal="right"/>
    </xf>
    <xf numFmtId="9" fontId="4" fillId="0" borderId="0" xfId="1" applyNumberFormat="1" applyFont="1"/>
    <xf numFmtId="9" fontId="61" fillId="9" borderId="0" xfId="2" quotePrefix="1" applyFont="1" applyFill="1" applyAlignment="1">
      <alignment horizontal="right"/>
    </xf>
    <xf numFmtId="225" fontId="62" fillId="0" borderId="10" xfId="1" applyNumberFormat="1" applyFont="1" applyBorder="1" applyAlignment="1">
      <alignment horizontal="right"/>
    </xf>
    <xf numFmtId="5" fontId="65" fillId="0" borderId="4" xfId="1" applyNumberFormat="1" applyFont="1" applyBorder="1" applyAlignment="1">
      <alignment horizontal="right"/>
    </xf>
    <xf numFmtId="165" fontId="68" fillId="0" borderId="4" xfId="1" applyNumberFormat="1" applyFont="1" applyBorder="1" applyAlignment="1">
      <alignment horizontal="right"/>
    </xf>
    <xf numFmtId="43" fontId="63" fillId="0" borderId="4" xfId="1" applyFont="1" applyBorder="1" applyAlignment="1">
      <alignment horizontal="right"/>
    </xf>
    <xf numFmtId="165" fontId="0" fillId="0" borderId="35" xfId="1" applyNumberFormat="1" applyFont="1" applyBorder="1"/>
    <xf numFmtId="10" fontId="0" fillId="0" borderId="35" xfId="2" applyNumberFormat="1" applyFont="1" applyBorder="1"/>
    <xf numFmtId="10" fontId="0" fillId="0" borderId="35" xfId="0" applyNumberFormat="1" applyBorder="1"/>
    <xf numFmtId="10" fontId="0" fillId="0" borderId="38" xfId="2" applyNumberFormat="1" applyFont="1" applyBorder="1"/>
    <xf numFmtId="166" fontId="61" fillId="9" borderId="4" xfId="2" applyNumberFormat="1" applyFont="1" applyFill="1" applyBorder="1" applyAlignment="1">
      <alignment horizontal="right"/>
    </xf>
    <xf numFmtId="165" fontId="71" fillId="0" borderId="0" xfId="1" applyNumberFormat="1" applyFont="1" applyAlignment="1">
      <alignment horizontal="right"/>
    </xf>
    <xf numFmtId="0" fontId="61" fillId="0" borderId="3" xfId="3" applyFont="1" applyBorder="1" applyAlignment="1">
      <alignment horizontal="left" vertical="top"/>
    </xf>
    <xf numFmtId="0" fontId="61" fillId="0" borderId="4" xfId="3" applyFont="1" applyBorder="1" applyAlignment="1">
      <alignment horizontal="left" vertical="top"/>
    </xf>
    <xf numFmtId="17" fontId="61" fillId="0" borderId="0" xfId="1" applyNumberFormat="1" applyFont="1" applyAlignment="1">
      <alignment horizontal="right" wrapText="1"/>
    </xf>
    <xf numFmtId="0" fontId="61" fillId="0" borderId="3" xfId="0" applyFont="1" applyBorder="1" applyAlignment="1">
      <alignment horizontal="left" indent="3"/>
    </xf>
    <xf numFmtId="0" fontId="62" fillId="0" borderId="3" xfId="0" applyFont="1" applyBorder="1" applyAlignment="1">
      <alignment horizontal="left" indent="4"/>
    </xf>
    <xf numFmtId="0" fontId="61" fillId="0" borderId="3" xfId="0" applyFont="1" applyBorder="1" applyAlignment="1">
      <alignment horizontal="left" indent="5"/>
    </xf>
    <xf numFmtId="164" fontId="61" fillId="0" borderId="0" xfId="1" applyNumberFormat="1" applyFont="1" applyAlignment="1">
      <alignment horizontal="right"/>
    </xf>
    <xf numFmtId="164" fontId="61" fillId="0" borderId="5" xfId="1" applyNumberFormat="1" applyFont="1" applyBorder="1" applyAlignment="1">
      <alignment horizontal="right"/>
    </xf>
    <xf numFmtId="164" fontId="62" fillId="0" borderId="0" xfId="1" applyNumberFormat="1" applyFont="1" applyAlignment="1">
      <alignment horizontal="right"/>
    </xf>
    <xf numFmtId="164" fontId="62" fillId="0" borderId="5" xfId="1" applyNumberFormat="1" applyFont="1" applyBorder="1" applyAlignment="1">
      <alignment horizontal="right"/>
    </xf>
    <xf numFmtId="164" fontId="63" fillId="0" borderId="0" xfId="1" applyNumberFormat="1" applyFont="1" applyAlignment="1">
      <alignment horizontal="right"/>
    </xf>
    <xf numFmtId="164" fontId="63" fillId="0" borderId="5" xfId="1" applyNumberFormat="1" applyFont="1" applyBorder="1" applyAlignment="1">
      <alignment horizontal="right"/>
    </xf>
    <xf numFmtId="164" fontId="53" fillId="0" borderId="0" xfId="1" applyNumberFormat="1" applyFont="1" applyAlignment="1">
      <alignment horizontal="right"/>
    </xf>
    <xf numFmtId="164" fontId="53" fillId="0" borderId="5" xfId="1" applyNumberFormat="1" applyFont="1" applyBorder="1" applyAlignment="1">
      <alignment horizontal="right"/>
    </xf>
    <xf numFmtId="164" fontId="63" fillId="9" borderId="0" xfId="1" applyNumberFormat="1" applyFont="1" applyFill="1" applyAlignment="1">
      <alignment horizontal="right"/>
    </xf>
    <xf numFmtId="165" fontId="54" fillId="0" borderId="5" xfId="1" quotePrefix="1" applyNumberFormat="1" applyFont="1" applyBorder="1" applyAlignment="1">
      <alignment horizontal="right"/>
    </xf>
    <xf numFmtId="165" fontId="4" fillId="0" borderId="29" xfId="1" quotePrefix="1" applyNumberFormat="1" applyFont="1" applyBorder="1" applyAlignment="1">
      <alignment horizontal="right"/>
    </xf>
    <xf numFmtId="9" fontId="72" fillId="0" borderId="0" xfId="2" applyFont="1" applyAlignment="1">
      <alignment horizontal="right"/>
    </xf>
    <xf numFmtId="9" fontId="72" fillId="0" borderId="5" xfId="2" applyFont="1" applyBorder="1" applyAlignment="1">
      <alignment horizontal="right"/>
    </xf>
    <xf numFmtId="9" fontId="62" fillId="0" borderId="5" xfId="2" applyFont="1" applyBorder="1" applyAlignment="1">
      <alignment horizontal="right"/>
    </xf>
    <xf numFmtId="164" fontId="54" fillId="0" borderId="5" xfId="1" quotePrefix="1" applyNumberFormat="1" applyFont="1" applyBorder="1" applyAlignment="1">
      <alignment horizontal="right"/>
    </xf>
    <xf numFmtId="9" fontId="62" fillId="9" borderId="0" xfId="2" applyFont="1" applyFill="1" applyAlignment="1">
      <alignment horizontal="right"/>
    </xf>
    <xf numFmtId="167" fontId="61" fillId="9" borderId="0" xfId="1" applyNumberFormat="1" applyFont="1" applyFill="1" applyAlignment="1">
      <alignment horizontal="right"/>
    </xf>
    <xf numFmtId="0" fontId="73" fillId="0" borderId="0" xfId="0" applyFont="1"/>
    <xf numFmtId="0" fontId="73" fillId="0" borderId="3" xfId="0" applyFont="1" applyBorder="1" applyAlignment="1">
      <alignment horizontal="left"/>
    </xf>
    <xf numFmtId="0" fontId="73" fillId="0" borderId="4" xfId="0" applyFont="1" applyBorder="1" applyAlignment="1">
      <alignment horizontal="left"/>
    </xf>
    <xf numFmtId="165" fontId="73" fillId="0" borderId="0" xfId="1" applyNumberFormat="1" applyFont="1" applyAlignment="1">
      <alignment horizontal="right"/>
    </xf>
    <xf numFmtId="165" fontId="73" fillId="9" borderId="0" xfId="1" applyNumberFormat="1" applyFont="1" applyFill="1" applyAlignment="1">
      <alignment horizontal="right"/>
    </xf>
    <xf numFmtId="165" fontId="73" fillId="0" borderId="5" xfId="1" quotePrefix="1" applyNumberFormat="1" applyFont="1" applyBorder="1" applyAlignment="1">
      <alignment horizontal="right"/>
    </xf>
    <xf numFmtId="167" fontId="73" fillId="9" borderId="0" xfId="1" applyNumberFormat="1" applyFont="1" applyFill="1" applyAlignment="1">
      <alignment horizontal="right"/>
    </xf>
    <xf numFmtId="0" fontId="73" fillId="0" borderId="3" xfId="0" applyFont="1" applyBorder="1" applyAlignment="1">
      <alignment horizontal="left" indent="2"/>
    </xf>
    <xf numFmtId="0" fontId="73" fillId="0" borderId="4" xfId="0" applyFont="1" applyBorder="1" applyAlignment="1">
      <alignment horizontal="left" indent="1"/>
    </xf>
    <xf numFmtId="164" fontId="73" fillId="0" borderId="0" xfId="1" applyNumberFormat="1" applyFont="1" applyAlignment="1">
      <alignment horizontal="right"/>
    </xf>
    <xf numFmtId="164" fontId="73" fillId="0" borderId="5" xfId="1" quotePrefix="1" applyNumberFormat="1" applyFont="1" applyBorder="1" applyAlignment="1">
      <alignment horizontal="right"/>
    </xf>
    <xf numFmtId="167" fontId="73" fillId="0" borderId="0" xfId="1" applyNumberFormat="1" applyFont="1" applyAlignment="1">
      <alignment horizontal="right"/>
    </xf>
    <xf numFmtId="165" fontId="62" fillId="0" borderId="31" xfId="1" applyNumberFormat="1" applyFont="1" applyBorder="1" applyAlignment="1">
      <alignment horizontal="right"/>
    </xf>
    <xf numFmtId="165" fontId="54" fillId="0" borderId="32" xfId="1" quotePrefix="1" applyNumberFormat="1" applyFont="1" applyBorder="1" applyAlignment="1">
      <alignment horizontal="right"/>
    </xf>
    <xf numFmtId="0" fontId="61" fillId="0" borderId="12" xfId="0" applyFont="1" applyBorder="1" applyAlignment="1">
      <alignment horizontal="left" indent="2"/>
    </xf>
    <xf numFmtId="0" fontId="61" fillId="0" borderId="13" xfId="0" applyFont="1" applyBorder="1" applyAlignment="1">
      <alignment horizontal="left" indent="1"/>
    </xf>
    <xf numFmtId="9" fontId="61" fillId="9" borderId="30" xfId="2" applyFont="1" applyFill="1" applyBorder="1" applyAlignment="1">
      <alignment horizontal="right"/>
    </xf>
    <xf numFmtId="164" fontId="62" fillId="0" borderId="30" xfId="1" applyNumberFormat="1" applyFont="1" applyBorder="1" applyAlignment="1">
      <alignment horizontal="right"/>
    </xf>
    <xf numFmtId="164" fontId="62" fillId="0" borderId="29" xfId="1" quotePrefix="1" applyNumberFormat="1" applyFont="1" applyBorder="1" applyAlignment="1">
      <alignment horizontal="right"/>
    </xf>
    <xf numFmtId="164" fontId="61" fillId="0" borderId="0" xfId="2" applyNumberFormat="1" applyFont="1" applyAlignment="1">
      <alignment horizontal="right"/>
    </xf>
    <xf numFmtId="164" fontId="63" fillId="0" borderId="0" xfId="2" applyNumberFormat="1" applyFont="1" applyAlignment="1">
      <alignment horizontal="right"/>
    </xf>
    <xf numFmtId="164" fontId="62" fillId="0" borderId="0" xfId="2" applyNumberFormat="1" applyFont="1" applyAlignment="1">
      <alignment horizontal="right"/>
    </xf>
    <xf numFmtId="166" fontId="62" fillId="0" borderId="0" xfId="2" applyNumberFormat="1" applyFont="1" applyAlignment="1">
      <alignment horizontal="right"/>
    </xf>
    <xf numFmtId="164" fontId="61" fillId="0" borderId="32" xfId="1" applyNumberFormat="1" applyFont="1" applyBorder="1" applyAlignment="1">
      <alignment horizontal="right"/>
    </xf>
    <xf numFmtId="164" fontId="63" fillId="0" borderId="5" xfId="2" applyNumberFormat="1" applyFont="1" applyBorder="1" applyAlignment="1">
      <alignment horizontal="right"/>
    </xf>
    <xf numFmtId="0" fontId="75" fillId="0" borderId="0" xfId="0" applyFont="1"/>
    <xf numFmtId="0" fontId="76" fillId="0" borderId="4" xfId="0" applyFont="1" applyBorder="1" applyAlignment="1">
      <alignment horizontal="left"/>
    </xf>
    <xf numFmtId="0" fontId="74" fillId="0" borderId="13" xfId="0" applyFont="1" applyBorder="1"/>
    <xf numFmtId="164" fontId="74" fillId="0" borderId="30" xfId="1" applyNumberFormat="1" applyFont="1" applyBorder="1" applyAlignment="1">
      <alignment horizontal="right"/>
    </xf>
    <xf numFmtId="164" fontId="74" fillId="0" borderId="29" xfId="1" applyNumberFormat="1" applyFont="1" applyBorder="1" applyAlignment="1">
      <alignment horizontal="right"/>
    </xf>
    <xf numFmtId="43" fontId="74" fillId="0" borderId="44" xfId="1" applyFont="1" applyBorder="1" applyAlignment="1">
      <alignment horizontal="right"/>
    </xf>
    <xf numFmtId="43" fontId="74" fillId="0" borderId="42" xfId="1" applyFont="1" applyBorder="1" applyAlignment="1">
      <alignment horizontal="right"/>
    </xf>
    <xf numFmtId="43" fontId="61" fillId="9" borderId="7" xfId="1" applyFont="1" applyFill="1" applyBorder="1" applyAlignment="1">
      <alignment horizontal="right"/>
    </xf>
    <xf numFmtId="0" fontId="74" fillId="0" borderId="26" xfId="0" applyFont="1" applyBorder="1" applyAlignment="1">
      <alignment horizontal="left"/>
    </xf>
    <xf numFmtId="0" fontId="74" fillId="0" borderId="12" xfId="0" applyFont="1" applyBorder="1" applyAlignment="1">
      <alignment horizontal="left" indent="2"/>
    </xf>
    <xf numFmtId="0" fontId="74" fillId="0" borderId="13" xfId="0" applyFont="1" applyBorder="1" applyAlignment="1">
      <alignment horizontal="left"/>
    </xf>
    <xf numFmtId="0" fontId="73" fillId="0" borderId="25" xfId="0" applyFont="1" applyBorder="1" applyAlignment="1">
      <alignment horizontal="left" indent="1"/>
    </xf>
    <xf numFmtId="0" fontId="73" fillId="0" borderId="26" xfId="0" applyFont="1" applyBorder="1"/>
    <xf numFmtId="164" fontId="77" fillId="0" borderId="31" xfId="1" applyNumberFormat="1" applyFont="1" applyBorder="1" applyAlignment="1">
      <alignment horizontal="right"/>
    </xf>
    <xf numFmtId="164" fontId="77" fillId="0" borderId="32" xfId="1" applyNumberFormat="1" applyFont="1" applyBorder="1" applyAlignment="1">
      <alignment horizontal="right"/>
    </xf>
    <xf numFmtId="164" fontId="78" fillId="0" borderId="31" xfId="1" applyNumberFormat="1" applyFont="1" applyBorder="1" applyAlignment="1">
      <alignment horizontal="right"/>
    </xf>
    <xf numFmtId="164" fontId="78" fillId="0" borderId="32" xfId="1" applyNumberFormat="1" applyFont="1" applyBorder="1" applyAlignment="1">
      <alignment horizontal="right"/>
    </xf>
    <xf numFmtId="0" fontId="74" fillId="0" borderId="43" xfId="0" applyFont="1" applyBorder="1" applyAlignment="1">
      <alignment horizontal="left" indent="2"/>
    </xf>
    <xf numFmtId="0" fontId="61" fillId="11" borderId="4" xfId="0" applyFont="1" applyFill="1" applyBorder="1" applyAlignment="1">
      <alignment horizontal="left" indent="1"/>
    </xf>
    <xf numFmtId="9" fontId="61" fillId="0" borderId="7" xfId="2" applyFont="1" applyBorder="1" applyAlignment="1">
      <alignment horizontal="right"/>
    </xf>
    <xf numFmtId="9" fontId="61" fillId="9" borderId="7" xfId="2" applyFont="1" applyFill="1" applyBorder="1" applyAlignment="1">
      <alignment horizontal="right"/>
    </xf>
    <xf numFmtId="164" fontId="61" fillId="9" borderId="0" xfId="1" applyNumberFormat="1" applyFont="1" applyFill="1" applyAlignment="1">
      <alignment horizontal="right"/>
    </xf>
    <xf numFmtId="164" fontId="61" fillId="0" borderId="31" xfId="1" applyNumberFormat="1" applyFont="1" applyBorder="1" applyAlignment="1">
      <alignment horizontal="right"/>
    </xf>
    <xf numFmtId="43" fontId="61" fillId="0" borderId="5" xfId="1" quotePrefix="1" applyFont="1" applyBorder="1" applyAlignment="1">
      <alignment horizontal="right"/>
    </xf>
    <xf numFmtId="166" fontId="61" fillId="0" borderId="7" xfId="2" quotePrefix="1" applyNumberFormat="1" applyFont="1" applyBorder="1" applyAlignment="1">
      <alignment horizontal="right"/>
    </xf>
    <xf numFmtId="166" fontId="4" fillId="0" borderId="8" xfId="2" quotePrefix="1" applyNumberFormat="1" applyFont="1" applyBorder="1" applyAlignment="1">
      <alignment horizontal="right"/>
    </xf>
    <xf numFmtId="0" fontId="4" fillId="0" borderId="10" xfId="0" applyFont="1" applyBorder="1" applyAlignment="1">
      <alignment horizontal="left"/>
    </xf>
    <xf numFmtId="43" fontId="54" fillId="0" borderId="0" xfId="0" applyNumberFormat="1" applyFont="1" applyAlignment="1">
      <alignment horizontal="left"/>
    </xf>
    <xf numFmtId="164" fontId="62" fillId="0" borderId="5" xfId="1" quotePrefix="1" applyNumberFormat="1" applyFont="1" applyBorder="1" applyAlignment="1">
      <alignment horizontal="right"/>
    </xf>
    <xf numFmtId="166" fontId="62" fillId="0" borderId="5" xfId="2" quotePrefix="1" applyNumberFormat="1" applyFont="1" applyBorder="1" applyAlignment="1">
      <alignment horizontal="right"/>
    </xf>
    <xf numFmtId="165" fontId="63" fillId="11" borderId="5" xfId="1" applyNumberFormat="1" applyFont="1" applyFill="1" applyBorder="1" applyAlignment="1">
      <alignment horizontal="right"/>
    </xf>
    <xf numFmtId="165" fontId="62" fillId="11" borderId="5" xfId="1" applyNumberFormat="1" applyFont="1" applyFill="1" applyBorder="1" applyAlignment="1">
      <alignment horizontal="right"/>
    </xf>
    <xf numFmtId="165" fontId="53" fillId="3" borderId="0" xfId="1" quotePrefix="1" applyNumberFormat="1" applyFont="1" applyFill="1" applyAlignment="1">
      <alignment horizontal="right"/>
    </xf>
    <xf numFmtId="165" fontId="53" fillId="3" borderId="5" xfId="1" quotePrefix="1" applyNumberFormat="1" applyFont="1" applyFill="1" applyBorder="1" applyAlignment="1">
      <alignment horizontal="right"/>
    </xf>
    <xf numFmtId="165" fontId="62" fillId="0" borderId="8" xfId="1" applyNumberFormat="1" applyFont="1" applyBorder="1" applyAlignment="1">
      <alignment horizontal="right"/>
    </xf>
    <xf numFmtId="165" fontId="4" fillId="11" borderId="31" xfId="1" applyNumberFormat="1" applyFont="1" applyFill="1" applyBorder="1" applyAlignment="1">
      <alignment horizontal="right"/>
    </xf>
    <xf numFmtId="165" fontId="61" fillId="11" borderId="32" xfId="1" applyNumberFormat="1" applyFont="1" applyFill="1" applyBorder="1" applyAlignment="1">
      <alignment horizontal="right"/>
    </xf>
    <xf numFmtId="165" fontId="63" fillId="11" borderId="0" xfId="1" applyNumberFormat="1" applyFont="1" applyFill="1" applyAlignment="1">
      <alignment horizontal="right"/>
    </xf>
    <xf numFmtId="165" fontId="61" fillId="0" borderId="32" xfId="1" applyNumberFormat="1" applyFont="1" applyBorder="1" applyAlignment="1">
      <alignment horizontal="right"/>
    </xf>
    <xf numFmtId="165" fontId="61" fillId="9" borderId="31" xfId="1" applyNumberFormat="1" applyFont="1" applyFill="1" applyBorder="1" applyAlignment="1">
      <alignment horizontal="right"/>
    </xf>
    <xf numFmtId="165" fontId="61" fillId="11" borderId="31" xfId="1" applyNumberFormat="1" applyFont="1" applyFill="1" applyBorder="1" applyAlignment="1">
      <alignment horizontal="right"/>
    </xf>
    <xf numFmtId="165" fontId="62" fillId="11" borderId="32" xfId="1" applyNumberFormat="1" applyFont="1" applyFill="1" applyBorder="1" applyAlignment="1">
      <alignment horizontal="right"/>
    </xf>
    <xf numFmtId="0" fontId="79" fillId="0" borderId="0" xfId="0" applyFont="1"/>
    <xf numFmtId="0" fontId="4" fillId="0" borderId="0" xfId="0" applyFont="1" applyFill="1"/>
    <xf numFmtId="0" fontId="74" fillId="0" borderId="45" xfId="0" applyFont="1" applyBorder="1" applyAlignment="1">
      <alignment horizontal="left" indent="1"/>
    </xf>
    <xf numFmtId="165" fontId="61" fillId="0" borderId="0" xfId="1" applyNumberFormat="1" applyFont="1" applyFill="1" applyAlignment="1">
      <alignment horizontal="right"/>
    </xf>
    <xf numFmtId="165" fontId="61" fillId="0" borderId="5" xfId="1" applyNumberFormat="1" applyFont="1" applyFill="1" applyBorder="1" applyAlignment="1">
      <alignment horizontal="right"/>
    </xf>
    <xf numFmtId="43" fontId="61" fillId="0" borderId="0" xfId="1" applyNumberFormat="1" applyFont="1" applyFill="1" applyAlignment="1">
      <alignment horizontal="right"/>
    </xf>
    <xf numFmtId="164" fontId="62" fillId="0" borderId="0" xfId="1" applyNumberFormat="1" applyFont="1" applyFill="1" applyAlignment="1">
      <alignment horizontal="right"/>
    </xf>
    <xf numFmtId="164" fontId="63" fillId="0" borderId="0" xfId="1" applyNumberFormat="1" applyFont="1" applyFill="1" applyAlignment="1">
      <alignment horizontal="right"/>
    </xf>
    <xf numFmtId="164" fontId="61" fillId="0" borderId="0" xfId="1" applyNumberFormat="1" applyFont="1" applyFill="1" applyAlignment="1">
      <alignment horizontal="right"/>
    </xf>
    <xf numFmtId="164" fontId="53" fillId="0" borderId="0" xfId="1" applyNumberFormat="1" applyFont="1" applyFill="1" applyAlignment="1">
      <alignment horizontal="right"/>
    </xf>
    <xf numFmtId="164" fontId="77" fillId="0" borderId="31" xfId="1" applyNumberFormat="1" applyFont="1" applyFill="1" applyBorder="1" applyAlignment="1">
      <alignment horizontal="right"/>
    </xf>
    <xf numFmtId="164" fontId="74" fillId="0" borderId="30" xfId="1" applyNumberFormat="1" applyFont="1" applyFill="1" applyBorder="1" applyAlignment="1">
      <alignment horizontal="right"/>
    </xf>
    <xf numFmtId="164" fontId="78" fillId="0" borderId="31" xfId="1" applyNumberFormat="1" applyFont="1" applyFill="1" applyBorder="1" applyAlignment="1">
      <alignment horizontal="right"/>
    </xf>
    <xf numFmtId="43" fontId="62" fillId="0" borderId="0" xfId="1" applyFont="1" applyFill="1" applyAlignment="1">
      <alignment horizontal="right"/>
    </xf>
    <xf numFmtId="43" fontId="74" fillId="0" borderId="44" xfId="1" applyFont="1" applyFill="1" applyBorder="1" applyAlignment="1">
      <alignment horizontal="right"/>
    </xf>
    <xf numFmtId="43" fontId="61" fillId="0" borderId="7" xfId="1" applyFont="1" applyFill="1" applyBorder="1" applyAlignment="1">
      <alignment horizontal="right"/>
    </xf>
    <xf numFmtId="0" fontId="54" fillId="0" borderId="0" xfId="0" applyFont="1" applyFill="1"/>
    <xf numFmtId="165" fontId="63" fillId="0" borderId="0" xfId="1" applyNumberFormat="1" applyFont="1" applyFill="1" applyAlignment="1">
      <alignment horizontal="right"/>
    </xf>
    <xf numFmtId="7" fontId="61" fillId="0" borderId="0" xfId="1" applyNumberFormat="1" applyFont="1" applyFill="1" applyAlignment="1">
      <alignment horizontal="right"/>
    </xf>
    <xf numFmtId="0" fontId="73" fillId="0" borderId="0" xfId="0" applyFont="1" applyFill="1"/>
    <xf numFmtId="164" fontId="61" fillId="0" borderId="5" xfId="1" applyNumberFormat="1" applyFont="1" applyFill="1" applyBorder="1" applyAlignment="1">
      <alignment horizontal="right"/>
    </xf>
    <xf numFmtId="164" fontId="62" fillId="0" borderId="5" xfId="1" applyNumberFormat="1" applyFont="1" applyFill="1" applyBorder="1" applyAlignment="1">
      <alignment horizontal="right"/>
    </xf>
    <xf numFmtId="164" fontId="73" fillId="0" borderId="0" xfId="1" applyNumberFormat="1" applyFont="1" applyFill="1" applyAlignment="1">
      <alignment horizontal="right"/>
    </xf>
    <xf numFmtId="165" fontId="61" fillId="0" borderId="0" xfId="1" quotePrefix="1" applyNumberFormat="1" applyFont="1" applyFill="1" applyAlignment="1">
      <alignment horizontal="right"/>
    </xf>
    <xf numFmtId="166" fontId="61" fillId="0" borderId="0" xfId="2" applyNumberFormat="1" applyFont="1" applyFill="1" applyAlignment="1">
      <alignment horizontal="right"/>
    </xf>
    <xf numFmtId="167" fontId="61" fillId="0" borderId="0" xfId="1" applyNumberFormat="1" applyFont="1" applyFill="1" applyAlignment="1">
      <alignment horizontal="right"/>
    </xf>
    <xf numFmtId="164" fontId="62" fillId="0" borderId="30" xfId="1" applyNumberFormat="1" applyFont="1" applyFill="1" applyBorder="1" applyAlignment="1">
      <alignment horizontal="right"/>
    </xf>
    <xf numFmtId="43" fontId="74" fillId="0" borderId="42" xfId="1" applyFont="1" applyFill="1" applyBorder="1" applyAlignment="1">
      <alignment horizontal="right"/>
    </xf>
    <xf numFmtId="43" fontId="74" fillId="0" borderId="44" xfId="1" applyNumberFormat="1" applyFont="1" applyFill="1" applyBorder="1" applyAlignment="1">
      <alignment horizontal="right"/>
    </xf>
    <xf numFmtId="164" fontId="63" fillId="0" borderId="5" xfId="1" applyNumberFormat="1" applyFont="1" applyFill="1" applyBorder="1" applyAlignment="1">
      <alignment horizontal="right"/>
    </xf>
    <xf numFmtId="165" fontId="62" fillId="0" borderId="0" xfId="1" applyNumberFormat="1" applyFont="1" applyFill="1" applyAlignment="1">
      <alignment horizontal="right"/>
    </xf>
    <xf numFmtId="165" fontId="62" fillId="0" borderId="31" xfId="1" applyNumberFormat="1" applyFont="1" applyFill="1" applyBorder="1" applyAlignment="1">
      <alignment horizontal="right"/>
    </xf>
    <xf numFmtId="9" fontId="61" fillId="0" borderId="0" xfId="2" applyFont="1" applyFill="1" applyAlignment="1">
      <alignment horizontal="right"/>
    </xf>
    <xf numFmtId="167" fontId="73" fillId="0" borderId="0" xfId="1" applyNumberFormat="1" applyFont="1" applyFill="1" applyAlignment="1">
      <alignment horizontal="right"/>
    </xf>
    <xf numFmtId="164" fontId="61" fillId="0" borderId="0" xfId="2" applyNumberFormat="1" applyFont="1" applyFill="1" applyAlignment="1">
      <alignment horizontal="right"/>
    </xf>
    <xf numFmtId="164" fontId="63" fillId="0" borderId="0" xfId="2" applyNumberFormat="1" applyFont="1" applyFill="1" applyAlignment="1">
      <alignment horizontal="right"/>
    </xf>
    <xf numFmtId="9" fontId="61" fillId="0" borderId="30" xfId="2" applyFont="1" applyFill="1" applyBorder="1" applyAlignment="1">
      <alignment horizontal="right"/>
    </xf>
    <xf numFmtId="165" fontId="73" fillId="0" borderId="0" xfId="1" applyNumberFormat="1" applyFont="1" applyFill="1" applyAlignment="1">
      <alignment horizontal="right"/>
    </xf>
    <xf numFmtId="165" fontId="61" fillId="0" borderId="5" xfId="1" quotePrefix="1" applyNumberFormat="1" applyFont="1" applyFill="1" applyBorder="1" applyAlignment="1">
      <alignment horizontal="right"/>
    </xf>
    <xf numFmtId="164" fontId="63" fillId="9" borderId="0" xfId="2" applyNumberFormat="1" applyFont="1" applyFill="1" applyAlignment="1">
      <alignment horizontal="right"/>
    </xf>
    <xf numFmtId="0" fontId="73" fillId="0" borderId="25" xfId="0" applyFont="1" applyBorder="1" applyAlignment="1">
      <alignment horizontal="left" indent="5"/>
    </xf>
    <xf numFmtId="0" fontId="74" fillId="0" borderId="12" xfId="0" applyFont="1" applyBorder="1" applyAlignment="1">
      <alignment horizontal="left" indent="6"/>
    </xf>
    <xf numFmtId="43" fontId="62" fillId="0" borderId="5" xfId="1" applyFont="1" applyFill="1" applyBorder="1" applyAlignment="1">
      <alignment horizontal="right"/>
    </xf>
    <xf numFmtId="164" fontId="53" fillId="0" borderId="5" xfId="1" applyNumberFormat="1" applyFont="1" applyFill="1" applyBorder="1" applyAlignment="1">
      <alignment horizontal="right"/>
    </xf>
    <xf numFmtId="164" fontId="2" fillId="2" borderId="2" xfId="1" quotePrefix="1" applyNumberFormat="1" applyFont="1" applyFill="1" applyBorder="1" applyAlignment="1">
      <alignment horizontal="right"/>
    </xf>
    <xf numFmtId="164" fontId="2" fillId="2" borderId="33" xfId="1" quotePrefix="1" applyNumberFormat="1" applyFont="1" applyFill="1" applyBorder="1" applyAlignment="1">
      <alignment horizontal="right"/>
    </xf>
    <xf numFmtId="165" fontId="61" fillId="0" borderId="31" xfId="1" applyNumberFormat="1" applyFont="1" applyFill="1" applyBorder="1" applyAlignment="1">
      <alignment horizontal="right"/>
    </xf>
    <xf numFmtId="165" fontId="4" fillId="11" borderId="0" xfId="1" applyNumberFormat="1" applyFont="1" applyFill="1" applyAlignment="1">
      <alignment horizontal="right"/>
    </xf>
    <xf numFmtId="165" fontId="4" fillId="0" borderId="31" xfId="1" applyNumberFormat="1" applyFont="1" applyFill="1" applyBorder="1" applyAlignment="1">
      <alignment horizontal="right"/>
    </xf>
    <xf numFmtId="165" fontId="4" fillId="0" borderId="0" xfId="1" applyNumberFormat="1" applyFont="1" applyAlignment="1">
      <alignment horizontal="left"/>
    </xf>
    <xf numFmtId="9" fontId="61" fillId="0" borderId="8" xfId="2" quotePrefix="1" applyFont="1" applyFill="1" applyBorder="1" applyAlignment="1">
      <alignment horizontal="right"/>
    </xf>
    <xf numFmtId="9" fontId="61" fillId="0" borderId="0" xfId="2" quotePrefix="1" applyFont="1" applyFill="1" applyAlignment="1">
      <alignment horizontal="right"/>
    </xf>
    <xf numFmtId="166" fontId="61" fillId="0" borderId="0" xfId="2" quotePrefix="1" applyNumberFormat="1" applyFont="1" applyFill="1" applyAlignment="1">
      <alignment horizontal="right"/>
    </xf>
    <xf numFmtId="166" fontId="61" fillId="0" borderId="5" xfId="2" quotePrefix="1" applyNumberFormat="1" applyFont="1" applyFill="1" applyBorder="1" applyAlignment="1">
      <alignment horizontal="right"/>
    </xf>
    <xf numFmtId="0" fontId="61" fillId="0" borderId="0" xfId="0" applyFont="1" applyFill="1"/>
    <xf numFmtId="164" fontId="61" fillId="0" borderId="0" xfId="1" quotePrefix="1" applyNumberFormat="1" applyFont="1" applyFill="1" applyAlignment="1">
      <alignment horizontal="right"/>
    </xf>
    <xf numFmtId="164" fontId="61" fillId="0" borderId="5" xfId="1" quotePrefix="1" applyNumberFormat="1" applyFont="1" applyFill="1" applyBorder="1" applyAlignment="1">
      <alignment horizontal="right"/>
    </xf>
    <xf numFmtId="43" fontId="61" fillId="0" borderId="5" xfId="1" quotePrefix="1" applyFont="1" applyFill="1" applyBorder="1" applyAlignment="1">
      <alignment horizontal="right"/>
    </xf>
    <xf numFmtId="9" fontId="61" fillId="0" borderId="5" xfId="2" applyFont="1" applyFill="1" applyBorder="1" applyAlignment="1">
      <alignment horizontal="right"/>
    </xf>
    <xf numFmtId="166" fontId="61" fillId="0" borderId="7" xfId="2" applyNumberFormat="1" applyFont="1" applyFill="1" applyBorder="1" applyAlignment="1">
      <alignment horizontal="right"/>
    </xf>
    <xf numFmtId="166" fontId="61" fillId="0" borderId="8" xfId="2" quotePrefix="1" applyNumberFormat="1" applyFont="1" applyFill="1" applyBorder="1" applyAlignment="1">
      <alignment horizontal="right"/>
    </xf>
    <xf numFmtId="166" fontId="61" fillId="0" borderId="7" xfId="2" quotePrefix="1" applyNumberFormat="1" applyFont="1" applyFill="1" applyBorder="1" applyAlignment="1">
      <alignment horizontal="right"/>
    </xf>
    <xf numFmtId="0" fontId="56" fillId="0" borderId="4" xfId="0" applyFont="1" applyFill="1" applyBorder="1" applyAlignment="1">
      <alignment horizontal="left"/>
    </xf>
    <xf numFmtId="165" fontId="73" fillId="0" borderId="5" xfId="1" quotePrefix="1" applyNumberFormat="1" applyFont="1" applyFill="1" applyBorder="1" applyAlignment="1">
      <alignment horizontal="right"/>
    </xf>
    <xf numFmtId="164" fontId="61" fillId="0" borderId="32" xfId="1" applyNumberFormat="1" applyFont="1" applyFill="1" applyBorder="1" applyAlignment="1">
      <alignment horizontal="right"/>
    </xf>
    <xf numFmtId="165" fontId="4" fillId="0" borderId="5" xfId="1" quotePrefix="1" applyNumberFormat="1" applyFont="1" applyFill="1" applyBorder="1" applyAlignment="1">
      <alignment horizontal="right"/>
    </xf>
    <xf numFmtId="164" fontId="63" fillId="0" borderId="5" xfId="2" applyNumberFormat="1" applyFont="1" applyFill="1" applyBorder="1" applyAlignment="1">
      <alignment horizontal="right"/>
    </xf>
    <xf numFmtId="164" fontId="62" fillId="0" borderId="5" xfId="1" quotePrefix="1" applyNumberFormat="1" applyFont="1" applyFill="1" applyBorder="1" applyAlignment="1">
      <alignment horizontal="right"/>
    </xf>
    <xf numFmtId="166" fontId="62" fillId="0" borderId="5" xfId="2" quotePrefix="1" applyNumberFormat="1" applyFont="1" applyFill="1" applyBorder="1" applyAlignment="1">
      <alignment horizontal="right"/>
    </xf>
    <xf numFmtId="9" fontId="62" fillId="0" borderId="5" xfId="2" applyFont="1" applyFill="1" applyBorder="1" applyAlignment="1">
      <alignment horizontal="right"/>
    </xf>
    <xf numFmtId="0" fontId="4" fillId="0" borderId="4" xfId="0" applyFont="1" applyFill="1" applyBorder="1"/>
    <xf numFmtId="0" fontId="62" fillId="0" borderId="0" xfId="0" applyFont="1" applyFill="1"/>
    <xf numFmtId="0" fontId="62" fillId="0" borderId="3" xfId="0" applyFont="1" applyFill="1" applyBorder="1" applyAlignment="1">
      <alignment horizontal="left" indent="4"/>
    </xf>
    <xf numFmtId="0" fontId="62" fillId="0" borderId="4" xfId="0" applyFont="1" applyFill="1" applyBorder="1"/>
    <xf numFmtId="0" fontId="62" fillId="0" borderId="3" xfId="0" applyFont="1" applyFill="1" applyBorder="1" applyAlignment="1">
      <alignment horizontal="left" indent="5"/>
    </xf>
    <xf numFmtId="0" fontId="54" fillId="0" borderId="4" xfId="0" applyFont="1" applyFill="1" applyBorder="1"/>
    <xf numFmtId="0" fontId="75" fillId="0" borderId="0" xfId="0" applyFont="1" applyFill="1"/>
    <xf numFmtId="166" fontId="61" fillId="0" borderId="5" xfId="2" applyNumberFormat="1" applyFont="1" applyFill="1" applyBorder="1" applyAlignment="1">
      <alignment horizontal="right"/>
    </xf>
    <xf numFmtId="43" fontId="63" fillId="0" borderId="0" xfId="1" applyNumberFormat="1" applyFont="1" applyFill="1" applyAlignment="1">
      <alignment horizontal="right"/>
    </xf>
    <xf numFmtId="164" fontId="77" fillId="0" borderId="32" xfId="1" applyNumberFormat="1" applyFont="1" applyFill="1" applyBorder="1" applyAlignment="1">
      <alignment horizontal="right"/>
    </xf>
    <xf numFmtId="164" fontId="74" fillId="0" borderId="29" xfId="1" applyNumberFormat="1" applyFont="1" applyFill="1" applyBorder="1" applyAlignment="1">
      <alignment horizontal="right"/>
    </xf>
    <xf numFmtId="164" fontId="78" fillId="0" borderId="32" xfId="1" applyNumberFormat="1" applyFont="1" applyFill="1" applyBorder="1" applyAlignment="1">
      <alignment horizontal="right"/>
    </xf>
    <xf numFmtId="43" fontId="62" fillId="0" borderId="8" xfId="1" applyFont="1" applyFill="1" applyBorder="1" applyAlignment="1">
      <alignment horizontal="right"/>
    </xf>
    <xf numFmtId="164" fontId="61" fillId="0" borderId="0" xfId="1" applyNumberFormat="1" applyFont="1" applyBorder="1" applyAlignment="1">
      <alignment horizontal="right"/>
    </xf>
    <xf numFmtId="164" fontId="61" fillId="0" borderId="30" xfId="1" applyNumberFormat="1" applyFont="1" applyBorder="1" applyAlignment="1">
      <alignment horizontal="right"/>
    </xf>
    <xf numFmtId="164" fontId="61" fillId="0" borderId="29" xfId="1" applyNumberFormat="1" applyFont="1" applyBorder="1" applyAlignment="1">
      <alignment horizontal="right"/>
    </xf>
    <xf numFmtId="164" fontId="61" fillId="0" borderId="0" xfId="1" applyNumberFormat="1" applyFont="1" applyFill="1" applyBorder="1" applyAlignment="1">
      <alignment horizontal="right"/>
    </xf>
    <xf numFmtId="7" fontId="61" fillId="0" borderId="25" xfId="1" applyNumberFormat="1" applyFont="1" applyBorder="1" applyAlignment="1">
      <alignment horizontal="right"/>
    </xf>
    <xf numFmtId="7" fontId="61" fillId="0" borderId="31" xfId="1" applyNumberFormat="1" applyFont="1" applyFill="1" applyBorder="1" applyAlignment="1">
      <alignment horizontal="right"/>
    </xf>
    <xf numFmtId="165" fontId="61" fillId="0" borderId="3" xfId="1" applyNumberFormat="1" applyFont="1" applyBorder="1" applyAlignment="1">
      <alignment horizontal="right"/>
    </xf>
    <xf numFmtId="165" fontId="61" fillId="0" borderId="0" xfId="1" applyNumberFormat="1" applyFont="1" applyFill="1" applyBorder="1" applyAlignment="1">
      <alignment horizontal="right"/>
    </xf>
    <xf numFmtId="164" fontId="61" fillId="0" borderId="12" xfId="1" applyNumberFormat="1" applyFont="1" applyBorder="1" applyAlignment="1">
      <alignment horizontal="right"/>
    </xf>
    <xf numFmtId="167" fontId="73" fillId="0" borderId="5" xfId="1" quotePrefix="1" applyNumberFormat="1" applyFont="1" applyBorder="1" applyAlignment="1">
      <alignment horizontal="right"/>
    </xf>
    <xf numFmtId="167" fontId="73" fillId="0" borderId="5" xfId="1" quotePrefix="1" applyNumberFormat="1" applyFont="1" applyFill="1" applyBorder="1" applyAlignment="1">
      <alignment horizontal="right"/>
    </xf>
    <xf numFmtId="9" fontId="72" fillId="0" borderId="5" xfId="2" applyFont="1" applyFill="1" applyBorder="1" applyAlignment="1">
      <alignment horizontal="right"/>
    </xf>
    <xf numFmtId="229" fontId="62" fillId="0" borderId="5" xfId="2" applyNumberFormat="1" applyFont="1" applyFill="1" applyBorder="1" applyAlignment="1">
      <alignment horizontal="right"/>
    </xf>
    <xf numFmtId="165" fontId="61" fillId="10" borderId="5" xfId="1" quotePrefix="1" applyNumberFormat="1" applyFont="1" applyFill="1" applyBorder="1" applyAlignment="1">
      <alignment horizontal="right"/>
    </xf>
    <xf numFmtId="165" fontId="61" fillId="10" borderId="5" xfId="1" applyNumberFormat="1" applyFont="1" applyFill="1" applyBorder="1" applyAlignment="1">
      <alignment horizontal="right"/>
    </xf>
    <xf numFmtId="0" fontId="61" fillId="0" borderId="6" xfId="0" applyFont="1" applyFill="1" applyBorder="1" applyAlignment="1">
      <alignment horizontal="left" indent="2"/>
    </xf>
    <xf numFmtId="0" fontId="61" fillId="0" borderId="10" xfId="0" applyFont="1" applyFill="1" applyBorder="1" applyAlignment="1">
      <alignment horizontal="left" indent="1"/>
    </xf>
    <xf numFmtId="165" fontId="4" fillId="11" borderId="31" xfId="1" applyNumberFormat="1" applyFont="1" applyFill="1" applyBorder="1" applyAlignment="1">
      <alignment horizontal="left"/>
    </xf>
    <xf numFmtId="165" fontId="61" fillId="0" borderId="31" xfId="1" applyNumberFormat="1" applyFont="1" applyBorder="1" applyAlignment="1">
      <alignment horizontal="right"/>
    </xf>
    <xf numFmtId="166" fontId="4" fillId="0" borderId="0" xfId="1" applyNumberFormat="1" applyFont="1"/>
    <xf numFmtId="165" fontId="63" fillId="0" borderId="5" xfId="1" applyNumberFormat="1" applyFont="1" applyFill="1" applyBorder="1" applyAlignment="1">
      <alignment horizontal="right"/>
    </xf>
    <xf numFmtId="165" fontId="62" fillId="0" borderId="5" xfId="1" applyNumberFormat="1" applyFont="1" applyFill="1" applyBorder="1" applyAlignment="1">
      <alignment horizontal="right"/>
    </xf>
    <xf numFmtId="165" fontId="54" fillId="0" borderId="9" xfId="1" applyNumberFormat="1" applyFont="1" applyFill="1" applyBorder="1" applyAlignment="1">
      <alignment horizontal="right"/>
    </xf>
    <xf numFmtId="9" fontId="72" fillId="0" borderId="0" xfId="2" applyFont="1" applyFill="1" applyAlignment="1">
      <alignment horizontal="right"/>
    </xf>
    <xf numFmtId="9" fontId="62" fillId="0" borderId="0" xfId="2" applyFont="1" applyFill="1" applyAlignment="1">
      <alignment horizontal="right"/>
    </xf>
    <xf numFmtId="9" fontId="62" fillId="0" borderId="0" xfId="2" applyNumberFormat="1" applyFont="1" applyFill="1" applyAlignment="1">
      <alignment horizontal="right"/>
    </xf>
    <xf numFmtId="164" fontId="54" fillId="0" borderId="29" xfId="1" quotePrefix="1" applyNumberFormat="1" applyFont="1" applyFill="1" applyBorder="1" applyAlignment="1">
      <alignment horizontal="right"/>
    </xf>
    <xf numFmtId="165" fontId="54" fillId="0" borderId="5" xfId="1" quotePrefix="1" applyNumberFormat="1" applyFont="1" applyFill="1" applyBorder="1" applyAlignment="1">
      <alignment horizontal="right"/>
    </xf>
    <xf numFmtId="165" fontId="4" fillId="0" borderId="29" xfId="1" quotePrefix="1" applyNumberFormat="1" applyFont="1" applyFill="1" applyBorder="1" applyAlignment="1">
      <alignment horizontal="right"/>
    </xf>
    <xf numFmtId="164" fontId="62" fillId="0" borderId="0" xfId="2" applyNumberFormat="1" applyFont="1" applyFill="1" applyAlignment="1">
      <alignment horizontal="right"/>
    </xf>
    <xf numFmtId="166" fontId="62" fillId="0" borderId="0" xfId="2" applyNumberFormat="1" applyFont="1" applyFill="1" applyAlignment="1">
      <alignment horizontal="right"/>
    </xf>
    <xf numFmtId="228" fontId="4" fillId="0" borderId="5" xfId="1" quotePrefix="1" applyNumberFormat="1" applyFont="1" applyFill="1" applyBorder="1" applyAlignment="1">
      <alignment horizontal="right"/>
    </xf>
    <xf numFmtId="43" fontId="61" fillId="0" borderId="5" xfId="1" applyNumberFormat="1" applyFont="1" applyFill="1" applyBorder="1" applyAlignment="1">
      <alignment horizontal="right"/>
    </xf>
    <xf numFmtId="43" fontId="63" fillId="0" borderId="5" xfId="1" applyNumberFormat="1" applyFont="1" applyFill="1" applyBorder="1" applyAlignment="1">
      <alignment horizontal="right"/>
    </xf>
    <xf numFmtId="0" fontId="61" fillId="11" borderId="0" xfId="0" applyFont="1" applyFill="1" applyBorder="1" applyAlignment="1">
      <alignment horizontal="left"/>
    </xf>
    <xf numFmtId="165" fontId="4" fillId="0" borderId="0" xfId="0" applyNumberFormat="1" applyFont="1" applyAlignment="1">
      <alignment horizontal="left"/>
    </xf>
    <xf numFmtId="165" fontId="4" fillId="0" borderId="0" xfId="1" applyNumberFormat="1" applyFont="1" applyFill="1"/>
    <xf numFmtId="43" fontId="4" fillId="0" borderId="0" xfId="1" applyFont="1"/>
    <xf numFmtId="166" fontId="0" fillId="0" borderId="38" xfId="2" applyNumberFormat="1" applyFont="1" applyBorder="1"/>
    <xf numFmtId="0" fontId="2" fillId="0" borderId="0" xfId="0" applyFont="1" applyFill="1" applyAlignment="1">
      <alignment horizontal="right"/>
    </xf>
    <xf numFmtId="10" fontId="2" fillId="0" borderId="0" xfId="0" applyNumberFormat="1" applyFont="1" applyFill="1"/>
    <xf numFmtId="226" fontId="61" fillId="0" borderId="4" xfId="2" applyNumberFormat="1" applyFont="1" applyFill="1" applyBorder="1" applyAlignment="1">
      <alignment horizontal="right"/>
    </xf>
    <xf numFmtId="226" fontId="61" fillId="0" borderId="4" xfId="1" applyNumberFormat="1" applyFont="1" applyFill="1" applyBorder="1" applyAlignment="1">
      <alignment horizontal="right"/>
    </xf>
    <xf numFmtId="9" fontId="61" fillId="0" borderId="0" xfId="2" applyFont="1" applyFill="1" applyAlignment="1">
      <alignment horizontal="left"/>
    </xf>
    <xf numFmtId="164" fontId="4" fillId="0" borderId="0" xfId="1" applyNumberFormat="1" applyFont="1" applyFill="1" applyAlignment="1">
      <alignment horizontal="right"/>
    </xf>
    <xf numFmtId="9" fontId="61" fillId="0" borderId="0" xfId="2" applyNumberFormat="1" applyFont="1" applyAlignment="1">
      <alignment horizontal="right"/>
    </xf>
    <xf numFmtId="9" fontId="61" fillId="0" borderId="5" xfId="2" applyNumberFormat="1" applyFont="1" applyBorder="1" applyAlignment="1">
      <alignment horizontal="right"/>
    </xf>
    <xf numFmtId="0" fontId="62" fillId="0" borderId="23" xfId="0" applyFont="1" applyFill="1" applyBorder="1" applyAlignment="1">
      <alignment horizontal="left"/>
    </xf>
    <xf numFmtId="10" fontId="63" fillId="0" borderId="5" xfId="2" applyNumberFormat="1" applyFont="1" applyBorder="1" applyAlignment="1">
      <alignment horizontal="right"/>
    </xf>
    <xf numFmtId="10" fontId="61" fillId="0" borderId="5" xfId="2" applyNumberFormat="1" applyFont="1" applyBorder="1" applyAlignment="1">
      <alignment horizontal="right"/>
    </xf>
    <xf numFmtId="10" fontId="4" fillId="0" borderId="5" xfId="2" quotePrefix="1" applyNumberFormat="1" applyFont="1" applyBorder="1" applyAlignment="1">
      <alignment horizontal="right"/>
    </xf>
    <xf numFmtId="226" fontId="61" fillId="9" borderId="4" xfId="1" applyNumberFormat="1" applyFont="1" applyFill="1" applyBorder="1" applyAlignment="1">
      <alignment horizontal="right"/>
    </xf>
    <xf numFmtId="0" fontId="61" fillId="0" borderId="0" xfId="0" applyFont="1" applyAlignment="1">
      <alignment horizontal="right"/>
    </xf>
    <xf numFmtId="7" fontId="4" fillId="0" borderId="0" xfId="0" applyNumberFormat="1" applyFont="1" applyAlignment="1">
      <alignment horizontal="right"/>
    </xf>
    <xf numFmtId="0" fontId="62" fillId="0" borderId="3" xfId="0" applyFont="1" applyBorder="1" applyAlignment="1">
      <alignment horizontal="left" indent="1"/>
    </xf>
    <xf numFmtId="0" fontId="62" fillId="0" borderId="4" xfId="0" applyFont="1" applyBorder="1" applyAlignment="1">
      <alignment horizontal="left" indent="1"/>
    </xf>
    <xf numFmtId="0" fontId="60" fillId="2" borderId="3" xfId="0" applyFont="1" applyFill="1" applyBorder="1" applyAlignment="1">
      <alignment horizontal="left"/>
    </xf>
    <xf numFmtId="0" fontId="60" fillId="2" borderId="4" xfId="0" applyFont="1" applyFill="1" applyBorder="1" applyAlignment="1">
      <alignment horizontal="left"/>
    </xf>
    <xf numFmtId="0" fontId="61" fillId="0" borderId="3" xfId="0" applyFont="1" applyBorder="1" applyAlignment="1">
      <alignment horizontal="left"/>
    </xf>
    <xf numFmtId="0" fontId="61" fillId="0" borderId="4" xfId="0" applyFont="1" applyBorder="1" applyAlignment="1">
      <alignment horizontal="left"/>
    </xf>
    <xf numFmtId="0" fontId="61" fillId="11" borderId="3" xfId="0" applyFont="1" applyFill="1" applyBorder="1" applyAlignment="1">
      <alignment horizontal="left"/>
    </xf>
    <xf numFmtId="0" fontId="61" fillId="11" borderId="4" xfId="0" applyFont="1" applyFill="1" applyBorder="1" applyAlignment="1">
      <alignment horizontal="left"/>
    </xf>
    <xf numFmtId="0" fontId="62" fillId="11" borderId="3" xfId="0" applyFont="1" applyFill="1" applyBorder="1" applyAlignment="1">
      <alignment horizontal="left" indent="1"/>
    </xf>
    <xf numFmtId="0" fontId="61" fillId="0" borderId="6" xfId="0" applyFont="1" applyBorder="1" applyAlignment="1">
      <alignment horizontal="left"/>
    </xf>
    <xf numFmtId="0" fontId="61" fillId="0" borderId="10" xfId="0" applyFont="1" applyBorder="1" applyAlignment="1">
      <alignment horizontal="left"/>
    </xf>
    <xf numFmtId="0" fontId="62" fillId="0" borderId="3" xfId="0" applyFont="1" applyBorder="1" applyAlignment="1">
      <alignment horizontal="left"/>
    </xf>
    <xf numFmtId="0" fontId="62" fillId="0" borderId="4" xfId="0" applyFont="1" applyBorder="1" applyAlignment="1">
      <alignment horizontal="left"/>
    </xf>
    <xf numFmtId="0" fontId="62" fillId="0" borderId="3" xfId="0" applyFont="1" applyBorder="1" applyAlignment="1">
      <alignment horizontal="left" indent="3"/>
    </xf>
    <xf numFmtId="0" fontId="61" fillId="0" borderId="3" xfId="0" applyFont="1" applyBorder="1" applyAlignment="1">
      <alignment horizontal="left" indent="4"/>
    </xf>
    <xf numFmtId="0" fontId="61" fillId="0" borderId="3" xfId="0" applyFont="1" applyFill="1" applyBorder="1" applyAlignment="1">
      <alignment horizontal="left"/>
    </xf>
    <xf numFmtId="0" fontId="61" fillId="0" borderId="3" xfId="0" applyFont="1" applyFill="1" applyBorder="1" applyAlignment="1">
      <alignment horizontal="left" indent="2"/>
    </xf>
    <xf numFmtId="0" fontId="64" fillId="0" borderId="25" xfId="0" applyFont="1" applyBorder="1" applyAlignment="1">
      <alignment horizontal="left"/>
    </xf>
    <xf numFmtId="0" fontId="61" fillId="0" borderId="3" xfId="0" applyFont="1" applyBorder="1" applyAlignment="1">
      <alignment horizontal="left" indent="1"/>
    </xf>
    <xf numFmtId="0" fontId="61" fillId="0" borderId="4" xfId="0" applyFont="1" applyBorder="1" applyAlignment="1">
      <alignment horizontal="left" indent="1"/>
    </xf>
    <xf numFmtId="0" fontId="62" fillId="0" borderId="3" xfId="0" applyFont="1" applyBorder="1" applyAlignment="1">
      <alignment horizontal="left" indent="2"/>
    </xf>
    <xf numFmtId="0" fontId="69" fillId="0" borderId="38" xfId="0" applyFont="1" applyBorder="1" applyAlignment="1">
      <alignment horizontal="right"/>
    </xf>
    <xf numFmtId="10" fontId="69" fillId="0" borderId="39" xfId="1" applyNumberFormat="1" applyFont="1" applyBorder="1"/>
    <xf numFmtId="5" fontId="62" fillId="0" borderId="10" xfId="1" applyNumberFormat="1" applyFont="1" applyBorder="1" applyAlignment="1">
      <alignment horizontal="right"/>
    </xf>
    <xf numFmtId="165" fontId="62" fillId="0" borderId="5" xfId="1" quotePrefix="1" applyNumberFormat="1" applyFont="1" applyFill="1" applyBorder="1" applyAlignment="1">
      <alignment horizontal="right"/>
    </xf>
    <xf numFmtId="166" fontId="81" fillId="0" borderId="0" xfId="2" applyNumberFormat="1" applyFont="1" applyFill="1" applyAlignment="1">
      <alignment horizontal="right"/>
    </xf>
    <xf numFmtId="166" fontId="61" fillId="0" borderId="29" xfId="2" quotePrefix="1" applyNumberFormat="1" applyFont="1" applyFill="1" applyBorder="1" applyAlignment="1">
      <alignment horizontal="right"/>
    </xf>
    <xf numFmtId="43" fontId="61" fillId="0" borderId="8" xfId="1" applyFont="1" applyFill="1" applyBorder="1" applyAlignment="1">
      <alignment horizontal="right"/>
    </xf>
    <xf numFmtId="164" fontId="57" fillId="2" borderId="11" xfId="1" quotePrefix="1" applyNumberFormat="1" applyFont="1" applyFill="1" applyBorder="1" applyAlignment="1">
      <alignment horizontal="right"/>
    </xf>
    <xf numFmtId="164" fontId="57" fillId="2" borderId="4" xfId="1" quotePrefix="1" applyNumberFormat="1" applyFont="1" applyFill="1" applyBorder="1" applyAlignment="1">
      <alignment horizontal="right"/>
    </xf>
    <xf numFmtId="164" fontId="58" fillId="2" borderId="4" xfId="1" quotePrefix="1" applyNumberFormat="1" applyFont="1" applyFill="1" applyBorder="1" applyAlignment="1">
      <alignment horizontal="right"/>
    </xf>
    <xf numFmtId="164" fontId="61" fillId="0" borderId="4" xfId="1" applyNumberFormat="1" applyFont="1" applyFill="1" applyBorder="1" applyAlignment="1">
      <alignment horizontal="right"/>
    </xf>
    <xf numFmtId="164" fontId="61" fillId="0" borderId="4" xfId="1" applyNumberFormat="1" applyFont="1" applyBorder="1" applyAlignment="1">
      <alignment horizontal="right"/>
    </xf>
    <xf numFmtId="164" fontId="63" fillId="0" borderId="4" xfId="1" applyNumberFormat="1" applyFont="1" applyBorder="1" applyAlignment="1">
      <alignment horizontal="right"/>
    </xf>
    <xf numFmtId="164" fontId="62" fillId="0" borderId="4" xfId="1" applyNumberFormat="1" applyFont="1" applyFill="1" applyBorder="1" applyAlignment="1">
      <alignment horizontal="right"/>
    </xf>
    <xf numFmtId="164" fontId="63" fillId="0" borderId="4" xfId="1" applyNumberFormat="1" applyFont="1" applyFill="1" applyBorder="1" applyAlignment="1">
      <alignment horizontal="right"/>
    </xf>
    <xf numFmtId="164" fontId="53" fillId="0" borderId="4" xfId="1" applyNumberFormat="1" applyFont="1" applyBorder="1" applyAlignment="1">
      <alignment horizontal="right"/>
    </xf>
    <xf numFmtId="164" fontId="62" fillId="0" borderId="4" xfId="1" applyNumberFormat="1" applyFont="1" applyBorder="1" applyAlignment="1">
      <alignment horizontal="right"/>
    </xf>
    <xf numFmtId="43" fontId="62" fillId="0" borderId="4" xfId="1" applyFont="1" applyBorder="1" applyAlignment="1">
      <alignment horizontal="right"/>
    </xf>
    <xf numFmtId="43" fontId="62" fillId="0" borderId="4" xfId="1" applyFont="1" applyFill="1" applyBorder="1" applyAlignment="1">
      <alignment horizontal="right"/>
    </xf>
    <xf numFmtId="43" fontId="61" fillId="0" borderId="10" xfId="1" applyFont="1" applyFill="1" applyBorder="1" applyAlignment="1">
      <alignment horizontal="right"/>
    </xf>
    <xf numFmtId="164" fontId="77" fillId="0" borderId="26" xfId="1" applyNumberFormat="1" applyFont="1" applyBorder="1" applyAlignment="1">
      <alignment horizontal="right"/>
    </xf>
    <xf numFmtId="164" fontId="74" fillId="0" borderId="13" xfId="1" applyNumberFormat="1" applyFont="1" applyBorder="1" applyAlignment="1">
      <alignment horizontal="right"/>
    </xf>
    <xf numFmtId="164" fontId="78" fillId="0" borderId="26" xfId="1" applyNumberFormat="1" applyFont="1" applyBorder="1" applyAlignment="1">
      <alignment horizontal="right"/>
    </xf>
    <xf numFmtId="43" fontId="74" fillId="0" borderId="45" xfId="1" applyFont="1" applyFill="1" applyBorder="1" applyAlignment="1">
      <alignment horizontal="right"/>
    </xf>
    <xf numFmtId="164" fontId="57" fillId="2" borderId="33" xfId="1" quotePrefix="1" applyNumberFormat="1" applyFont="1" applyFill="1" applyBorder="1" applyAlignment="1">
      <alignment horizontal="center" vertical="center"/>
    </xf>
    <xf numFmtId="164" fontId="57" fillId="2" borderId="5" xfId="1" quotePrefix="1" applyNumberFormat="1" applyFont="1" applyFill="1" applyBorder="1" applyAlignment="1">
      <alignment horizontal="center" vertical="center"/>
    </xf>
    <xf numFmtId="0" fontId="0" fillId="0" borderId="3" xfId="0" applyBorder="1"/>
    <xf numFmtId="0" fontId="2" fillId="0" borderId="28" xfId="0" applyFont="1" applyFill="1" applyBorder="1" applyAlignment="1">
      <alignment horizontal="right"/>
    </xf>
    <xf numFmtId="0" fontId="0" fillId="0" borderId="27" xfId="0" applyBorder="1"/>
    <xf numFmtId="0" fontId="2" fillId="0" borderId="10" xfId="0" applyFont="1" applyBorder="1" applyAlignment="1">
      <alignment horizontal="right"/>
    </xf>
    <xf numFmtId="0" fontId="2" fillId="0" borderId="4" xfId="0" applyFont="1" applyBorder="1" applyAlignment="1">
      <alignment horizontal="right"/>
    </xf>
    <xf numFmtId="0" fontId="2" fillId="0" borderId="11" xfId="0" applyFont="1" applyBorder="1" applyAlignment="1">
      <alignment horizontal="right"/>
    </xf>
    <xf numFmtId="0" fontId="0" fillId="0" borderId="6" xfId="0" applyBorder="1"/>
    <xf numFmtId="0" fontId="0" fillId="0" borderId="1" xfId="0" applyBorder="1"/>
    <xf numFmtId="164" fontId="57" fillId="2" borderId="14" xfId="1" quotePrefix="1" applyNumberFormat="1" applyFont="1" applyFill="1" applyBorder="1" applyAlignment="1">
      <alignment horizontal="right" vertical="center"/>
    </xf>
    <xf numFmtId="164" fontId="57" fillId="2" borderId="14" xfId="1" quotePrefix="1" applyNumberFormat="1" applyFont="1" applyFill="1" applyBorder="1" applyAlignment="1">
      <alignment horizontal="center" vertical="center"/>
    </xf>
    <xf numFmtId="164" fontId="61" fillId="0" borderId="33" xfId="1" applyNumberFormat="1" applyFont="1" applyFill="1" applyBorder="1" applyAlignment="1">
      <alignment horizontal="right"/>
    </xf>
    <xf numFmtId="0" fontId="0" fillId="0" borderId="0" xfId="0"/>
    <xf numFmtId="165" fontId="61" fillId="0" borderId="5" xfId="1" applyNumberFormat="1" applyFont="1" applyFill="1" applyBorder="1" applyAlignment="1">
      <alignment horizontal="right"/>
    </xf>
    <xf numFmtId="164" fontId="61" fillId="0" borderId="5" xfId="1" applyNumberFormat="1" applyFont="1" applyFill="1" applyBorder="1" applyAlignment="1">
      <alignment horizontal="right"/>
    </xf>
    <xf numFmtId="164" fontId="62" fillId="0" borderId="5" xfId="1" applyNumberFormat="1" applyFont="1" applyFill="1" applyBorder="1" applyAlignment="1">
      <alignment horizontal="right"/>
    </xf>
    <xf numFmtId="43" fontId="74" fillId="0" borderId="42" xfId="1" applyFont="1" applyFill="1" applyBorder="1" applyAlignment="1">
      <alignment horizontal="right"/>
    </xf>
    <xf numFmtId="164" fontId="63" fillId="0" borderId="5" xfId="1" applyNumberFormat="1" applyFont="1" applyFill="1" applyBorder="1" applyAlignment="1">
      <alignment horizontal="right"/>
    </xf>
    <xf numFmtId="43" fontId="62" fillId="0" borderId="5" xfId="1" applyFont="1" applyFill="1" applyBorder="1" applyAlignment="1">
      <alignment horizontal="right"/>
    </xf>
    <xf numFmtId="164" fontId="53" fillId="0" borderId="5" xfId="1" applyNumberFormat="1" applyFont="1" applyFill="1" applyBorder="1" applyAlignment="1">
      <alignment horizontal="right"/>
    </xf>
    <xf numFmtId="164" fontId="77" fillId="0" borderId="32" xfId="1" applyNumberFormat="1" applyFont="1" applyFill="1" applyBorder="1" applyAlignment="1">
      <alignment horizontal="right"/>
    </xf>
    <xf numFmtId="164" fontId="74" fillId="0" borderId="29" xfId="1" applyNumberFormat="1" applyFont="1" applyFill="1" applyBorder="1" applyAlignment="1">
      <alignment horizontal="right"/>
    </xf>
    <xf numFmtId="164" fontId="78" fillId="0" borderId="32" xfId="1" applyNumberFormat="1" applyFont="1" applyFill="1" applyBorder="1" applyAlignment="1">
      <alignment horizontal="right"/>
    </xf>
    <xf numFmtId="166" fontId="61" fillId="10" borderId="5" xfId="2" applyNumberFormat="1" applyFont="1" applyFill="1" applyBorder="1" applyAlignment="1">
      <alignment horizontal="right"/>
    </xf>
    <xf numFmtId="0" fontId="61" fillId="0" borderId="4" xfId="0" applyFont="1" applyFill="1" applyBorder="1" applyAlignment="1">
      <alignment horizontal="left"/>
    </xf>
    <xf numFmtId="164" fontId="61" fillId="10" borderId="5" xfId="1" quotePrefix="1" applyNumberFormat="1" applyFont="1" applyFill="1" applyBorder="1" applyAlignment="1">
      <alignment horizontal="right"/>
    </xf>
    <xf numFmtId="9" fontId="61" fillId="0" borderId="0" xfId="2" applyFont="1" applyBorder="1" applyAlignment="1">
      <alignment horizontal="right"/>
    </xf>
    <xf numFmtId="165" fontId="0" fillId="0" borderId="0" xfId="0" applyNumberFormat="1"/>
    <xf numFmtId="165" fontId="62" fillId="0" borderId="14" xfId="1" applyNumberFormat="1" applyFont="1" applyFill="1" applyBorder="1" applyAlignment="1">
      <alignment horizontal="right"/>
    </xf>
    <xf numFmtId="43" fontId="0" fillId="0" borderId="0" xfId="1" applyFont="1"/>
    <xf numFmtId="0" fontId="61" fillId="0" borderId="3" xfId="0" applyFont="1" applyFill="1" applyBorder="1" applyAlignment="1">
      <alignment horizontal="left" indent="1"/>
    </xf>
    <xf numFmtId="0" fontId="81" fillId="0" borderId="3" xfId="0" applyFont="1" applyBorder="1" applyAlignment="1">
      <alignment horizontal="left" indent="2"/>
    </xf>
    <xf numFmtId="0" fontId="81" fillId="0" borderId="4" xfId="0" applyFont="1" applyBorder="1" applyAlignment="1">
      <alignment horizontal="left" indent="2"/>
    </xf>
    <xf numFmtId="0" fontId="82" fillId="0" borderId="0" xfId="0" applyFont="1" applyAlignment="1">
      <alignment horizontal="left" indent="1"/>
    </xf>
    <xf numFmtId="0" fontId="82" fillId="0" borderId="0" xfId="0" applyFont="1" applyFill="1" applyAlignment="1">
      <alignment horizontal="left"/>
    </xf>
    <xf numFmtId="0" fontId="82" fillId="0" borderId="0" xfId="0" applyFont="1" applyFill="1"/>
    <xf numFmtId="0" fontId="81" fillId="0" borderId="4" xfId="0" applyFont="1" applyBorder="1" applyAlignment="1">
      <alignment horizontal="left" indent="1"/>
    </xf>
    <xf numFmtId="0" fontId="82" fillId="0" borderId="0" xfId="0" applyFont="1"/>
    <xf numFmtId="166" fontId="81" fillId="0" borderId="5" xfId="2" applyNumberFormat="1" applyFont="1" applyFill="1" applyBorder="1" applyAlignment="1">
      <alignment horizontal="right"/>
    </xf>
    <xf numFmtId="166" fontId="81" fillId="0" borderId="0" xfId="2" applyNumberFormat="1" applyFont="1" applyAlignment="1">
      <alignment horizontal="right"/>
    </xf>
    <xf numFmtId="166" fontId="81" fillId="0" borderId="5" xfId="2" applyNumberFormat="1" applyFont="1" applyBorder="1" applyAlignment="1">
      <alignment horizontal="right"/>
    </xf>
    <xf numFmtId="166" fontId="81" fillId="9" borderId="0" xfId="2" applyNumberFormat="1" applyFont="1" applyFill="1" applyAlignment="1">
      <alignment horizontal="right"/>
    </xf>
    <xf numFmtId="0" fontId="82" fillId="0" borderId="4" xfId="0" applyFont="1" applyBorder="1"/>
    <xf numFmtId="165" fontId="62" fillId="0" borderId="5" xfId="1" quotePrefix="1" applyNumberFormat="1" applyFont="1" applyBorder="1" applyAlignment="1">
      <alignment horizontal="right"/>
    </xf>
    <xf numFmtId="165" fontId="62" fillId="0" borderId="32" xfId="1" quotePrefix="1" applyNumberFormat="1" applyFont="1" applyBorder="1" applyAlignment="1">
      <alignment horizontal="right"/>
    </xf>
    <xf numFmtId="164" fontId="63" fillId="0" borderId="5" xfId="1" quotePrefix="1" applyNumberFormat="1" applyFont="1" applyBorder="1" applyAlignment="1">
      <alignment horizontal="right"/>
    </xf>
    <xf numFmtId="164" fontId="62" fillId="0" borderId="5" xfId="2" applyNumberFormat="1" applyFont="1" applyBorder="1" applyAlignment="1">
      <alignment horizontal="right"/>
    </xf>
    <xf numFmtId="43" fontId="4" fillId="0" borderId="0" xfId="1" applyFont="1" applyFill="1"/>
    <xf numFmtId="166" fontId="82" fillId="0" borderId="0" xfId="2" applyNumberFormat="1" applyFont="1" applyAlignment="1">
      <alignment horizontal="right"/>
    </xf>
    <xf numFmtId="165" fontId="82" fillId="0" borderId="0" xfId="1" applyNumberFormat="1" applyFont="1" applyAlignment="1">
      <alignment horizontal="left"/>
    </xf>
    <xf numFmtId="165" fontId="82" fillId="0" borderId="0" xfId="1" applyNumberFormat="1" applyFont="1" applyAlignment="1">
      <alignment horizontal="right"/>
    </xf>
    <xf numFmtId="167" fontId="82" fillId="0" borderId="0" xfId="1" applyNumberFormat="1" applyFont="1" applyAlignment="1">
      <alignment horizontal="left"/>
    </xf>
    <xf numFmtId="9" fontId="62" fillId="10" borderId="0" xfId="2" applyFont="1" applyFill="1" applyAlignment="1">
      <alignment horizontal="right"/>
    </xf>
    <xf numFmtId="166" fontId="62" fillId="10" borderId="0" xfId="2" applyNumberFormat="1" applyFont="1" applyFill="1" applyAlignment="1">
      <alignment horizontal="right"/>
    </xf>
    <xf numFmtId="165" fontId="63" fillId="10" borderId="0" xfId="1" applyNumberFormat="1" applyFont="1" applyFill="1" applyAlignment="1">
      <alignment horizontal="right"/>
    </xf>
    <xf numFmtId="164" fontId="63" fillId="10" borderId="0" xfId="1" applyNumberFormat="1" applyFont="1" applyFill="1" applyAlignment="1">
      <alignment horizontal="right"/>
    </xf>
    <xf numFmtId="9" fontId="62" fillId="10" borderId="0" xfId="2" applyNumberFormat="1" applyFont="1" applyFill="1" applyAlignment="1">
      <alignment horizontal="right"/>
    </xf>
    <xf numFmtId="164" fontId="62" fillId="10" borderId="5" xfId="1" applyNumberFormat="1" applyFont="1" applyFill="1" applyBorder="1" applyAlignment="1">
      <alignment horizontal="right"/>
    </xf>
    <xf numFmtId="164" fontId="62" fillId="13" borderId="0" xfId="1" applyNumberFormat="1" applyFont="1" applyFill="1" applyAlignment="1">
      <alignment horizontal="right"/>
    </xf>
    <xf numFmtId="164" fontId="62" fillId="13" borderId="5" xfId="1" applyNumberFormat="1" applyFont="1" applyFill="1" applyBorder="1" applyAlignment="1">
      <alignment horizontal="right"/>
    </xf>
    <xf numFmtId="43" fontId="62" fillId="10" borderId="5" xfId="1" applyFont="1" applyFill="1" applyBorder="1" applyAlignment="1">
      <alignment horizontal="right"/>
    </xf>
    <xf numFmtId="43" fontId="74" fillId="10" borderId="42" xfId="1" applyFont="1" applyFill="1" applyBorder="1" applyAlignment="1">
      <alignment horizontal="right"/>
    </xf>
    <xf numFmtId="165" fontId="82" fillId="0" borderId="0" xfId="1" applyNumberFormat="1" applyFont="1" applyAlignment="1"/>
    <xf numFmtId="166" fontId="83" fillId="0" borderId="5" xfId="2" quotePrefix="1" applyNumberFormat="1" applyFont="1" applyBorder="1" applyAlignment="1">
      <alignment horizontal="right"/>
    </xf>
    <xf numFmtId="166" fontId="73" fillId="10" borderId="5" xfId="2" quotePrefix="1" applyNumberFormat="1" applyFont="1" applyFill="1" applyBorder="1" applyAlignment="1">
      <alignment horizontal="right"/>
    </xf>
    <xf numFmtId="0" fontId="73" fillId="0" borderId="0" xfId="0" applyFont="1" applyAlignment="1">
      <alignment horizontal="left"/>
    </xf>
    <xf numFmtId="10" fontId="73" fillId="0" borderId="0" xfId="2" applyNumberFormat="1" applyFont="1" applyAlignment="1">
      <alignment horizontal="right"/>
    </xf>
    <xf numFmtId="166" fontId="73" fillId="0" borderId="0" xfId="2" applyNumberFormat="1" applyFont="1" applyAlignment="1">
      <alignment horizontal="right"/>
    </xf>
    <xf numFmtId="164" fontId="73" fillId="0" borderId="0" xfId="1" applyNumberFormat="1" applyFont="1" applyAlignment="1">
      <alignment horizontal="left"/>
    </xf>
    <xf numFmtId="9" fontId="73" fillId="10" borderId="0" xfId="2" applyNumberFormat="1" applyFont="1" applyFill="1" applyAlignment="1">
      <alignment horizontal="right"/>
    </xf>
    <xf numFmtId="9" fontId="73" fillId="0" borderId="0" xfId="2" applyNumberFormat="1" applyFont="1" applyFill="1" applyAlignment="1">
      <alignment horizontal="right"/>
    </xf>
    <xf numFmtId="166" fontId="61" fillId="10" borderId="29" xfId="2" quotePrefix="1" applyNumberFormat="1" applyFont="1" applyFill="1" applyBorder="1" applyAlignment="1">
      <alignment horizontal="right"/>
    </xf>
    <xf numFmtId="166" fontId="61" fillId="9" borderId="30" xfId="2" applyNumberFormat="1" applyFont="1" applyFill="1" applyBorder="1" applyAlignment="1">
      <alignment horizontal="right"/>
    </xf>
    <xf numFmtId="165" fontId="84" fillId="0" borderId="0" xfId="2" applyNumberFormat="1" applyFont="1" applyAlignment="1">
      <alignment horizontal="right"/>
    </xf>
    <xf numFmtId="0" fontId="73" fillId="0" borderId="0" xfId="0" quotePrefix="1" applyFont="1"/>
    <xf numFmtId="166" fontId="84" fillId="0" borderId="0" xfId="2" applyNumberFormat="1" applyFont="1" applyFill="1" applyAlignment="1">
      <alignment horizontal="right"/>
    </xf>
    <xf numFmtId="9" fontId="84" fillId="0" borderId="0" xfId="2" applyFont="1" applyFill="1" applyAlignment="1">
      <alignment horizontal="right"/>
    </xf>
    <xf numFmtId="43" fontId="84" fillId="0" borderId="0" xfId="1" applyFont="1" applyFill="1" applyAlignment="1">
      <alignment horizontal="right"/>
    </xf>
    <xf numFmtId="9" fontId="73" fillId="0" borderId="0" xfId="2" applyFont="1" applyFill="1" applyAlignment="1">
      <alignment horizontal="right"/>
    </xf>
    <xf numFmtId="165" fontId="84" fillId="0" borderId="0" xfId="2" applyNumberFormat="1" applyFont="1" applyFill="1" applyAlignment="1">
      <alignment horizontal="right"/>
    </xf>
    <xf numFmtId="10" fontId="84" fillId="0" borderId="0" xfId="2" applyNumberFormat="1" applyFont="1" applyAlignment="1">
      <alignment horizontal="right"/>
    </xf>
    <xf numFmtId="9" fontId="84" fillId="0" borderId="0" xfId="2" applyFont="1" applyAlignment="1">
      <alignment horizontal="right"/>
    </xf>
    <xf numFmtId="43" fontId="84" fillId="0" borderId="0" xfId="2" applyNumberFormat="1" applyFont="1" applyAlignment="1">
      <alignment horizontal="right"/>
    </xf>
    <xf numFmtId="9" fontId="73" fillId="10" borderId="0" xfId="2" applyFont="1" applyFill="1" applyAlignment="1">
      <alignment horizontal="right"/>
    </xf>
    <xf numFmtId="9" fontId="74" fillId="0" borderId="2" xfId="2" quotePrefix="1" applyFont="1" applyBorder="1" applyAlignment="1">
      <alignment horizontal="right"/>
    </xf>
    <xf numFmtId="164" fontId="74" fillId="0" borderId="2" xfId="1" quotePrefix="1" applyNumberFormat="1" applyFont="1" applyBorder="1" applyAlignment="1">
      <alignment horizontal="right"/>
    </xf>
    <xf numFmtId="165" fontId="74" fillId="0" borderId="2" xfId="1" quotePrefix="1" applyNumberFormat="1" applyFont="1" applyBorder="1" applyAlignment="1">
      <alignment horizontal="right"/>
    </xf>
    <xf numFmtId="226" fontId="74" fillId="0" borderId="2" xfId="1" quotePrefix="1" applyNumberFormat="1" applyFont="1" applyBorder="1" applyAlignment="1">
      <alignment horizontal="right"/>
    </xf>
    <xf numFmtId="43" fontId="74" fillId="13" borderId="44" xfId="1" applyFont="1" applyFill="1" applyBorder="1" applyAlignment="1">
      <alignment horizontal="right"/>
    </xf>
    <xf numFmtId="43" fontId="74" fillId="13" borderId="42" xfId="1" applyFont="1" applyFill="1" applyBorder="1" applyAlignment="1">
      <alignment horizontal="right"/>
    </xf>
    <xf numFmtId="166" fontId="61" fillId="0" borderId="29" xfId="2" applyNumberFormat="1" applyFont="1" applyBorder="1" applyAlignment="1">
      <alignment horizontal="right"/>
    </xf>
    <xf numFmtId="43" fontId="82" fillId="0" borderId="0" xfId="1" applyFont="1" applyAlignment="1">
      <alignment horizontal="right"/>
    </xf>
    <xf numFmtId="165" fontId="82" fillId="0" borderId="0" xfId="1" applyNumberFormat="1" applyFont="1" applyFill="1" applyAlignment="1">
      <alignment horizontal="left"/>
    </xf>
    <xf numFmtId="14" fontId="0" fillId="0" borderId="0" xfId="0" applyNumberFormat="1"/>
    <xf numFmtId="4" fontId="0" fillId="0" borderId="0" xfId="0" applyNumberFormat="1"/>
    <xf numFmtId="226" fontId="74" fillId="0" borderId="2" xfId="1" quotePrefix="1" applyNumberFormat="1" applyFont="1" applyFill="1" applyBorder="1" applyAlignment="1">
      <alignment horizontal="right"/>
    </xf>
    <xf numFmtId="43" fontId="73" fillId="0" borderId="0" xfId="1" quotePrefix="1" applyFont="1" applyAlignment="1">
      <alignment horizontal="right"/>
    </xf>
    <xf numFmtId="164" fontId="73" fillId="0" borderId="0" xfId="1" quotePrefix="1" applyNumberFormat="1" applyFont="1" applyAlignment="1">
      <alignment horizontal="right"/>
    </xf>
    <xf numFmtId="165" fontId="73" fillId="0" borderId="0" xfId="0" applyNumberFormat="1" applyFont="1" applyAlignment="1">
      <alignment horizontal="right"/>
    </xf>
    <xf numFmtId="165" fontId="73" fillId="0" borderId="0" xfId="2" applyNumberFormat="1" applyFont="1" applyAlignment="1">
      <alignment horizontal="right"/>
    </xf>
    <xf numFmtId="0" fontId="64" fillId="0" borderId="25" xfId="0" applyFont="1" applyBorder="1" applyAlignment="1">
      <alignment horizontal="left"/>
    </xf>
    <xf numFmtId="0" fontId="60" fillId="2" borderId="3" xfId="0" applyFont="1" applyFill="1" applyBorder="1" applyAlignment="1">
      <alignment horizontal="left"/>
    </xf>
    <xf numFmtId="0" fontId="60" fillId="2" borderId="4" xfId="0" applyFont="1" applyFill="1" applyBorder="1" applyAlignment="1">
      <alignment horizontal="left"/>
    </xf>
    <xf numFmtId="0" fontId="61" fillId="0" borderId="3" xfId="0" applyFont="1" applyBorder="1" applyAlignment="1">
      <alignment horizontal="left"/>
    </xf>
    <xf numFmtId="0" fontId="61" fillId="0" borderId="4" xfId="0" applyFont="1" applyBorder="1" applyAlignment="1">
      <alignment horizontal="left"/>
    </xf>
    <xf numFmtId="0" fontId="62" fillId="0" borderId="3" xfId="0" applyFont="1" applyBorder="1" applyAlignment="1">
      <alignment horizontal="left"/>
    </xf>
    <xf numFmtId="0" fontId="62" fillId="0" borderId="4" xfId="0" applyFont="1" applyBorder="1" applyAlignment="1">
      <alignment horizontal="left"/>
    </xf>
    <xf numFmtId="0" fontId="61" fillId="0" borderId="6" xfId="0" applyFont="1" applyBorder="1" applyAlignment="1">
      <alignment horizontal="left"/>
    </xf>
    <xf numFmtId="0" fontId="61" fillId="0" borderId="10" xfId="0" applyFont="1" applyBorder="1" applyAlignment="1">
      <alignment horizontal="left"/>
    </xf>
    <xf numFmtId="0" fontId="62" fillId="0" borderId="3" xfId="0" applyFont="1" applyBorder="1" applyAlignment="1">
      <alignment horizontal="left" indent="1"/>
    </xf>
    <xf numFmtId="0" fontId="62" fillId="0" borderId="4" xfId="0" applyFont="1" applyBorder="1" applyAlignment="1">
      <alignment horizontal="left" indent="1"/>
    </xf>
    <xf numFmtId="0" fontId="61" fillId="11" borderId="3" xfId="0" applyFont="1" applyFill="1" applyBorder="1" applyAlignment="1">
      <alignment horizontal="left"/>
    </xf>
    <xf numFmtId="0" fontId="61" fillId="11" borderId="4" xfId="0" applyFont="1" applyFill="1" applyBorder="1" applyAlignment="1">
      <alignment horizontal="left"/>
    </xf>
    <xf numFmtId="0" fontId="62" fillId="11" borderId="3" xfId="0" applyFont="1" applyFill="1" applyBorder="1" applyAlignment="1">
      <alignment horizontal="left" indent="1"/>
    </xf>
    <xf numFmtId="0" fontId="61" fillId="0" borderId="3" xfId="0" applyFont="1" applyBorder="1" applyAlignment="1">
      <alignment horizontal="left" indent="1"/>
    </xf>
    <xf numFmtId="0" fontId="61" fillId="0" borderId="4" xfId="0" applyFont="1" applyBorder="1" applyAlignment="1">
      <alignment horizontal="left" indent="1"/>
    </xf>
    <xf numFmtId="0" fontId="62" fillId="0" borderId="3" xfId="0" applyFont="1" applyBorder="1" applyAlignment="1">
      <alignment horizontal="left" indent="2"/>
    </xf>
    <xf numFmtId="0" fontId="62" fillId="0" borderId="3" xfId="0" applyFont="1" applyBorder="1" applyAlignment="1">
      <alignment horizontal="left" indent="3"/>
    </xf>
    <xf numFmtId="0" fontId="61" fillId="0" borderId="3" xfId="0" applyFont="1" applyBorder="1" applyAlignment="1">
      <alignment horizontal="left" indent="4"/>
    </xf>
    <xf numFmtId="0" fontId="61" fillId="0" borderId="3" xfId="0" applyFont="1" applyFill="1" applyBorder="1" applyAlignment="1">
      <alignment horizontal="left"/>
    </xf>
    <xf numFmtId="0" fontId="61" fillId="0" borderId="4" xfId="0" applyFont="1" applyFill="1" applyBorder="1" applyAlignment="1">
      <alignment horizontal="left"/>
    </xf>
    <xf numFmtId="0" fontId="61" fillId="0" borderId="3" xfId="0" applyFont="1" applyFill="1" applyBorder="1" applyAlignment="1">
      <alignment horizontal="left" indent="2"/>
    </xf>
    <xf numFmtId="9" fontId="4" fillId="0" borderId="0" xfId="2" applyFont="1" applyFill="1"/>
    <xf numFmtId="166" fontId="62" fillId="9" borderId="0" xfId="2" applyNumberFormat="1" applyFont="1" applyFill="1" applyAlignment="1">
      <alignment horizontal="right"/>
    </xf>
    <xf numFmtId="0" fontId="81" fillId="0" borderId="0" xfId="0" applyFont="1" applyFill="1"/>
    <xf numFmtId="0" fontId="81" fillId="0" borderId="4" xfId="0" applyFont="1" applyBorder="1"/>
    <xf numFmtId="0" fontId="81" fillId="0" borderId="0" xfId="0" applyFont="1"/>
    <xf numFmtId="10" fontId="82" fillId="0" borderId="0" xfId="2" applyNumberFormat="1" applyFont="1" applyAlignment="1">
      <alignment horizontal="right"/>
    </xf>
    <xf numFmtId="0" fontId="60" fillId="0" borderId="4" xfId="0" applyFont="1" applyBorder="1" applyAlignment="1">
      <alignment horizontal="center" wrapText="1"/>
    </xf>
    <xf numFmtId="0" fontId="59" fillId="2" borderId="1" xfId="0" applyFont="1" applyFill="1" applyBorder="1" applyAlignment="1">
      <alignment horizontal="left"/>
    </xf>
    <xf numFmtId="0" fontId="59" fillId="2" borderId="11" xfId="0" applyFont="1" applyFill="1" applyBorder="1" applyAlignment="1">
      <alignment horizontal="left"/>
    </xf>
    <xf numFmtId="0" fontId="60" fillId="2" borderId="3" xfId="0" applyFont="1" applyFill="1" applyBorder="1" applyAlignment="1">
      <alignment horizontal="left"/>
    </xf>
    <xf numFmtId="0" fontId="60" fillId="2" borderId="4" xfId="0" applyFont="1" applyFill="1" applyBorder="1" applyAlignment="1">
      <alignment horizontal="left"/>
    </xf>
    <xf numFmtId="0" fontId="61" fillId="0" borderId="3" xfId="0" applyFont="1" applyFill="1" applyBorder="1" applyAlignment="1">
      <alignment horizontal="left"/>
    </xf>
    <xf numFmtId="0" fontId="61" fillId="0" borderId="4" xfId="0" applyFont="1" applyFill="1" applyBorder="1" applyAlignment="1">
      <alignment horizontal="left"/>
    </xf>
    <xf numFmtId="0" fontId="62" fillId="0" borderId="3" xfId="0" applyFont="1" applyFill="1" applyBorder="1" applyAlignment="1">
      <alignment horizontal="left" indent="1"/>
    </xf>
    <xf numFmtId="0" fontId="62" fillId="0" borderId="4" xfId="0" applyFont="1" applyFill="1" applyBorder="1" applyAlignment="1">
      <alignment horizontal="left" indent="1"/>
    </xf>
    <xf numFmtId="0" fontId="61" fillId="0" borderId="3" xfId="0" applyFont="1" applyFill="1" applyBorder="1" applyAlignment="1">
      <alignment horizontal="left" indent="2"/>
    </xf>
    <xf numFmtId="0" fontId="61" fillId="0" borderId="4" xfId="0" applyFont="1" applyFill="1" applyBorder="1" applyAlignment="1">
      <alignment horizontal="left" indent="2"/>
    </xf>
    <xf numFmtId="0" fontId="61" fillId="0" borderId="3" xfId="0" applyFont="1" applyFill="1" applyBorder="1" applyAlignment="1">
      <alignment horizontal="left" indent="5"/>
    </xf>
    <xf numFmtId="0" fontId="61" fillId="0" borderId="4" xfId="0" applyFont="1" applyFill="1" applyBorder="1" applyAlignment="1">
      <alignment horizontal="left" indent="5"/>
    </xf>
    <xf numFmtId="0" fontId="61" fillId="0" borderId="27" xfId="0" applyFont="1" applyBorder="1" applyAlignment="1">
      <alignment horizontal="left" vertical="top" wrapText="1"/>
    </xf>
    <xf numFmtId="0" fontId="61" fillId="0" borderId="28" xfId="0" applyFont="1" applyBorder="1" applyAlignment="1">
      <alignment horizontal="left" vertical="top" wrapText="1"/>
    </xf>
    <xf numFmtId="0" fontId="61" fillId="9" borderId="1" xfId="0" applyFont="1" applyFill="1" applyBorder="1" applyAlignment="1">
      <alignment horizontal="left"/>
    </xf>
    <xf numFmtId="0" fontId="61" fillId="9" borderId="11" xfId="0" applyFont="1" applyFill="1" applyBorder="1" applyAlignment="1">
      <alignment horizontal="left"/>
    </xf>
    <xf numFmtId="0" fontId="61" fillId="10" borderId="3" xfId="0" applyFont="1" applyFill="1" applyBorder="1" applyAlignment="1">
      <alignment horizontal="left"/>
    </xf>
    <xf numFmtId="0" fontId="61" fillId="10" borderId="4" xfId="0" applyFont="1" applyFill="1" applyBorder="1" applyAlignment="1">
      <alignment horizontal="left"/>
    </xf>
    <xf numFmtId="0" fontId="61" fillId="13" borderId="6" xfId="0" applyFont="1" applyFill="1" applyBorder="1" applyAlignment="1">
      <alignment horizontal="left"/>
    </xf>
    <xf numFmtId="0" fontId="61" fillId="13" borderId="10" xfId="0" applyFont="1" applyFill="1" applyBorder="1" applyAlignment="1">
      <alignment horizontal="left"/>
    </xf>
    <xf numFmtId="0" fontId="62" fillId="0" borderId="3" xfId="0" applyFont="1" applyBorder="1" applyAlignment="1">
      <alignment horizontal="left" indent="1"/>
    </xf>
    <xf numFmtId="0" fontId="62" fillId="0" borderId="4" xfId="0" applyFont="1" applyBorder="1" applyAlignment="1">
      <alignment horizontal="left" indent="1"/>
    </xf>
    <xf numFmtId="0" fontId="59" fillId="2" borderId="3" xfId="0" applyFont="1" applyFill="1" applyBorder="1" applyAlignment="1">
      <alignment horizontal="left"/>
    </xf>
    <xf numFmtId="0" fontId="59" fillId="2" borderId="4" xfId="0" applyFont="1" applyFill="1" applyBorder="1" applyAlignment="1">
      <alignment horizontal="left"/>
    </xf>
    <xf numFmtId="0" fontId="64" fillId="0" borderId="3" xfId="0" applyFont="1" applyBorder="1" applyAlignment="1">
      <alignment horizontal="left"/>
    </xf>
    <xf numFmtId="0" fontId="64" fillId="0" borderId="4" xfId="0" applyFont="1" applyBorder="1" applyAlignment="1">
      <alignment horizontal="left"/>
    </xf>
    <xf numFmtId="0" fontId="62" fillId="0" borderId="3" xfId="0" applyFont="1" applyBorder="1" applyAlignment="1">
      <alignment horizontal="left" indent="3"/>
    </xf>
    <xf numFmtId="0" fontId="62" fillId="0" borderId="4" xfId="0" applyFont="1" applyBorder="1" applyAlignment="1">
      <alignment horizontal="left" indent="3"/>
    </xf>
    <xf numFmtId="0" fontId="61" fillId="0" borderId="3" xfId="0" applyFont="1" applyBorder="1" applyAlignment="1">
      <alignment horizontal="left" indent="4"/>
    </xf>
    <xf numFmtId="0" fontId="61" fillId="0" borderId="4" xfId="0" applyFont="1" applyBorder="1" applyAlignment="1">
      <alignment horizontal="left" indent="4"/>
    </xf>
    <xf numFmtId="0" fontId="61" fillId="0" borderId="3" xfId="0" applyFont="1" applyBorder="1" applyAlignment="1">
      <alignment horizontal="left"/>
    </xf>
    <xf numFmtId="0" fontId="61" fillId="0" borderId="4" xfId="0" applyFont="1" applyBorder="1" applyAlignment="1">
      <alignment horizontal="left"/>
    </xf>
    <xf numFmtId="0" fontId="64" fillId="0" borderId="25" xfId="0" applyFont="1" applyFill="1" applyBorder="1" applyAlignment="1">
      <alignment horizontal="left"/>
    </xf>
    <xf numFmtId="0" fontId="64" fillId="0" borderId="26" xfId="0" applyFont="1" applyFill="1" applyBorder="1" applyAlignment="1">
      <alignment horizontal="left"/>
    </xf>
    <xf numFmtId="0" fontId="62" fillId="0" borderId="12" xfId="0" applyFont="1" applyBorder="1" applyAlignment="1">
      <alignment horizontal="left" indent="2"/>
    </xf>
    <xf numFmtId="0" fontId="62" fillId="0" borderId="13" xfId="0" applyFont="1" applyBorder="1" applyAlignment="1">
      <alignment horizontal="left" indent="2"/>
    </xf>
    <xf numFmtId="0" fontId="62" fillId="0" borderId="12" xfId="0" applyFont="1" applyBorder="1" applyAlignment="1">
      <alignment horizontal="left"/>
    </xf>
    <xf numFmtId="0" fontId="62" fillId="0" borderId="13" xfId="0" applyFont="1" applyBorder="1" applyAlignment="1">
      <alignment horizontal="left"/>
    </xf>
    <xf numFmtId="0" fontId="64" fillId="0" borderId="25" xfId="0" applyFont="1" applyBorder="1" applyAlignment="1">
      <alignment horizontal="left"/>
    </xf>
    <xf numFmtId="0" fontId="64" fillId="0" borderId="26" xfId="0" applyFont="1" applyBorder="1" applyAlignment="1">
      <alignment horizontal="left"/>
    </xf>
    <xf numFmtId="0" fontId="61" fillId="0" borderId="3" xfId="0" applyFont="1" applyBorder="1" applyAlignment="1">
      <alignment horizontal="left" indent="1"/>
    </xf>
    <xf numFmtId="0" fontId="61" fillId="0" borderId="4" xfId="0" applyFont="1" applyBorder="1" applyAlignment="1">
      <alignment horizontal="left" indent="1"/>
    </xf>
    <xf numFmtId="0" fontId="0" fillId="0" borderId="25" xfId="0" applyBorder="1" applyAlignment="1">
      <alignment horizontal="left"/>
    </xf>
    <xf numFmtId="0" fontId="1" fillId="0" borderId="26" xfId="0" applyFont="1" applyBorder="1" applyAlignment="1">
      <alignment horizontal="left"/>
    </xf>
    <xf numFmtId="0" fontId="0" fillId="0" borderId="3" xfId="0" applyBorder="1" applyAlignment="1">
      <alignment horizontal="left"/>
    </xf>
    <xf numFmtId="0" fontId="1" fillId="0" borderId="4" xfId="0" applyFont="1" applyBorder="1" applyAlignment="1">
      <alignment horizontal="left"/>
    </xf>
    <xf numFmtId="0" fontId="0" fillId="0" borderId="12" xfId="0" applyBorder="1" applyAlignment="1">
      <alignment horizontal="left"/>
    </xf>
    <xf numFmtId="0" fontId="1" fillId="0" borderId="13" xfId="0" applyFont="1" applyBorder="1" applyAlignment="1">
      <alignment horizontal="left"/>
    </xf>
    <xf numFmtId="0" fontId="62" fillId="0" borderId="3" xfId="0" applyFont="1" applyBorder="1" applyAlignment="1">
      <alignment horizontal="left" indent="2"/>
    </xf>
    <xf numFmtId="0" fontId="62" fillId="0" borderId="4" xfId="0" applyFont="1" applyBorder="1" applyAlignment="1">
      <alignment horizontal="left" indent="2"/>
    </xf>
    <xf numFmtId="0" fontId="61" fillId="0" borderId="3" xfId="3" applyFont="1" applyFill="1" applyBorder="1" applyAlignment="1">
      <alignment horizontal="left" vertical="top"/>
    </xf>
    <xf numFmtId="0" fontId="61" fillId="0" borderId="4" xfId="3" applyFont="1" applyFill="1" applyBorder="1" applyAlignment="1">
      <alignment horizontal="left" vertical="top"/>
    </xf>
    <xf numFmtId="0" fontId="62" fillId="0" borderId="6" xfId="0" applyFont="1" applyBorder="1" applyAlignment="1">
      <alignment horizontal="left" indent="2"/>
    </xf>
    <xf numFmtId="0" fontId="62" fillId="0" borderId="10" xfId="0" applyFont="1" applyBorder="1" applyAlignment="1">
      <alignment horizontal="left" indent="2"/>
    </xf>
    <xf numFmtId="0" fontId="61" fillId="11" borderId="3" xfId="0" applyFont="1" applyFill="1" applyBorder="1" applyAlignment="1">
      <alignment horizontal="left"/>
    </xf>
    <xf numFmtId="0" fontId="61" fillId="11" borderId="4" xfId="0" applyFont="1" applyFill="1" applyBorder="1" applyAlignment="1">
      <alignment horizontal="left"/>
    </xf>
    <xf numFmtId="0" fontId="62" fillId="11" borderId="3" xfId="0" applyFont="1" applyFill="1" applyBorder="1" applyAlignment="1">
      <alignment horizontal="left" indent="2"/>
    </xf>
    <xf numFmtId="0" fontId="62" fillId="11" borderId="4" xfId="0" applyFont="1" applyFill="1" applyBorder="1" applyAlignment="1">
      <alignment horizontal="left" indent="2"/>
    </xf>
    <xf numFmtId="0" fontId="64" fillId="11" borderId="25" xfId="0" applyFont="1" applyFill="1" applyBorder="1" applyAlignment="1">
      <alignment horizontal="left"/>
    </xf>
    <xf numFmtId="0" fontId="64" fillId="11" borderId="26" xfId="0" applyFont="1" applyFill="1" applyBorder="1" applyAlignment="1">
      <alignment horizontal="left"/>
    </xf>
    <xf numFmtId="0" fontId="62" fillId="11" borderId="3" xfId="0" applyFont="1" applyFill="1" applyBorder="1" applyAlignment="1">
      <alignment horizontal="left" indent="1"/>
    </xf>
    <xf numFmtId="0" fontId="62" fillId="11" borderId="4" xfId="0" applyFont="1" applyFill="1" applyBorder="1" applyAlignment="1">
      <alignment horizontal="left" indent="1"/>
    </xf>
    <xf numFmtId="0" fontId="59" fillId="2" borderId="2" xfId="0" applyFont="1" applyFill="1" applyBorder="1" applyAlignment="1">
      <alignment horizontal="left"/>
    </xf>
    <xf numFmtId="0" fontId="62" fillId="0" borderId="3" xfId="0" applyFont="1" applyBorder="1" applyAlignment="1">
      <alignment horizontal="left"/>
    </xf>
    <xf numFmtId="0" fontId="62" fillId="0" borderId="4" xfId="0" applyFont="1" applyBorder="1" applyAlignment="1">
      <alignment horizontal="left"/>
    </xf>
    <xf numFmtId="0" fontId="61" fillId="11" borderId="25" xfId="0" applyFont="1" applyFill="1" applyBorder="1" applyAlignment="1">
      <alignment horizontal="left"/>
    </xf>
    <xf numFmtId="0" fontId="61" fillId="11" borderId="26" xfId="0" applyFont="1" applyFill="1" applyBorder="1" applyAlignment="1">
      <alignment horizontal="left"/>
    </xf>
    <xf numFmtId="0" fontId="61" fillId="11" borderId="12" xfId="0" applyFont="1" applyFill="1" applyBorder="1" applyAlignment="1">
      <alignment horizontal="left"/>
    </xf>
    <xf numFmtId="0" fontId="61" fillId="11" borderId="13" xfId="0" applyFont="1" applyFill="1" applyBorder="1" applyAlignment="1">
      <alignment horizontal="left"/>
    </xf>
    <xf numFmtId="0" fontId="61" fillId="0" borderId="6" xfId="0" applyFont="1" applyBorder="1" applyAlignment="1">
      <alignment horizontal="left"/>
    </xf>
    <xf numFmtId="0" fontId="61" fillId="0" borderId="10" xfId="0" applyFont="1" applyBorder="1" applyAlignment="1">
      <alignment horizontal="left"/>
    </xf>
    <xf numFmtId="0" fontId="4" fillId="0" borderId="2" xfId="0" applyFont="1" applyBorder="1" applyAlignment="1">
      <alignment horizontal="left"/>
    </xf>
    <xf numFmtId="0" fontId="2" fillId="0" borderId="0" xfId="0" applyFont="1" applyAlignment="1">
      <alignment horizontal="center" vertical="top" wrapText="1"/>
    </xf>
  </cellXfs>
  <cellStyles count="336">
    <cellStyle name="_%(SignOnly)" xfId="6" xr:uid="{00000000-0005-0000-0000-000000000000}"/>
    <cellStyle name="_%(SignSpaceOnly)" xfId="7" xr:uid="{00000000-0005-0000-0000-000001000000}"/>
    <cellStyle name="_Comma" xfId="8" xr:uid="{00000000-0005-0000-0000-000002000000}"/>
    <cellStyle name="_Currency" xfId="9" xr:uid="{00000000-0005-0000-0000-000003000000}"/>
    <cellStyle name="_CurrencySpace" xfId="10" xr:uid="{00000000-0005-0000-0000-000004000000}"/>
    <cellStyle name="_Euro" xfId="11" xr:uid="{00000000-0005-0000-0000-000005000000}"/>
    <cellStyle name="_Heading" xfId="12" xr:uid="{00000000-0005-0000-0000-000006000000}"/>
    <cellStyle name="_Heading_prestemp" xfId="13" xr:uid="{00000000-0005-0000-0000-000007000000}"/>
    <cellStyle name="_Heading_prestemp_1st Qtr PL FY07" xfId="14" xr:uid="{00000000-0005-0000-0000-000008000000}"/>
    <cellStyle name="_Heading_prestemp_Financial Statements" xfId="15" xr:uid="{00000000-0005-0000-0000-000009000000}"/>
    <cellStyle name="_Heading_prestemp_Financial Statementsvs1" xfId="16" xr:uid="{00000000-0005-0000-0000-00000A000000}"/>
    <cellStyle name="_Highlight" xfId="17" xr:uid="{00000000-0005-0000-0000-00000B000000}"/>
    <cellStyle name="_Multiple" xfId="18" xr:uid="{00000000-0005-0000-0000-00000C000000}"/>
    <cellStyle name="_MultipleSpace" xfId="19" xr:uid="{00000000-0005-0000-0000-00000D000000}"/>
    <cellStyle name="_SubHeading" xfId="20" xr:uid="{00000000-0005-0000-0000-00000E000000}"/>
    <cellStyle name="_SubHeading_prestemp" xfId="21" xr:uid="{00000000-0005-0000-0000-00000F000000}"/>
    <cellStyle name="_SubHeading_prestemp_1st Qtr PL FY07" xfId="22" xr:uid="{00000000-0005-0000-0000-000010000000}"/>
    <cellStyle name="_SubHeading_prestemp_Financial Statements" xfId="23" xr:uid="{00000000-0005-0000-0000-000011000000}"/>
    <cellStyle name="_SubHeading_prestemp_Financial Statementsvs1" xfId="24" xr:uid="{00000000-0005-0000-0000-000012000000}"/>
    <cellStyle name="_Table" xfId="25" xr:uid="{00000000-0005-0000-0000-000013000000}"/>
    <cellStyle name="_TableHead" xfId="26" xr:uid="{00000000-0005-0000-0000-000014000000}"/>
    <cellStyle name="_TableRowHead" xfId="27" xr:uid="{00000000-0005-0000-0000-000015000000}"/>
    <cellStyle name="_TableSuperHead" xfId="28" xr:uid="{00000000-0005-0000-0000-000016000000}"/>
    <cellStyle name="=C:\WINNT\SYSTEM32\COMMAND.COM" xfId="29" xr:uid="{00000000-0005-0000-0000-000017000000}"/>
    <cellStyle name="=C:\WINNT\SYSTEM32\COMMAND.COM 2" xfId="30" xr:uid="{00000000-0005-0000-0000-000018000000}"/>
    <cellStyle name="6-0" xfId="31" xr:uid="{00000000-0005-0000-0000-000019000000}"/>
    <cellStyle name="Bold12" xfId="32" xr:uid="{00000000-0005-0000-0000-00001A000000}"/>
    <cellStyle name="BoldItal12" xfId="33" xr:uid="{00000000-0005-0000-0000-00001B000000}"/>
    <cellStyle name="Border" xfId="34" xr:uid="{00000000-0005-0000-0000-00001C000000}"/>
    <cellStyle name="Border 10" xfId="35" xr:uid="{00000000-0005-0000-0000-00001D000000}"/>
    <cellStyle name="Border 11" xfId="36" xr:uid="{00000000-0005-0000-0000-00001E000000}"/>
    <cellStyle name="Border 12" xfId="37" xr:uid="{00000000-0005-0000-0000-00001F000000}"/>
    <cellStyle name="Border 13" xfId="38" xr:uid="{00000000-0005-0000-0000-000020000000}"/>
    <cellStyle name="Border 14" xfId="39" xr:uid="{00000000-0005-0000-0000-000021000000}"/>
    <cellStyle name="Border 15" xfId="40" xr:uid="{00000000-0005-0000-0000-000022000000}"/>
    <cellStyle name="Border 16" xfId="41" xr:uid="{00000000-0005-0000-0000-000023000000}"/>
    <cellStyle name="Border 17" xfId="42" xr:uid="{00000000-0005-0000-0000-000024000000}"/>
    <cellStyle name="Border 18" xfId="43" xr:uid="{00000000-0005-0000-0000-000025000000}"/>
    <cellStyle name="Border 19" xfId="44" xr:uid="{00000000-0005-0000-0000-000026000000}"/>
    <cellStyle name="Border 2" xfId="45" xr:uid="{00000000-0005-0000-0000-000027000000}"/>
    <cellStyle name="Border 20" xfId="46" xr:uid="{00000000-0005-0000-0000-000028000000}"/>
    <cellStyle name="Border 21" xfId="47" xr:uid="{00000000-0005-0000-0000-000029000000}"/>
    <cellStyle name="Border 22" xfId="48" xr:uid="{00000000-0005-0000-0000-00002A000000}"/>
    <cellStyle name="Border 23" xfId="49" xr:uid="{00000000-0005-0000-0000-00002B000000}"/>
    <cellStyle name="Border 24" xfId="50" xr:uid="{00000000-0005-0000-0000-00002C000000}"/>
    <cellStyle name="Border 25" xfId="51" xr:uid="{00000000-0005-0000-0000-00002D000000}"/>
    <cellStyle name="Border 26" xfId="52" xr:uid="{00000000-0005-0000-0000-00002E000000}"/>
    <cellStyle name="Border 27" xfId="53" xr:uid="{00000000-0005-0000-0000-00002F000000}"/>
    <cellStyle name="Border 28" xfId="54" xr:uid="{00000000-0005-0000-0000-000030000000}"/>
    <cellStyle name="Border 29" xfId="55" xr:uid="{00000000-0005-0000-0000-000031000000}"/>
    <cellStyle name="Border 3" xfId="56" xr:uid="{00000000-0005-0000-0000-000032000000}"/>
    <cellStyle name="Border 30" xfId="57" xr:uid="{00000000-0005-0000-0000-000033000000}"/>
    <cellStyle name="Border 31" xfId="58" xr:uid="{00000000-0005-0000-0000-000034000000}"/>
    <cellStyle name="Border 32" xfId="59" xr:uid="{00000000-0005-0000-0000-000035000000}"/>
    <cellStyle name="Border 33" xfId="60" xr:uid="{00000000-0005-0000-0000-000036000000}"/>
    <cellStyle name="Border 34" xfId="61" xr:uid="{00000000-0005-0000-0000-000037000000}"/>
    <cellStyle name="Border 35" xfId="62" xr:uid="{00000000-0005-0000-0000-000038000000}"/>
    <cellStyle name="Border 36" xfId="63" xr:uid="{00000000-0005-0000-0000-000039000000}"/>
    <cellStyle name="Border 37" xfId="64" xr:uid="{00000000-0005-0000-0000-00003A000000}"/>
    <cellStyle name="Border 38" xfId="65" xr:uid="{00000000-0005-0000-0000-00003B000000}"/>
    <cellStyle name="Border 39" xfId="66" xr:uid="{00000000-0005-0000-0000-00003C000000}"/>
    <cellStyle name="Border 4" xfId="67" xr:uid="{00000000-0005-0000-0000-00003D000000}"/>
    <cellStyle name="Border 40" xfId="68" xr:uid="{00000000-0005-0000-0000-00003E000000}"/>
    <cellStyle name="Border 41" xfId="69" xr:uid="{00000000-0005-0000-0000-00003F000000}"/>
    <cellStyle name="Border 42" xfId="70" xr:uid="{00000000-0005-0000-0000-000040000000}"/>
    <cellStyle name="Border 5" xfId="71" xr:uid="{00000000-0005-0000-0000-000041000000}"/>
    <cellStyle name="Border 6" xfId="72" xr:uid="{00000000-0005-0000-0000-000042000000}"/>
    <cellStyle name="Border 7" xfId="73" xr:uid="{00000000-0005-0000-0000-000043000000}"/>
    <cellStyle name="Border 8" xfId="74" xr:uid="{00000000-0005-0000-0000-000044000000}"/>
    <cellStyle name="Border 9" xfId="75" xr:uid="{00000000-0005-0000-0000-000045000000}"/>
    <cellStyle name="Calc Currency (0)" xfId="76" xr:uid="{00000000-0005-0000-0000-000046000000}"/>
    <cellStyle name="Calc Currency (0) 2" xfId="77" xr:uid="{00000000-0005-0000-0000-000047000000}"/>
    <cellStyle name="Calc Currency (2)" xfId="78" xr:uid="{00000000-0005-0000-0000-000048000000}"/>
    <cellStyle name="Calc Currency (2) 2" xfId="79" xr:uid="{00000000-0005-0000-0000-000049000000}"/>
    <cellStyle name="Calc Percent (0)" xfId="80" xr:uid="{00000000-0005-0000-0000-00004A000000}"/>
    <cellStyle name="Calc Percent (0) 2" xfId="81" xr:uid="{00000000-0005-0000-0000-00004B000000}"/>
    <cellStyle name="Calc Percent (1)" xfId="82" xr:uid="{00000000-0005-0000-0000-00004C000000}"/>
    <cellStyle name="Calc Percent (1) 2" xfId="83" xr:uid="{00000000-0005-0000-0000-00004D000000}"/>
    <cellStyle name="Calc Percent (2)" xfId="84" xr:uid="{00000000-0005-0000-0000-00004E000000}"/>
    <cellStyle name="Calc Percent (2) 2" xfId="85" xr:uid="{00000000-0005-0000-0000-00004F000000}"/>
    <cellStyle name="Calc Units (0)" xfId="86" xr:uid="{00000000-0005-0000-0000-000050000000}"/>
    <cellStyle name="Calc Units (0) 2" xfId="87" xr:uid="{00000000-0005-0000-0000-000051000000}"/>
    <cellStyle name="Calc Units (1)" xfId="88" xr:uid="{00000000-0005-0000-0000-000052000000}"/>
    <cellStyle name="Calc Units (1) 2" xfId="89" xr:uid="{00000000-0005-0000-0000-000053000000}"/>
    <cellStyle name="Calc Units (2)" xfId="90" xr:uid="{00000000-0005-0000-0000-000054000000}"/>
    <cellStyle name="Calc Units (2) 2" xfId="91" xr:uid="{00000000-0005-0000-0000-000055000000}"/>
    <cellStyle name="Centered Heading" xfId="92" xr:uid="{00000000-0005-0000-0000-000056000000}"/>
    <cellStyle name="columns" xfId="93" xr:uid="{00000000-0005-0000-0000-000057000000}"/>
    <cellStyle name="Comma" xfId="1" builtinId="3"/>
    <cellStyle name="Comma  - Style1" xfId="94" xr:uid="{00000000-0005-0000-0000-000059000000}"/>
    <cellStyle name="Comma  - Style2" xfId="95" xr:uid="{00000000-0005-0000-0000-00005A000000}"/>
    <cellStyle name="Comma  - Style3" xfId="96" xr:uid="{00000000-0005-0000-0000-00005B000000}"/>
    <cellStyle name="Comma  - Style4" xfId="97" xr:uid="{00000000-0005-0000-0000-00005C000000}"/>
    <cellStyle name="Comma  - Style5" xfId="98" xr:uid="{00000000-0005-0000-0000-00005D000000}"/>
    <cellStyle name="Comma  - Style6" xfId="99" xr:uid="{00000000-0005-0000-0000-00005E000000}"/>
    <cellStyle name="Comma  - Style7" xfId="100" xr:uid="{00000000-0005-0000-0000-00005F000000}"/>
    <cellStyle name="Comma  - Style8" xfId="101" xr:uid="{00000000-0005-0000-0000-000060000000}"/>
    <cellStyle name="comma (0)" xfId="102" xr:uid="{00000000-0005-0000-0000-000061000000}"/>
    <cellStyle name="comma (0) 2" xfId="103" xr:uid="{00000000-0005-0000-0000-000062000000}"/>
    <cellStyle name="comma (0) 2 2" xfId="104" xr:uid="{00000000-0005-0000-0000-000063000000}"/>
    <cellStyle name="comma (0) 3" xfId="105" xr:uid="{00000000-0005-0000-0000-000064000000}"/>
    <cellStyle name="Comma [00]" xfId="106" xr:uid="{00000000-0005-0000-0000-000065000000}"/>
    <cellStyle name="Comma [00] 2" xfId="107" xr:uid="{00000000-0005-0000-0000-000066000000}"/>
    <cellStyle name="Comma 2" xfId="5" xr:uid="{00000000-0005-0000-0000-000067000000}"/>
    <cellStyle name="Comma 2 2" xfId="108" xr:uid="{00000000-0005-0000-0000-000068000000}"/>
    <cellStyle name="Comma 2 2 2" xfId="109" xr:uid="{00000000-0005-0000-0000-000069000000}"/>
    <cellStyle name="Comma 2 3" xfId="110" xr:uid="{00000000-0005-0000-0000-00006A000000}"/>
    <cellStyle name="Comma 2 4" xfId="111" xr:uid="{00000000-0005-0000-0000-00006B000000}"/>
    <cellStyle name="Comma 2 5" xfId="112" xr:uid="{00000000-0005-0000-0000-00006C000000}"/>
    <cellStyle name="Comma 2 6" xfId="113" xr:uid="{00000000-0005-0000-0000-00006D000000}"/>
    <cellStyle name="Comma 3" xfId="114" xr:uid="{00000000-0005-0000-0000-00006E000000}"/>
    <cellStyle name="Comma 3 2" xfId="115" xr:uid="{00000000-0005-0000-0000-00006F000000}"/>
    <cellStyle name="Comma 4" xfId="116" xr:uid="{00000000-0005-0000-0000-000070000000}"/>
    <cellStyle name="Comma 4 2" xfId="117" xr:uid="{00000000-0005-0000-0000-000071000000}"/>
    <cellStyle name="Comma 5" xfId="118" xr:uid="{00000000-0005-0000-0000-000072000000}"/>
    <cellStyle name="Comma 5 2" xfId="119" xr:uid="{00000000-0005-0000-0000-000073000000}"/>
    <cellStyle name="Comma Acctg" xfId="120" xr:uid="{00000000-0005-0000-0000-000074000000}"/>
    <cellStyle name="Comma Acctg 2" xfId="121" xr:uid="{00000000-0005-0000-0000-000075000000}"/>
    <cellStyle name="Comma0" xfId="122" xr:uid="{00000000-0005-0000-0000-000076000000}"/>
    <cellStyle name="Company Name" xfId="123" xr:uid="{00000000-0005-0000-0000-000077000000}"/>
    <cellStyle name="Contracts" xfId="124" xr:uid="{00000000-0005-0000-0000-000078000000}"/>
    <cellStyle name="CR Comma" xfId="125" xr:uid="{00000000-0005-0000-0000-000079000000}"/>
    <cellStyle name="CR Currency" xfId="126" xr:uid="{00000000-0005-0000-0000-00007A000000}"/>
    <cellStyle name="curr" xfId="127" xr:uid="{00000000-0005-0000-0000-00007B000000}"/>
    <cellStyle name="curr 2" xfId="333" xr:uid="{E830FEE5-BF3D-4B9F-89C3-BE51D3EB55EA}"/>
    <cellStyle name="Currency [00]" xfId="128" xr:uid="{00000000-0005-0000-0000-00007C000000}"/>
    <cellStyle name="Currency [00] 2" xfId="129" xr:uid="{00000000-0005-0000-0000-00007D000000}"/>
    <cellStyle name="Currency 2" xfId="130" xr:uid="{00000000-0005-0000-0000-00007E000000}"/>
    <cellStyle name="Currency Acctg" xfId="131" xr:uid="{00000000-0005-0000-0000-00007F000000}"/>
    <cellStyle name="Currency0" xfId="132" xr:uid="{00000000-0005-0000-0000-000080000000}"/>
    <cellStyle name="Data" xfId="133" xr:uid="{00000000-0005-0000-0000-000081000000}"/>
    <cellStyle name="Date" xfId="134" xr:uid="{00000000-0005-0000-0000-000082000000}"/>
    <cellStyle name="Date Short" xfId="135" xr:uid="{00000000-0005-0000-0000-000083000000}"/>
    <cellStyle name="DateJoel" xfId="136" xr:uid="{00000000-0005-0000-0000-000084000000}"/>
    <cellStyle name="debbie" xfId="137" xr:uid="{00000000-0005-0000-0000-000085000000}"/>
    <cellStyle name="Dezimal [0]_laroux" xfId="138" xr:uid="{00000000-0005-0000-0000-000086000000}"/>
    <cellStyle name="Dezimal_laroux" xfId="139" xr:uid="{00000000-0005-0000-0000-000087000000}"/>
    <cellStyle name="Enter Currency (0)" xfId="140" xr:uid="{00000000-0005-0000-0000-000088000000}"/>
    <cellStyle name="Enter Currency (0) 2" xfId="141" xr:uid="{00000000-0005-0000-0000-000089000000}"/>
    <cellStyle name="Enter Currency (2)" xfId="142" xr:uid="{00000000-0005-0000-0000-00008A000000}"/>
    <cellStyle name="Enter Currency (2) 2" xfId="143" xr:uid="{00000000-0005-0000-0000-00008B000000}"/>
    <cellStyle name="Enter Units (0)" xfId="144" xr:uid="{00000000-0005-0000-0000-00008C000000}"/>
    <cellStyle name="Enter Units (0) 2" xfId="145" xr:uid="{00000000-0005-0000-0000-00008D000000}"/>
    <cellStyle name="Enter Units (1)" xfId="146" xr:uid="{00000000-0005-0000-0000-00008E000000}"/>
    <cellStyle name="Enter Units (1) 2" xfId="147" xr:uid="{00000000-0005-0000-0000-00008F000000}"/>
    <cellStyle name="Enter Units (2)" xfId="148" xr:uid="{00000000-0005-0000-0000-000090000000}"/>
    <cellStyle name="Enter Units (2) 2" xfId="149" xr:uid="{00000000-0005-0000-0000-000091000000}"/>
    <cellStyle name="eps" xfId="150" xr:uid="{00000000-0005-0000-0000-000092000000}"/>
    <cellStyle name="eps 2" xfId="332" xr:uid="{E6BF08FD-99B4-4E49-8935-B8E309BE0144}"/>
    <cellStyle name="Euro" xfId="151" xr:uid="{00000000-0005-0000-0000-000093000000}"/>
    <cellStyle name="Grey" xfId="152" xr:uid="{00000000-0005-0000-0000-000094000000}"/>
    <cellStyle name="Header1" xfId="153" xr:uid="{00000000-0005-0000-0000-000095000000}"/>
    <cellStyle name="Header2" xfId="154" xr:uid="{00000000-0005-0000-0000-000096000000}"/>
    <cellStyle name="Header2 10" xfId="155" xr:uid="{00000000-0005-0000-0000-000097000000}"/>
    <cellStyle name="Header2 11" xfId="156" xr:uid="{00000000-0005-0000-0000-000098000000}"/>
    <cellStyle name="Header2 12" xfId="157" xr:uid="{00000000-0005-0000-0000-000099000000}"/>
    <cellStyle name="Header2 13" xfId="158" xr:uid="{00000000-0005-0000-0000-00009A000000}"/>
    <cellStyle name="Header2 14" xfId="159" xr:uid="{00000000-0005-0000-0000-00009B000000}"/>
    <cellStyle name="Header2 15" xfId="160" xr:uid="{00000000-0005-0000-0000-00009C000000}"/>
    <cellStyle name="Header2 16" xfId="161" xr:uid="{00000000-0005-0000-0000-00009D000000}"/>
    <cellStyle name="Header2 17" xfId="162" xr:uid="{00000000-0005-0000-0000-00009E000000}"/>
    <cellStyle name="Header2 18" xfId="163" xr:uid="{00000000-0005-0000-0000-00009F000000}"/>
    <cellStyle name="Header2 19" xfId="164" xr:uid="{00000000-0005-0000-0000-0000A0000000}"/>
    <cellStyle name="Header2 2" xfId="165" xr:uid="{00000000-0005-0000-0000-0000A1000000}"/>
    <cellStyle name="Header2 20" xfId="166" xr:uid="{00000000-0005-0000-0000-0000A2000000}"/>
    <cellStyle name="Header2 21" xfId="167" xr:uid="{00000000-0005-0000-0000-0000A3000000}"/>
    <cellStyle name="Header2 22" xfId="168" xr:uid="{00000000-0005-0000-0000-0000A4000000}"/>
    <cellStyle name="Header2 23" xfId="169" xr:uid="{00000000-0005-0000-0000-0000A5000000}"/>
    <cellStyle name="Header2 24" xfId="170" xr:uid="{00000000-0005-0000-0000-0000A6000000}"/>
    <cellStyle name="Header2 25" xfId="171" xr:uid="{00000000-0005-0000-0000-0000A7000000}"/>
    <cellStyle name="Header2 26" xfId="172" xr:uid="{00000000-0005-0000-0000-0000A8000000}"/>
    <cellStyle name="Header2 27" xfId="173" xr:uid="{00000000-0005-0000-0000-0000A9000000}"/>
    <cellStyle name="Header2 28" xfId="174" xr:uid="{00000000-0005-0000-0000-0000AA000000}"/>
    <cellStyle name="Header2 29" xfId="175" xr:uid="{00000000-0005-0000-0000-0000AB000000}"/>
    <cellStyle name="Header2 3" xfId="176" xr:uid="{00000000-0005-0000-0000-0000AC000000}"/>
    <cellStyle name="Header2 30" xfId="177" xr:uid="{00000000-0005-0000-0000-0000AD000000}"/>
    <cellStyle name="Header2 31" xfId="178" xr:uid="{00000000-0005-0000-0000-0000AE000000}"/>
    <cellStyle name="Header2 32" xfId="179" xr:uid="{00000000-0005-0000-0000-0000AF000000}"/>
    <cellStyle name="Header2 33" xfId="180" xr:uid="{00000000-0005-0000-0000-0000B0000000}"/>
    <cellStyle name="Header2 34" xfId="181" xr:uid="{00000000-0005-0000-0000-0000B1000000}"/>
    <cellStyle name="Header2 35" xfId="182" xr:uid="{00000000-0005-0000-0000-0000B2000000}"/>
    <cellStyle name="Header2 36" xfId="183" xr:uid="{00000000-0005-0000-0000-0000B3000000}"/>
    <cellStyle name="Header2 37" xfId="184" xr:uid="{00000000-0005-0000-0000-0000B4000000}"/>
    <cellStyle name="Header2 38" xfId="185" xr:uid="{00000000-0005-0000-0000-0000B5000000}"/>
    <cellStyle name="Header2 39" xfId="186" xr:uid="{00000000-0005-0000-0000-0000B6000000}"/>
    <cellStyle name="Header2 4" xfId="187" xr:uid="{00000000-0005-0000-0000-0000B7000000}"/>
    <cellStyle name="Header2 40" xfId="188" xr:uid="{00000000-0005-0000-0000-0000B8000000}"/>
    <cellStyle name="Header2 41" xfId="189" xr:uid="{00000000-0005-0000-0000-0000B9000000}"/>
    <cellStyle name="Header2 42" xfId="190" xr:uid="{00000000-0005-0000-0000-0000BA000000}"/>
    <cellStyle name="Header2 5" xfId="191" xr:uid="{00000000-0005-0000-0000-0000BB000000}"/>
    <cellStyle name="Header2 6" xfId="192" xr:uid="{00000000-0005-0000-0000-0000BC000000}"/>
    <cellStyle name="Header2 7" xfId="193" xr:uid="{00000000-0005-0000-0000-0000BD000000}"/>
    <cellStyle name="Header2 8" xfId="194" xr:uid="{00000000-0005-0000-0000-0000BE000000}"/>
    <cellStyle name="Header2 9" xfId="195" xr:uid="{00000000-0005-0000-0000-0000BF000000}"/>
    <cellStyle name="Heading" xfId="196" xr:uid="{00000000-0005-0000-0000-0000C0000000}"/>
    <cellStyle name="Heading 1 2" xfId="197" xr:uid="{00000000-0005-0000-0000-0000C1000000}"/>
    <cellStyle name="Heading 1 3" xfId="198" xr:uid="{00000000-0005-0000-0000-0000C2000000}"/>
    <cellStyle name="Heading 1 4" xfId="199" xr:uid="{00000000-0005-0000-0000-0000C3000000}"/>
    <cellStyle name="Heading 2 2" xfId="200" xr:uid="{00000000-0005-0000-0000-0000C4000000}"/>
    <cellStyle name="Heading 2 3" xfId="201" xr:uid="{00000000-0005-0000-0000-0000C5000000}"/>
    <cellStyle name="Heading 2 4" xfId="202" xr:uid="{00000000-0005-0000-0000-0000C6000000}"/>
    <cellStyle name="Heading 5" xfId="331" xr:uid="{C5860A2B-F2DD-4D6C-8B91-584D6ED375E4}"/>
    <cellStyle name="Heading No Underline" xfId="203" xr:uid="{00000000-0005-0000-0000-0000C7000000}"/>
    <cellStyle name="Heading With Underline" xfId="204" xr:uid="{00000000-0005-0000-0000-0000C8000000}"/>
    <cellStyle name="Hyperlink 2" xfId="205" xr:uid="{00000000-0005-0000-0000-0000CA000000}"/>
    <cellStyle name="Hyperlink 2 2" xfId="206" xr:uid="{00000000-0005-0000-0000-0000CB000000}"/>
    <cellStyle name="Hyperlink 2 2 2" xfId="207" xr:uid="{00000000-0005-0000-0000-0000CC000000}"/>
    <cellStyle name="Hyperlink 3" xfId="208" xr:uid="{00000000-0005-0000-0000-0000CD000000}"/>
    <cellStyle name="Hyperlink 4" xfId="209" xr:uid="{00000000-0005-0000-0000-0000CE000000}"/>
    <cellStyle name="Input [yellow]" xfId="210" xr:uid="{00000000-0005-0000-0000-0000CF000000}"/>
    <cellStyle name="Link Currency (0)" xfId="211" xr:uid="{00000000-0005-0000-0000-0000D0000000}"/>
    <cellStyle name="Link Currency (0) 2" xfId="212" xr:uid="{00000000-0005-0000-0000-0000D1000000}"/>
    <cellStyle name="Link Currency (2)" xfId="213" xr:uid="{00000000-0005-0000-0000-0000D2000000}"/>
    <cellStyle name="Link Currency (2) 2" xfId="214" xr:uid="{00000000-0005-0000-0000-0000D3000000}"/>
    <cellStyle name="Link Units (0)" xfId="215" xr:uid="{00000000-0005-0000-0000-0000D4000000}"/>
    <cellStyle name="Link Units (0) 2" xfId="216" xr:uid="{00000000-0005-0000-0000-0000D5000000}"/>
    <cellStyle name="Link Units (1)" xfId="217" xr:uid="{00000000-0005-0000-0000-0000D6000000}"/>
    <cellStyle name="Link Units (1) 2" xfId="218" xr:uid="{00000000-0005-0000-0000-0000D7000000}"/>
    <cellStyle name="Link Units (2)" xfId="219" xr:uid="{00000000-0005-0000-0000-0000D8000000}"/>
    <cellStyle name="Link Units (2) 2" xfId="220" xr:uid="{00000000-0005-0000-0000-0000D9000000}"/>
    <cellStyle name="Millares [0]_pldt" xfId="221" xr:uid="{00000000-0005-0000-0000-0000DA000000}"/>
    <cellStyle name="Millares_pldt" xfId="222" xr:uid="{00000000-0005-0000-0000-0000DB000000}"/>
    <cellStyle name="Milliers [0]_AR1194" xfId="223" xr:uid="{00000000-0005-0000-0000-0000DC000000}"/>
    <cellStyle name="Milliers_AR1194" xfId="224" xr:uid="{00000000-0005-0000-0000-0000DD000000}"/>
    <cellStyle name="Moneda [0]_pldt" xfId="225" xr:uid="{00000000-0005-0000-0000-0000DE000000}"/>
    <cellStyle name="Moneda_pldt" xfId="226" xr:uid="{00000000-0005-0000-0000-0000DF000000}"/>
    <cellStyle name="Monétaire [0]_AR1194" xfId="227" xr:uid="{00000000-0005-0000-0000-0000E0000000}"/>
    <cellStyle name="Monétaire_AR1194" xfId="228" xr:uid="{00000000-0005-0000-0000-0000E1000000}"/>
    <cellStyle name="negativ" xfId="229" xr:uid="{00000000-0005-0000-0000-0000E2000000}"/>
    <cellStyle name="no dec" xfId="230" xr:uid="{00000000-0005-0000-0000-0000E3000000}"/>
    <cellStyle name="nodollars" xfId="231" xr:uid="{00000000-0005-0000-0000-0000E4000000}"/>
    <cellStyle name="nodollars 2" xfId="232" xr:uid="{00000000-0005-0000-0000-0000E5000000}"/>
    <cellStyle name="Normal" xfId="0" builtinId="0"/>
    <cellStyle name="Normal - Style1" xfId="233" xr:uid="{00000000-0005-0000-0000-0000E7000000}"/>
    <cellStyle name="Normal - Style1 2" xfId="234" xr:uid="{00000000-0005-0000-0000-0000E8000000}"/>
    <cellStyle name="Normal - Style2" xfId="235" xr:uid="{00000000-0005-0000-0000-0000E9000000}"/>
    <cellStyle name="Normal - Style3" xfId="236" xr:uid="{00000000-0005-0000-0000-0000EA000000}"/>
    <cellStyle name="Normal - Style4" xfId="237" xr:uid="{00000000-0005-0000-0000-0000EB000000}"/>
    <cellStyle name="Normal - Style5" xfId="238" xr:uid="{00000000-0005-0000-0000-0000EC000000}"/>
    <cellStyle name="Normal 10" xfId="239" xr:uid="{00000000-0005-0000-0000-0000ED000000}"/>
    <cellStyle name="Normal 11" xfId="330" xr:uid="{401671C4-C6A2-4732-BC1D-7DED4CDB8213}"/>
    <cellStyle name="Normal 141" xfId="329" xr:uid="{4CEE5AEF-DC02-4BEC-A9D6-79FD34328DBC}"/>
    <cellStyle name="Normal 2" xfId="3" xr:uid="{00000000-0005-0000-0000-0000EE000000}"/>
    <cellStyle name="Normal 2 2" xfId="240" xr:uid="{00000000-0005-0000-0000-0000EF000000}"/>
    <cellStyle name="Normal 2 2 2" xfId="241" xr:uid="{00000000-0005-0000-0000-0000F0000000}"/>
    <cellStyle name="Normal 2 3" xfId="242" xr:uid="{00000000-0005-0000-0000-0000F1000000}"/>
    <cellStyle name="Normal 2 3 2" xfId="243" xr:uid="{00000000-0005-0000-0000-0000F2000000}"/>
    <cellStyle name="Normal 2 4" xfId="244" xr:uid="{00000000-0005-0000-0000-0000F3000000}"/>
    <cellStyle name="Normal 2 5" xfId="245" xr:uid="{00000000-0005-0000-0000-0000F4000000}"/>
    <cellStyle name="Normal 2 6" xfId="246" xr:uid="{00000000-0005-0000-0000-0000F5000000}"/>
    <cellStyle name="Normal 2 7" xfId="247" xr:uid="{00000000-0005-0000-0000-0000F6000000}"/>
    <cellStyle name="Normal 2 8" xfId="248" xr:uid="{00000000-0005-0000-0000-0000F7000000}"/>
    <cellStyle name="Normal 3" xfId="4" xr:uid="{00000000-0005-0000-0000-0000F8000000}"/>
    <cellStyle name="Normal 3 2" xfId="249" xr:uid="{00000000-0005-0000-0000-0000F9000000}"/>
    <cellStyle name="Normal 3 3" xfId="250" xr:uid="{00000000-0005-0000-0000-0000FA000000}"/>
    <cellStyle name="Normal 3 4" xfId="251" xr:uid="{00000000-0005-0000-0000-0000FB000000}"/>
    <cellStyle name="Normal 4" xfId="252" xr:uid="{00000000-0005-0000-0000-0000FC000000}"/>
    <cellStyle name="Normal 5" xfId="253" xr:uid="{00000000-0005-0000-0000-0000FD000000}"/>
    <cellStyle name="Normal 5 2" xfId="254" xr:uid="{00000000-0005-0000-0000-0000FE000000}"/>
    <cellStyle name="Normal 6" xfId="255" xr:uid="{00000000-0005-0000-0000-0000FF000000}"/>
    <cellStyle name="Normal 6 2" xfId="256" xr:uid="{00000000-0005-0000-0000-000000010000}"/>
    <cellStyle name="Normal 6 3" xfId="257" xr:uid="{00000000-0005-0000-0000-000001010000}"/>
    <cellStyle name="Normal 7" xfId="258" xr:uid="{00000000-0005-0000-0000-000002010000}"/>
    <cellStyle name="Normal 7 2" xfId="259" xr:uid="{00000000-0005-0000-0000-000003010000}"/>
    <cellStyle name="Normal 8" xfId="260" xr:uid="{00000000-0005-0000-0000-000004010000}"/>
    <cellStyle name="Normal 8 2" xfId="261" xr:uid="{00000000-0005-0000-0000-000005010000}"/>
    <cellStyle name="Normal 8 3" xfId="262" xr:uid="{00000000-0005-0000-0000-000006010000}"/>
    <cellStyle name="Normal 9" xfId="263" xr:uid="{00000000-0005-0000-0000-000007010000}"/>
    <cellStyle name="Number0DecimalStyle" xfId="264" xr:uid="{00000000-0005-0000-0000-000008010000}"/>
    <cellStyle name="Number0DecimalStyle 2" xfId="265" xr:uid="{00000000-0005-0000-0000-000009010000}"/>
    <cellStyle name="Number10DecimalStyle" xfId="266" xr:uid="{00000000-0005-0000-0000-00000A010000}"/>
    <cellStyle name="Number1DecimalStyle" xfId="267" xr:uid="{00000000-0005-0000-0000-00000B010000}"/>
    <cellStyle name="Number2DecimalStyle" xfId="268" xr:uid="{00000000-0005-0000-0000-00000C010000}"/>
    <cellStyle name="Number2DecimalStyle 2" xfId="269" xr:uid="{00000000-0005-0000-0000-00000D010000}"/>
    <cellStyle name="Number3DecimalStyle" xfId="270" xr:uid="{00000000-0005-0000-0000-00000E010000}"/>
    <cellStyle name="Number4DecimalStyle" xfId="271" xr:uid="{00000000-0005-0000-0000-00000F010000}"/>
    <cellStyle name="Number5DecimalStyle" xfId="272" xr:uid="{00000000-0005-0000-0000-000010010000}"/>
    <cellStyle name="Number6DecimalStyle" xfId="273" xr:uid="{00000000-0005-0000-0000-000011010000}"/>
    <cellStyle name="Number7DecimalStyle" xfId="274" xr:uid="{00000000-0005-0000-0000-000012010000}"/>
    <cellStyle name="Number8DecimalStyle" xfId="275" xr:uid="{00000000-0005-0000-0000-000013010000}"/>
    <cellStyle name="Number9DecimalStyle" xfId="276" xr:uid="{00000000-0005-0000-0000-000014010000}"/>
    <cellStyle name="over" xfId="277" xr:uid="{00000000-0005-0000-0000-000015010000}"/>
    <cellStyle name="Percent" xfId="2" builtinId="5"/>
    <cellStyle name="percent (0)" xfId="278" xr:uid="{00000000-0005-0000-0000-000017010000}"/>
    <cellStyle name="Percent [0]" xfId="279" xr:uid="{00000000-0005-0000-0000-000018010000}"/>
    <cellStyle name="Percent [0] 2" xfId="280" xr:uid="{00000000-0005-0000-0000-000019010000}"/>
    <cellStyle name="Percent [00]" xfId="281" xr:uid="{00000000-0005-0000-0000-00001A010000}"/>
    <cellStyle name="Percent [00] 2" xfId="282" xr:uid="{00000000-0005-0000-0000-00001B010000}"/>
    <cellStyle name="Percent [2]" xfId="283" xr:uid="{00000000-0005-0000-0000-00001C010000}"/>
    <cellStyle name="Percent 10" xfId="284" xr:uid="{00000000-0005-0000-0000-00001D010000}"/>
    <cellStyle name="Percent 2" xfId="285" xr:uid="{00000000-0005-0000-0000-00001E010000}"/>
    <cellStyle name="Percent 2 2" xfId="286" xr:uid="{00000000-0005-0000-0000-00001F010000}"/>
    <cellStyle name="Percent 2 3" xfId="287" xr:uid="{00000000-0005-0000-0000-000020010000}"/>
    <cellStyle name="Percent 2 4" xfId="288" xr:uid="{00000000-0005-0000-0000-000021010000}"/>
    <cellStyle name="Percent 3" xfId="289" xr:uid="{00000000-0005-0000-0000-000022010000}"/>
    <cellStyle name="Percent 3 2" xfId="290" xr:uid="{00000000-0005-0000-0000-000023010000}"/>
    <cellStyle name="Percent 4" xfId="291" xr:uid="{00000000-0005-0000-0000-000024010000}"/>
    <cellStyle name="Percent 6" xfId="292" xr:uid="{00000000-0005-0000-0000-000025010000}"/>
    <cellStyle name="PERCENTAGE" xfId="293" xr:uid="{00000000-0005-0000-0000-000026010000}"/>
    <cellStyle name="posit" xfId="294" xr:uid="{00000000-0005-0000-0000-000027010000}"/>
    <cellStyle name="Powerpoint Style" xfId="295" xr:uid="{00000000-0005-0000-0000-000028010000}"/>
    <cellStyle name="PrePop Currency (0)" xfId="296" xr:uid="{00000000-0005-0000-0000-000029010000}"/>
    <cellStyle name="PrePop Currency (0) 2" xfId="297" xr:uid="{00000000-0005-0000-0000-00002A010000}"/>
    <cellStyle name="PrePop Currency (2)" xfId="298" xr:uid="{00000000-0005-0000-0000-00002B010000}"/>
    <cellStyle name="PrePop Currency (2) 2" xfId="299" xr:uid="{00000000-0005-0000-0000-00002C010000}"/>
    <cellStyle name="PrePop Units (0)" xfId="300" xr:uid="{00000000-0005-0000-0000-00002D010000}"/>
    <cellStyle name="PrePop Units (0) 2" xfId="301" xr:uid="{00000000-0005-0000-0000-00002E010000}"/>
    <cellStyle name="PrePop Units (1)" xfId="302" xr:uid="{00000000-0005-0000-0000-00002F010000}"/>
    <cellStyle name="PrePop Units (1) 2" xfId="303" xr:uid="{00000000-0005-0000-0000-000030010000}"/>
    <cellStyle name="PrePop Units (2)" xfId="304" xr:uid="{00000000-0005-0000-0000-000031010000}"/>
    <cellStyle name="PrePop Units (2) 2" xfId="305" xr:uid="{00000000-0005-0000-0000-000032010000}"/>
    <cellStyle name="SingleTopDoubleBott" xfId="306" xr:uid="{00000000-0005-0000-0000-000033010000}"/>
    <cellStyle name="Standard_A" xfId="307" xr:uid="{00000000-0005-0000-0000-000034010000}"/>
    <cellStyle name="Style 1" xfId="308" xr:uid="{00000000-0005-0000-0000-000035010000}"/>
    <cellStyle name="Style 2" xfId="309" xr:uid="{00000000-0005-0000-0000-000036010000}"/>
    <cellStyle name="Style 3" xfId="310" xr:uid="{00000000-0005-0000-0000-000037010000}"/>
    <cellStyle name="Style 3 2" xfId="334" xr:uid="{F1440C57-A6D8-4BD0-B522-EFC58E8B070F}"/>
    <cellStyle name="Style 4" xfId="311" xr:uid="{00000000-0005-0000-0000-000038010000}"/>
    <cellStyle name="Style 4 2" xfId="335" xr:uid="{F8DD9E7D-3CD1-4B00-B4A6-2016D636B95A}"/>
    <cellStyle name="Text Indent A" xfId="312" xr:uid="{00000000-0005-0000-0000-000039010000}"/>
    <cellStyle name="Text Indent B" xfId="313" xr:uid="{00000000-0005-0000-0000-00003A010000}"/>
    <cellStyle name="Text Indent B 2" xfId="314" xr:uid="{00000000-0005-0000-0000-00003B010000}"/>
    <cellStyle name="Text Indent C" xfId="315" xr:uid="{00000000-0005-0000-0000-00003C010000}"/>
    <cellStyle name="Text Indent C 2" xfId="316" xr:uid="{00000000-0005-0000-0000-00003D010000}"/>
    <cellStyle name="TextStyle" xfId="317" xr:uid="{00000000-0005-0000-0000-00003E010000}"/>
    <cellStyle name="Tickmark" xfId="318" xr:uid="{00000000-0005-0000-0000-00003F010000}"/>
    <cellStyle name="TimStyle" xfId="319" xr:uid="{00000000-0005-0000-0000-000040010000}"/>
    <cellStyle name="Total 2" xfId="320" xr:uid="{00000000-0005-0000-0000-000041010000}"/>
    <cellStyle name="Total 3" xfId="321" xr:uid="{00000000-0005-0000-0000-000042010000}"/>
    <cellStyle name="Total 4" xfId="322" xr:uid="{00000000-0005-0000-0000-000043010000}"/>
    <cellStyle name="Underline" xfId="323" xr:uid="{00000000-0005-0000-0000-000044010000}"/>
    <cellStyle name="UnderlineDouble" xfId="324" xr:uid="{00000000-0005-0000-0000-000045010000}"/>
    <cellStyle name="Währung [0]_RESULTS" xfId="325" xr:uid="{00000000-0005-0000-0000-000046010000}"/>
    <cellStyle name="Währung_RESULTS" xfId="326" xr:uid="{00000000-0005-0000-0000-000047010000}"/>
    <cellStyle name="표준_BINV" xfId="327" xr:uid="{00000000-0005-0000-0000-000048010000}"/>
    <cellStyle name="標準_99B-05PE_IC2" xfId="328" xr:uid="{00000000-0005-0000-0000-000049010000}"/>
  </cellStyles>
  <dxfs count="4">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011-44EC-8123-D18B04C1296B}"/>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D4EC-4EBF-B0E6-33DC28AFE978}"/>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9EA6-4462-A906-19931B714AED}"/>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D98-486E-88A5-1C2DDA147F19}"/>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D3F-4259-85FF-3FF2700B4459}"/>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28DE-4DBD-9F69-94B972297047}"/>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C82C-4998-B122-AE6F4B5C6220}"/>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lgn="ctr">
              <a:defRPr/>
            </a:pPr>
            <a:r>
              <a:rPr lang="en-US" sz="1200" b="0"/>
              <a:t>Americas Segment Metrics</a:t>
            </a:r>
          </a:p>
        </c:rich>
      </c:tx>
      <c:layout>
        <c:manualLayout>
          <c:xMode val="edge"/>
          <c:yMode val="edge"/>
          <c:x val="0.26736813417499616"/>
          <c:y val="6.0114217012323416E-3"/>
        </c:manualLayout>
      </c:layout>
      <c:overlay val="1"/>
    </c:title>
    <c:autoTitleDeleted val="0"/>
    <c:plotArea>
      <c:layout>
        <c:manualLayout>
          <c:layoutTarget val="inner"/>
          <c:xMode val="edge"/>
          <c:yMode val="edge"/>
          <c:x val="7.5259906105276539E-2"/>
          <c:y val="9.884433967845993E-2"/>
          <c:w val="0.78454722918835507"/>
          <c:h val="0.62550120820109401"/>
        </c:manualLayout>
      </c:layout>
      <c:barChart>
        <c:barDir val="col"/>
        <c:grouping val="clustered"/>
        <c:varyColors val="0"/>
        <c:ser>
          <c:idx val="0"/>
          <c:order val="0"/>
          <c:tx>
            <c:v>Revenue</c:v>
          </c:tx>
          <c:spPr>
            <a:solidFill>
              <a:schemeClr val="tx1">
                <a:lumMod val="65000"/>
                <a:lumOff val="35000"/>
              </a:schemeClr>
            </a:solidFill>
          </c:spPr>
          <c:invertIfNegative val="0"/>
          <c:dPt>
            <c:idx val="4"/>
            <c:invertIfNegative val="0"/>
            <c:bubble3D val="0"/>
            <c:spPr>
              <a:solidFill>
                <a:schemeClr val="bg1">
                  <a:lumMod val="75000"/>
                </a:schemeClr>
              </a:solidFill>
              <a:ln>
                <a:solidFill>
                  <a:schemeClr val="tx1">
                    <a:lumMod val="75000"/>
                    <a:lumOff val="25000"/>
                  </a:schemeClr>
                </a:solidFill>
              </a:ln>
            </c:spPr>
            <c:extLst>
              <c:ext xmlns:c16="http://schemas.microsoft.com/office/drawing/2014/chart" uri="{C3380CC4-5D6E-409C-BE32-E72D297353CC}">
                <c16:uniqueId val="{00000009-5C55-4DB1-A25C-6A7A09C8C754}"/>
              </c:ext>
            </c:extLst>
          </c:dPt>
          <c:dPt>
            <c:idx val="5"/>
            <c:invertIfNegative val="0"/>
            <c:bubble3D val="0"/>
            <c:spPr>
              <a:solidFill>
                <a:schemeClr val="bg1">
                  <a:lumMod val="75000"/>
                </a:schemeClr>
              </a:solidFill>
              <a:ln>
                <a:solidFill>
                  <a:schemeClr val="tx1">
                    <a:lumMod val="75000"/>
                    <a:lumOff val="25000"/>
                  </a:schemeClr>
                </a:solidFill>
              </a:ln>
            </c:spPr>
            <c:extLst>
              <c:ext xmlns:c16="http://schemas.microsoft.com/office/drawing/2014/chart" uri="{C3380CC4-5D6E-409C-BE32-E72D297353CC}">
                <c16:uniqueId val="{0000000A-5C55-4DB1-A25C-6A7A09C8C754}"/>
              </c:ext>
            </c:extLst>
          </c:dPt>
          <c:dPt>
            <c:idx val="6"/>
            <c:invertIfNegative val="0"/>
            <c:bubble3D val="0"/>
            <c:spPr>
              <a:solidFill>
                <a:schemeClr val="bg1">
                  <a:lumMod val="75000"/>
                </a:schemeClr>
              </a:solidFill>
              <a:ln>
                <a:solidFill>
                  <a:schemeClr val="tx1">
                    <a:lumMod val="75000"/>
                    <a:lumOff val="25000"/>
                  </a:schemeClr>
                </a:solidFill>
              </a:ln>
            </c:spPr>
            <c:extLst>
              <c:ext xmlns:c16="http://schemas.microsoft.com/office/drawing/2014/chart" uri="{C3380CC4-5D6E-409C-BE32-E72D297353CC}">
                <c16:uniqueId val="{0000000E-2462-4DF9-A2F7-046938A175E7}"/>
              </c:ext>
            </c:extLst>
          </c:dPt>
          <c:dPt>
            <c:idx val="7"/>
            <c:invertIfNegative val="0"/>
            <c:bubble3D val="0"/>
            <c:spPr>
              <a:solidFill>
                <a:schemeClr val="bg1">
                  <a:lumMod val="75000"/>
                </a:schemeClr>
              </a:solidFill>
              <a:ln>
                <a:solidFill>
                  <a:schemeClr val="tx1">
                    <a:lumMod val="75000"/>
                    <a:lumOff val="25000"/>
                  </a:schemeClr>
                </a:solidFill>
              </a:ln>
            </c:spPr>
            <c:extLst>
              <c:ext xmlns:c16="http://schemas.microsoft.com/office/drawing/2014/chart" uri="{C3380CC4-5D6E-409C-BE32-E72D297353CC}">
                <c16:uniqueId val="{0000000F-2462-4DF9-A2F7-046938A175E7}"/>
              </c:ext>
            </c:extLst>
          </c:dPt>
          <c:dPt>
            <c:idx val="9"/>
            <c:invertIfNegative val="0"/>
            <c:bubble3D val="0"/>
            <c:extLst>
              <c:ext xmlns:c16="http://schemas.microsoft.com/office/drawing/2014/chart" uri="{C3380CC4-5D6E-409C-BE32-E72D297353CC}">
                <c16:uniqueId val="{00000000-2462-4DF9-A2F7-046938A175E7}"/>
              </c:ext>
            </c:extLst>
          </c:dPt>
          <c:cat>
            <c:strRef>
              <c:f>('Earnings Model'!$L$12,'Earnings Model'!$N$12,'Earnings Model'!$O$12,'Earnings Model'!$P$12,'Earnings Model'!$Q$12,'Earnings Model'!$S$12,'Earnings Model'!$T$12,'Earnings Model'!$U$12)</c:f>
              <c:strCache>
                <c:ptCount val="8"/>
                <c:pt idx="0">
                  <c:v> F4Q20 </c:v>
                </c:pt>
                <c:pt idx="1">
                  <c:v> F1Q21 </c:v>
                </c:pt>
                <c:pt idx="2">
                  <c:v> F2Q21 </c:v>
                </c:pt>
                <c:pt idx="3">
                  <c:v> F3Q21 </c:v>
                </c:pt>
                <c:pt idx="4">
                  <c:v> F4Q21E </c:v>
                </c:pt>
                <c:pt idx="5">
                  <c:v> F1Q22E </c:v>
                </c:pt>
                <c:pt idx="6">
                  <c:v> F2Q22E </c:v>
                </c:pt>
                <c:pt idx="7">
                  <c:v> F3Q22E </c:v>
                </c:pt>
              </c:strCache>
            </c:strRef>
          </c:cat>
          <c:val>
            <c:numRef>
              <c:f>('Earnings Model'!$L$68,'Earnings Model'!$N$68,'Earnings Model'!$O$68,'Earnings Model'!$P$68,'Earnings Model'!$Q$68,'Earnings Model'!$S$68,'Earnings Model'!$T$68,'Earnings Model'!$U$68)</c:f>
              <c:numCache>
                <c:formatCode>_(* #,##0.0_);_(* \(#,##0.0\);_(* "-"??_);_(@_)</c:formatCode>
                <c:ptCount val="8"/>
                <c:pt idx="0">
                  <c:v>4232.9000000000005</c:v>
                </c:pt>
                <c:pt idx="1">
                  <c:v>4703.2</c:v>
                </c:pt>
                <c:pt idx="2">
                  <c:v>4664.5999999999995</c:v>
                </c:pt>
                <c:pt idx="3">
                  <c:v>5400.3</c:v>
                </c:pt>
                <c:pt idx="4">
                  <c:v>5884.8839350192102</c:v>
                </c:pt>
                <c:pt idx="5">
                  <c:v>5352.7883119802145</c:v>
                </c:pt>
                <c:pt idx="6">
                  <c:v>5182.8842058733471</c:v>
                </c:pt>
                <c:pt idx="7">
                  <c:v>5878.3668433159382</c:v>
                </c:pt>
              </c:numCache>
            </c:numRef>
          </c:val>
          <c:extLst>
            <c:ext xmlns:c16="http://schemas.microsoft.com/office/drawing/2014/chart" uri="{C3380CC4-5D6E-409C-BE32-E72D297353CC}">
              <c16:uniqueId val="{00000001-2462-4DF9-A2F7-046938A175E7}"/>
            </c:ext>
          </c:extLst>
        </c:ser>
        <c:dLbls>
          <c:showLegendKey val="0"/>
          <c:showVal val="0"/>
          <c:showCatName val="0"/>
          <c:showSerName val="0"/>
          <c:showPercent val="0"/>
          <c:showBubbleSize val="0"/>
        </c:dLbls>
        <c:gapWidth val="150"/>
        <c:axId val="145722368"/>
        <c:axId val="145728256"/>
      </c:barChart>
      <c:lineChart>
        <c:grouping val="standard"/>
        <c:varyColors val="0"/>
        <c:ser>
          <c:idx val="1"/>
          <c:order val="1"/>
          <c:tx>
            <c:v>Operating Margin</c:v>
          </c:tx>
          <c:spPr>
            <a:ln>
              <a:solidFill>
                <a:schemeClr val="accent1">
                  <a:lumMod val="60000"/>
                  <a:lumOff val="40000"/>
                </a:schemeClr>
              </a:solidFill>
            </a:ln>
          </c:spPr>
          <c:marker>
            <c:symbol val="none"/>
          </c:marker>
          <c:dPt>
            <c:idx val="4"/>
            <c:bubble3D val="0"/>
            <c:spPr>
              <a:ln>
                <a:solidFill>
                  <a:schemeClr val="accent1">
                    <a:lumMod val="60000"/>
                    <a:lumOff val="40000"/>
                  </a:schemeClr>
                </a:solidFill>
                <a:prstDash val="sysDash"/>
              </a:ln>
            </c:spPr>
            <c:extLst>
              <c:ext xmlns:c16="http://schemas.microsoft.com/office/drawing/2014/chart" uri="{C3380CC4-5D6E-409C-BE32-E72D297353CC}">
                <c16:uniqueId val="{0000000B-5C55-4DB1-A25C-6A7A09C8C754}"/>
              </c:ext>
            </c:extLst>
          </c:dPt>
          <c:dPt>
            <c:idx val="5"/>
            <c:bubble3D val="0"/>
            <c:spPr>
              <a:ln>
                <a:solidFill>
                  <a:schemeClr val="accent1">
                    <a:lumMod val="60000"/>
                    <a:lumOff val="40000"/>
                  </a:schemeClr>
                </a:solidFill>
                <a:prstDash val="sysDash"/>
              </a:ln>
            </c:spPr>
            <c:extLst>
              <c:ext xmlns:c16="http://schemas.microsoft.com/office/drawing/2014/chart" uri="{C3380CC4-5D6E-409C-BE32-E72D297353CC}">
                <c16:uniqueId val="{0000000C-5C55-4DB1-A25C-6A7A09C8C754}"/>
              </c:ext>
            </c:extLst>
          </c:dPt>
          <c:dPt>
            <c:idx val="6"/>
            <c:bubble3D val="0"/>
            <c:spPr>
              <a:ln>
                <a:solidFill>
                  <a:schemeClr val="accent1">
                    <a:lumMod val="60000"/>
                    <a:lumOff val="40000"/>
                  </a:schemeClr>
                </a:solidFill>
                <a:prstDash val="sysDash"/>
              </a:ln>
            </c:spPr>
            <c:extLst>
              <c:ext xmlns:c16="http://schemas.microsoft.com/office/drawing/2014/chart" uri="{C3380CC4-5D6E-409C-BE32-E72D297353CC}">
                <c16:uniqueId val="{00000010-2462-4DF9-A2F7-046938A175E7}"/>
              </c:ext>
            </c:extLst>
          </c:dPt>
          <c:dPt>
            <c:idx val="7"/>
            <c:bubble3D val="0"/>
            <c:spPr>
              <a:ln>
                <a:solidFill>
                  <a:schemeClr val="accent1">
                    <a:lumMod val="60000"/>
                    <a:lumOff val="40000"/>
                  </a:schemeClr>
                </a:solidFill>
                <a:prstDash val="sysDash"/>
              </a:ln>
            </c:spPr>
            <c:extLst>
              <c:ext xmlns:c16="http://schemas.microsoft.com/office/drawing/2014/chart" uri="{C3380CC4-5D6E-409C-BE32-E72D297353CC}">
                <c16:uniqueId val="{00000011-2462-4DF9-A2F7-046938A175E7}"/>
              </c:ext>
            </c:extLst>
          </c:dPt>
          <c:cat>
            <c:strRef>
              <c:f>('Earnings Model'!$L$12,'Earnings Model'!$N$12,'Earnings Model'!$O$12,'Earnings Model'!$P$12,'Earnings Model'!$Q$12,'Earnings Model'!$S$12,'Earnings Model'!$T$12,'Earnings Model'!$U$12)</c:f>
              <c:strCache>
                <c:ptCount val="8"/>
                <c:pt idx="0">
                  <c:v> F4Q20 </c:v>
                </c:pt>
                <c:pt idx="1">
                  <c:v> F1Q21 </c:v>
                </c:pt>
                <c:pt idx="2">
                  <c:v> F2Q21 </c:v>
                </c:pt>
                <c:pt idx="3">
                  <c:v> F3Q21 </c:v>
                </c:pt>
                <c:pt idx="4">
                  <c:v> F4Q21E </c:v>
                </c:pt>
                <c:pt idx="5">
                  <c:v> F1Q22E </c:v>
                </c:pt>
                <c:pt idx="6">
                  <c:v> F2Q22E </c:v>
                </c:pt>
                <c:pt idx="7">
                  <c:v> F3Q22E </c:v>
                </c:pt>
              </c:strCache>
            </c:strRef>
          </c:cat>
          <c:val>
            <c:numRef>
              <c:f>('Earnings Model'!$L$81,'Earnings Model'!$N$81,'Earnings Model'!$O$81,'Earnings Model'!$P$81,'Earnings Model'!$Q$81,'Earnings Model'!$S$81,'Earnings Model'!$T$81,'Earnings Model'!$U$81)</c:f>
              <c:numCache>
                <c:formatCode>0.0%</c:formatCode>
                <c:ptCount val="8"/>
                <c:pt idx="0">
                  <c:v>0.12055564742847706</c:v>
                </c:pt>
                <c:pt idx="1">
                  <c:v>0.17296734138458913</c:v>
                </c:pt>
                <c:pt idx="2">
                  <c:v>0.19407880632851687</c:v>
                </c:pt>
                <c:pt idx="3">
                  <c:v>0.24363461289187641</c:v>
                </c:pt>
                <c:pt idx="4">
                  <c:v>0.22375247720596295</c:v>
                </c:pt>
                <c:pt idx="5">
                  <c:v>0.21097768703404896</c:v>
                </c:pt>
                <c:pt idx="6">
                  <c:v>0.19302928200503611</c:v>
                </c:pt>
                <c:pt idx="7">
                  <c:v>0.22037267209774986</c:v>
                </c:pt>
              </c:numCache>
            </c:numRef>
          </c:val>
          <c:smooth val="0"/>
          <c:extLst>
            <c:ext xmlns:c16="http://schemas.microsoft.com/office/drawing/2014/chart" uri="{C3380CC4-5D6E-409C-BE32-E72D297353CC}">
              <c16:uniqueId val="{00000002-2462-4DF9-A2F7-046938A175E7}"/>
            </c:ext>
          </c:extLst>
        </c:ser>
        <c:dLbls>
          <c:showLegendKey val="0"/>
          <c:showVal val="0"/>
          <c:showCatName val="0"/>
          <c:showSerName val="0"/>
          <c:showPercent val="0"/>
          <c:showBubbleSize val="0"/>
        </c:dLbls>
        <c:marker val="1"/>
        <c:smooth val="0"/>
        <c:axId val="145731584"/>
        <c:axId val="145729792"/>
      </c:lineChart>
      <c:catAx>
        <c:axId val="145722368"/>
        <c:scaling>
          <c:orientation val="minMax"/>
        </c:scaling>
        <c:delete val="0"/>
        <c:axPos val="b"/>
        <c:numFmt formatCode="[$-409]mmmm\-yy;@" sourceLinked="0"/>
        <c:majorTickMark val="none"/>
        <c:minorTickMark val="none"/>
        <c:tickLblPos val="low"/>
        <c:txPr>
          <a:bodyPr rot="0"/>
          <a:lstStyle/>
          <a:p>
            <a:pPr>
              <a:defRPr sz="800" baseline="0"/>
            </a:pPr>
            <a:endParaRPr lang="en-US"/>
          </a:p>
        </c:txPr>
        <c:crossAx val="145728256"/>
        <c:crosses val="autoZero"/>
        <c:auto val="1"/>
        <c:lblAlgn val="ctr"/>
        <c:lblOffset val="100"/>
        <c:noMultiLvlLbl val="0"/>
      </c:catAx>
      <c:valAx>
        <c:axId val="145728256"/>
        <c:scaling>
          <c:orientation val="minMax"/>
        </c:scaling>
        <c:delete val="0"/>
        <c:axPos val="l"/>
        <c:majorGridlines>
          <c:spPr>
            <a:ln>
              <a:prstDash val="dash"/>
            </a:ln>
          </c:spPr>
        </c:majorGridlines>
        <c:numFmt formatCode="#,##0" sourceLinked="0"/>
        <c:majorTickMark val="out"/>
        <c:minorTickMark val="none"/>
        <c:tickLblPos val="nextTo"/>
        <c:spPr>
          <a:ln>
            <a:noFill/>
          </a:ln>
        </c:spPr>
        <c:crossAx val="145722368"/>
        <c:crosses val="autoZero"/>
        <c:crossBetween val="between"/>
      </c:valAx>
      <c:valAx>
        <c:axId val="145729792"/>
        <c:scaling>
          <c:orientation val="minMax"/>
        </c:scaling>
        <c:delete val="0"/>
        <c:axPos val="r"/>
        <c:numFmt formatCode="0%" sourceLinked="0"/>
        <c:majorTickMark val="out"/>
        <c:minorTickMark val="none"/>
        <c:tickLblPos val="nextTo"/>
        <c:crossAx val="145731584"/>
        <c:crosses val="max"/>
        <c:crossBetween val="between"/>
      </c:valAx>
      <c:catAx>
        <c:axId val="145731584"/>
        <c:scaling>
          <c:orientation val="minMax"/>
        </c:scaling>
        <c:delete val="1"/>
        <c:axPos val="b"/>
        <c:numFmt formatCode="General" sourceLinked="1"/>
        <c:majorTickMark val="out"/>
        <c:minorTickMark val="none"/>
        <c:tickLblPos val="nextTo"/>
        <c:crossAx val="145729792"/>
        <c:crosses val="autoZero"/>
        <c:auto val="1"/>
        <c:lblAlgn val="ctr"/>
        <c:lblOffset val="100"/>
        <c:noMultiLvlLbl val="0"/>
      </c:catAx>
      <c:spPr>
        <a:solidFill>
          <a:schemeClr val="bg1">
            <a:lumMod val="95000"/>
          </a:schemeClr>
        </a:solidFill>
      </c:spPr>
    </c:plotArea>
    <c:legend>
      <c:legendPos val="b"/>
      <c:layout>
        <c:manualLayout>
          <c:xMode val="edge"/>
          <c:yMode val="edge"/>
          <c:x val="1.0407843079484102E-3"/>
          <c:y val="0.82587988043424243"/>
          <c:w val="0.99567776198227798"/>
          <c:h val="0.15834984107599712"/>
        </c:manualLayout>
      </c:layout>
      <c:overlay val="0"/>
    </c:legend>
    <c:plotVisOnly val="1"/>
    <c:dispBlanksAs val="gap"/>
    <c:showDLblsOverMax val="0"/>
  </c:chart>
  <c:spPr>
    <a:solidFill>
      <a:schemeClr val="bg1">
        <a:lumMod val="95000"/>
      </a:schemeClr>
    </a:solidFill>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3852-4E76-8D7E-22F7D32E38FB}"/>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53B4-4385-9116-4FDF3989A9C4}"/>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8AD2-4ADF-8021-B11AD98E05E5}"/>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FA66-4DE5-ACCF-651AB692DC3B}"/>
            </c:ext>
          </c:extLst>
        </c:ser>
        <c:dLbls>
          <c:showLegendKey val="0"/>
          <c:showVal val="0"/>
          <c:showCatName val="0"/>
          <c:showSerName val="0"/>
          <c:showPercent val="0"/>
          <c:showBubbleSize val="0"/>
        </c:dLbls>
        <c:smooth val="0"/>
        <c:axId val="145511168"/>
        <c:axId val="145512704"/>
      </c:lineChart>
      <c:catAx>
        <c:axId val="14551116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5512704"/>
        <c:crosses val="autoZero"/>
        <c:auto val="1"/>
        <c:lblAlgn val="ctr"/>
        <c:lblOffset val="100"/>
        <c:tickLblSkip val="7"/>
        <c:noMultiLvlLbl val="1"/>
      </c:catAx>
      <c:valAx>
        <c:axId val="145512704"/>
        <c:scaling>
          <c:orientation val="minMax"/>
        </c:scaling>
        <c:delete val="0"/>
        <c:axPos val="l"/>
        <c:majorGridlines/>
        <c:numFmt formatCode="0.0\x" sourceLinked="0"/>
        <c:majorTickMark val="out"/>
        <c:minorTickMark val="none"/>
        <c:tickLblPos val="nextTo"/>
        <c:crossAx val="14551116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67DA-4D9D-82BA-733804F33B6C}"/>
            </c:ext>
          </c:extLst>
        </c:ser>
        <c:dLbls>
          <c:showLegendKey val="0"/>
          <c:showVal val="0"/>
          <c:showCatName val="0"/>
          <c:showSerName val="0"/>
          <c:showPercent val="0"/>
          <c:showBubbleSize val="0"/>
        </c:dLbls>
        <c:smooth val="0"/>
        <c:axId val="83449728"/>
        <c:axId val="132637440"/>
      </c:lineChart>
      <c:catAx>
        <c:axId val="83449728"/>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32637440"/>
        <c:crosses val="autoZero"/>
        <c:auto val="1"/>
        <c:lblAlgn val="ctr"/>
        <c:lblOffset val="100"/>
        <c:tickLblSkip val="7"/>
        <c:noMultiLvlLbl val="1"/>
      </c:catAx>
      <c:valAx>
        <c:axId val="132637440"/>
        <c:scaling>
          <c:orientation val="minMax"/>
        </c:scaling>
        <c:delete val="0"/>
        <c:axPos val="l"/>
        <c:majorGridlines/>
        <c:numFmt formatCode="0.0\x" sourceLinked="0"/>
        <c:majorTickMark val="out"/>
        <c:minorTickMark val="none"/>
        <c:tickLblPos val="nextTo"/>
        <c:crossAx val="834497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0E40-4747-9407-4E0801521CE1}"/>
            </c:ext>
          </c:extLst>
        </c:ser>
        <c:dLbls>
          <c:showLegendKey val="0"/>
          <c:showVal val="0"/>
          <c:showCatName val="0"/>
          <c:showSerName val="0"/>
          <c:showPercent val="0"/>
          <c:showBubbleSize val="0"/>
        </c:dLbls>
        <c:smooth val="0"/>
        <c:axId val="142949760"/>
        <c:axId val="142967936"/>
      </c:lineChart>
      <c:catAx>
        <c:axId val="142949760"/>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67936"/>
        <c:crosses val="autoZero"/>
        <c:auto val="1"/>
        <c:lblAlgn val="ctr"/>
        <c:lblOffset val="100"/>
        <c:tickLblSkip val="7"/>
        <c:noMultiLvlLbl val="1"/>
      </c:catAx>
      <c:valAx>
        <c:axId val="142967936"/>
        <c:scaling>
          <c:orientation val="minMax"/>
        </c:scaling>
        <c:delete val="0"/>
        <c:axPos val="l"/>
        <c:majorGridlines/>
        <c:numFmt formatCode="0.0\x" sourceLinked="0"/>
        <c:majorTickMark val="out"/>
        <c:minorTickMark val="none"/>
        <c:tickLblPos val="nextTo"/>
        <c:crossAx val="14294976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7968-4123-877E-2C721EF4CC4D}"/>
            </c:ext>
          </c:extLst>
        </c:ser>
        <c:dLbls>
          <c:showLegendKey val="0"/>
          <c:showVal val="0"/>
          <c:showCatName val="0"/>
          <c:showSerName val="0"/>
          <c:showPercent val="0"/>
          <c:showBubbleSize val="0"/>
        </c:dLbls>
        <c:smooth val="0"/>
        <c:axId val="142977664"/>
        <c:axId val="142983552"/>
      </c:lineChart>
      <c:catAx>
        <c:axId val="142977664"/>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83552"/>
        <c:crosses val="autoZero"/>
        <c:auto val="1"/>
        <c:lblAlgn val="ctr"/>
        <c:lblOffset val="100"/>
        <c:tickLblSkip val="7"/>
        <c:noMultiLvlLbl val="1"/>
      </c:catAx>
      <c:valAx>
        <c:axId val="142983552"/>
        <c:scaling>
          <c:orientation val="minMax"/>
        </c:scaling>
        <c:delete val="0"/>
        <c:axPos val="l"/>
        <c:majorGridlines/>
        <c:numFmt formatCode="0.0\x" sourceLinked="0"/>
        <c:majorTickMark val="out"/>
        <c:minorTickMark val="none"/>
        <c:tickLblPos val="nextTo"/>
        <c:crossAx val="1429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6-month Price Earnings Trend</a:t>
            </a:r>
          </a:p>
        </c:rich>
      </c:tx>
      <c:overlay val="0"/>
    </c:title>
    <c:autoTitleDeleted val="0"/>
    <c:plotArea>
      <c:layout/>
      <c:lineChart>
        <c:grouping val="standard"/>
        <c:varyColors val="0"/>
        <c:ser>
          <c:idx val="1"/>
          <c:order val="0"/>
          <c:spPr>
            <a:ln>
              <a:solidFill>
                <a:schemeClr val="accent1"/>
              </a:solidFill>
            </a:ln>
          </c:spPr>
          <c:marker>
            <c:symbol val="none"/>
          </c:marker>
          <c:val>
            <c:numRef>
              <c:f>MU!#REF!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MU!#REF!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MU!#REF!</c15:sqref>
                        </c15:formulaRef>
                      </c:ext>
                    </c:extLst>
                  </c:multiLvlStrRef>
                </c15:cat>
              </c15:filteredCategoryTitle>
            </c:ext>
            <c:ext xmlns:c16="http://schemas.microsoft.com/office/drawing/2014/chart" uri="{C3380CC4-5D6E-409C-BE32-E72D297353CC}">
              <c16:uniqueId val="{00000000-1254-41BC-98EB-9CB3A85F17C9}"/>
            </c:ext>
          </c:extLst>
        </c:ser>
        <c:dLbls>
          <c:showLegendKey val="0"/>
          <c:showVal val="0"/>
          <c:showCatName val="0"/>
          <c:showSerName val="0"/>
          <c:showPercent val="0"/>
          <c:showBubbleSize val="0"/>
        </c:dLbls>
        <c:smooth val="0"/>
        <c:axId val="142994432"/>
        <c:axId val="142996224"/>
      </c:lineChart>
      <c:catAx>
        <c:axId val="142994432"/>
        <c:scaling>
          <c:orientation val="minMax"/>
          <c:min val="41746"/>
        </c:scaling>
        <c:delete val="0"/>
        <c:axPos val="b"/>
        <c:numFmt formatCode="m/d/yyyy" sourceLinked="1"/>
        <c:majorTickMark val="out"/>
        <c:minorTickMark val="none"/>
        <c:tickLblPos val="nextTo"/>
        <c:txPr>
          <a:bodyPr rot="-5400000" vert="horz"/>
          <a:lstStyle/>
          <a:p>
            <a:pPr>
              <a:defRPr/>
            </a:pPr>
            <a:endParaRPr lang="en-US"/>
          </a:p>
        </c:txPr>
        <c:crossAx val="142996224"/>
        <c:crosses val="autoZero"/>
        <c:auto val="1"/>
        <c:lblAlgn val="ctr"/>
        <c:lblOffset val="100"/>
        <c:tickLblSkip val="7"/>
        <c:noMultiLvlLbl val="1"/>
      </c:catAx>
      <c:valAx>
        <c:axId val="142996224"/>
        <c:scaling>
          <c:orientation val="minMax"/>
        </c:scaling>
        <c:delete val="0"/>
        <c:axPos val="l"/>
        <c:majorGridlines/>
        <c:numFmt formatCode="0.0\x" sourceLinked="0"/>
        <c:majorTickMark val="out"/>
        <c:minorTickMark val="none"/>
        <c:tickLblPos val="nextTo"/>
        <c:crossAx val="14299443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3.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tmp"/><Relationship Id="rId5" Type="http://schemas.openxmlformats.org/officeDocument/2006/relationships/image" Target="../media/image5.tmp"/><Relationship Id="rId4" Type="http://schemas.openxmlformats.org/officeDocument/2006/relationships/image" Target="../media/image4.tmp"/></Relationships>
</file>

<file path=xl/drawings/_rels/drawing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1</xdr:col>
      <xdr:colOff>236802</xdr:colOff>
      <xdr:row>184</xdr:row>
      <xdr:rowOff>0</xdr:rowOff>
    </xdr:from>
    <xdr:to>
      <xdr:col>3</xdr:col>
      <xdr:colOff>0</xdr:colOff>
      <xdr:row>184</xdr:row>
      <xdr:rowOff>0</xdr:rowOff>
    </xdr:to>
    <xdr:graphicFrame macro="">
      <xdr:nvGraphicFramePr>
        <xdr:cNvPr id="2" name="Chart 1">
          <a:extLst>
            <a:ext uri="{FF2B5EF4-FFF2-40B4-BE49-F238E27FC236}">
              <a16:creationId xmlns:a16="http://schemas.microsoft.com/office/drawing/2014/main" id="{B7314F63-EB04-4FF7-A31F-C4843090C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241</xdr:row>
      <xdr:rowOff>0</xdr:rowOff>
    </xdr:from>
    <xdr:to>
      <xdr:col>3</xdr:col>
      <xdr:colOff>0</xdr:colOff>
      <xdr:row>241</xdr:row>
      <xdr:rowOff>0</xdr:rowOff>
    </xdr:to>
    <xdr:graphicFrame macro="">
      <xdr:nvGraphicFramePr>
        <xdr:cNvPr id="3" name="Chart 2">
          <a:extLst>
            <a:ext uri="{FF2B5EF4-FFF2-40B4-BE49-F238E27FC236}">
              <a16:creationId xmlns:a16="http://schemas.microsoft.com/office/drawing/2014/main" id="{A8A75DF0-E9C0-40E6-ACE6-6072A05B5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288</xdr:row>
      <xdr:rowOff>0</xdr:rowOff>
    </xdr:from>
    <xdr:to>
      <xdr:col>3</xdr:col>
      <xdr:colOff>0</xdr:colOff>
      <xdr:row>288</xdr:row>
      <xdr:rowOff>0</xdr:rowOff>
    </xdr:to>
    <xdr:graphicFrame macro="">
      <xdr:nvGraphicFramePr>
        <xdr:cNvPr id="4" name="Chart 3">
          <a:extLst>
            <a:ext uri="{FF2B5EF4-FFF2-40B4-BE49-F238E27FC236}">
              <a16:creationId xmlns:a16="http://schemas.microsoft.com/office/drawing/2014/main" id="{91A34941-EACD-4AEB-AF9F-52339269E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45</xdr:row>
      <xdr:rowOff>0</xdr:rowOff>
    </xdr:from>
    <xdr:to>
      <xdr:col>3</xdr:col>
      <xdr:colOff>0</xdr:colOff>
      <xdr:row>45</xdr:row>
      <xdr:rowOff>0</xdr:rowOff>
    </xdr:to>
    <xdr:graphicFrame macro="">
      <xdr:nvGraphicFramePr>
        <xdr:cNvPr id="5" name="Chart 4">
          <a:extLst>
            <a:ext uri="{FF2B5EF4-FFF2-40B4-BE49-F238E27FC236}">
              <a16:creationId xmlns:a16="http://schemas.microsoft.com/office/drawing/2014/main" id="{A7DA39EB-6298-422D-8F47-288F7A637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236802</xdr:colOff>
      <xdr:row>225</xdr:row>
      <xdr:rowOff>0</xdr:rowOff>
    </xdr:from>
    <xdr:to>
      <xdr:col>3</xdr:col>
      <xdr:colOff>0</xdr:colOff>
      <xdr:row>225</xdr:row>
      <xdr:rowOff>0</xdr:rowOff>
    </xdr:to>
    <xdr:graphicFrame macro="">
      <xdr:nvGraphicFramePr>
        <xdr:cNvPr id="6" name="Chart 5">
          <a:extLst>
            <a:ext uri="{FF2B5EF4-FFF2-40B4-BE49-F238E27FC236}">
              <a16:creationId xmlns:a16="http://schemas.microsoft.com/office/drawing/2014/main" id="{AE742024-4733-4138-86C8-2B59221DD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236802</xdr:colOff>
      <xdr:row>184</xdr:row>
      <xdr:rowOff>0</xdr:rowOff>
    </xdr:from>
    <xdr:to>
      <xdr:col>3</xdr:col>
      <xdr:colOff>0</xdr:colOff>
      <xdr:row>184</xdr:row>
      <xdr:rowOff>0</xdr:rowOff>
    </xdr:to>
    <xdr:graphicFrame macro="">
      <xdr:nvGraphicFramePr>
        <xdr:cNvPr id="2" name="Chart 1">
          <a:extLst>
            <a:ext uri="{FF2B5EF4-FFF2-40B4-BE49-F238E27FC236}">
              <a16:creationId xmlns:a16="http://schemas.microsoft.com/office/drawing/2014/main" id="{25037417-41C3-44DA-8080-7DB01C702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241</xdr:row>
      <xdr:rowOff>0</xdr:rowOff>
    </xdr:from>
    <xdr:to>
      <xdr:col>3</xdr:col>
      <xdr:colOff>0</xdr:colOff>
      <xdr:row>241</xdr:row>
      <xdr:rowOff>0</xdr:rowOff>
    </xdr:to>
    <xdr:graphicFrame macro="">
      <xdr:nvGraphicFramePr>
        <xdr:cNvPr id="3" name="Chart 2">
          <a:extLst>
            <a:ext uri="{FF2B5EF4-FFF2-40B4-BE49-F238E27FC236}">
              <a16:creationId xmlns:a16="http://schemas.microsoft.com/office/drawing/2014/main" id="{FE9163E9-BBC0-409D-8B45-08688F9D50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288</xdr:row>
      <xdr:rowOff>0</xdr:rowOff>
    </xdr:from>
    <xdr:to>
      <xdr:col>3</xdr:col>
      <xdr:colOff>0</xdr:colOff>
      <xdr:row>288</xdr:row>
      <xdr:rowOff>0</xdr:rowOff>
    </xdr:to>
    <xdr:graphicFrame macro="">
      <xdr:nvGraphicFramePr>
        <xdr:cNvPr id="4" name="Chart 3">
          <a:extLst>
            <a:ext uri="{FF2B5EF4-FFF2-40B4-BE49-F238E27FC236}">
              <a16:creationId xmlns:a16="http://schemas.microsoft.com/office/drawing/2014/main" id="{44607B83-CC25-4BA4-A575-2B26A4351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45</xdr:row>
      <xdr:rowOff>0</xdr:rowOff>
    </xdr:from>
    <xdr:to>
      <xdr:col>3</xdr:col>
      <xdr:colOff>0</xdr:colOff>
      <xdr:row>45</xdr:row>
      <xdr:rowOff>0</xdr:rowOff>
    </xdr:to>
    <xdr:graphicFrame macro="">
      <xdr:nvGraphicFramePr>
        <xdr:cNvPr id="5" name="Chart 4">
          <a:extLst>
            <a:ext uri="{FF2B5EF4-FFF2-40B4-BE49-F238E27FC236}">
              <a16:creationId xmlns:a16="http://schemas.microsoft.com/office/drawing/2014/main" id="{BF558CD5-9490-48CF-97EC-204510B7A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236802</xdr:colOff>
      <xdr:row>225</xdr:row>
      <xdr:rowOff>0</xdr:rowOff>
    </xdr:from>
    <xdr:to>
      <xdr:col>3</xdr:col>
      <xdr:colOff>0</xdr:colOff>
      <xdr:row>225</xdr:row>
      <xdr:rowOff>0</xdr:rowOff>
    </xdr:to>
    <xdr:graphicFrame macro="">
      <xdr:nvGraphicFramePr>
        <xdr:cNvPr id="6" name="Chart 5">
          <a:extLst>
            <a:ext uri="{FF2B5EF4-FFF2-40B4-BE49-F238E27FC236}">
              <a16:creationId xmlns:a16="http://schemas.microsoft.com/office/drawing/2014/main" id="{DA9CB311-549D-41C4-8025-B8BA107F1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208551</xdr:colOff>
      <xdr:row>7</xdr:row>
      <xdr:rowOff>57150</xdr:rowOff>
    </xdr:from>
    <xdr:to>
      <xdr:col>17</xdr:col>
      <xdr:colOff>362120</xdr:colOff>
      <xdr:row>31</xdr:row>
      <xdr:rowOff>38100</xdr:rowOff>
    </xdr:to>
    <xdr:pic>
      <xdr:nvPicPr>
        <xdr:cNvPr id="2" name="Picture 1">
          <a:extLst>
            <a:ext uri="{FF2B5EF4-FFF2-40B4-BE49-F238E27FC236}">
              <a16:creationId xmlns:a16="http://schemas.microsoft.com/office/drawing/2014/main" id="{F7CADE78-960B-4DAF-BB71-DEEB8FD7A0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8551" y="1390650"/>
          <a:ext cx="10516769" cy="4552950"/>
        </a:xfrm>
        <a:prstGeom prst="rect">
          <a:avLst/>
        </a:prstGeom>
      </xdr:spPr>
    </xdr:pic>
    <xdr:clientData/>
  </xdr:twoCellAnchor>
  <xdr:twoCellAnchor editAs="oneCell">
    <xdr:from>
      <xdr:col>0</xdr:col>
      <xdr:colOff>76200</xdr:colOff>
      <xdr:row>31</xdr:row>
      <xdr:rowOff>15821</xdr:rowOff>
    </xdr:from>
    <xdr:to>
      <xdr:col>17</xdr:col>
      <xdr:colOff>259330</xdr:colOff>
      <xdr:row>42</xdr:row>
      <xdr:rowOff>123825</xdr:rowOff>
    </xdr:to>
    <xdr:pic>
      <xdr:nvPicPr>
        <xdr:cNvPr id="3" name="Picture 2">
          <a:extLst>
            <a:ext uri="{FF2B5EF4-FFF2-40B4-BE49-F238E27FC236}">
              <a16:creationId xmlns:a16="http://schemas.microsoft.com/office/drawing/2014/main" id="{81FDD595-FA99-485B-BD80-53F44B2EEB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5921321"/>
          <a:ext cx="10546330" cy="2203504"/>
        </a:xfrm>
        <a:prstGeom prst="rect">
          <a:avLst/>
        </a:prstGeom>
      </xdr:spPr>
    </xdr:pic>
    <xdr:clientData/>
  </xdr:twoCellAnchor>
  <xdr:twoCellAnchor editAs="oneCell">
    <xdr:from>
      <xdr:col>17</xdr:col>
      <xdr:colOff>544098</xdr:colOff>
      <xdr:row>4</xdr:row>
      <xdr:rowOff>19050</xdr:rowOff>
    </xdr:from>
    <xdr:to>
      <xdr:col>36</xdr:col>
      <xdr:colOff>314325</xdr:colOff>
      <xdr:row>29</xdr:row>
      <xdr:rowOff>15892</xdr:rowOff>
    </xdr:to>
    <xdr:pic>
      <xdr:nvPicPr>
        <xdr:cNvPr id="4" name="Picture 3">
          <a:extLst>
            <a:ext uri="{FF2B5EF4-FFF2-40B4-BE49-F238E27FC236}">
              <a16:creationId xmlns:a16="http://schemas.microsoft.com/office/drawing/2014/main" id="{5FFAC0E3-BEDB-4638-8797-B0C2771166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907298" y="781050"/>
          <a:ext cx="11352627" cy="4759342"/>
        </a:xfrm>
        <a:prstGeom prst="rect">
          <a:avLst/>
        </a:prstGeom>
      </xdr:spPr>
    </xdr:pic>
    <xdr:clientData/>
  </xdr:twoCellAnchor>
  <xdr:twoCellAnchor editAs="oneCell">
    <xdr:from>
      <xdr:col>17</xdr:col>
      <xdr:colOff>571499</xdr:colOff>
      <xdr:row>28</xdr:row>
      <xdr:rowOff>119881</xdr:rowOff>
    </xdr:from>
    <xdr:to>
      <xdr:col>38</xdr:col>
      <xdr:colOff>4654</xdr:colOff>
      <xdr:row>32</xdr:row>
      <xdr:rowOff>66675</xdr:rowOff>
    </xdr:to>
    <xdr:pic>
      <xdr:nvPicPr>
        <xdr:cNvPr id="5" name="Picture 4">
          <a:extLst>
            <a:ext uri="{FF2B5EF4-FFF2-40B4-BE49-F238E27FC236}">
              <a16:creationId xmlns:a16="http://schemas.microsoft.com/office/drawing/2014/main" id="{855CC9EF-4246-453E-BD3B-2E2968034E0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34699" y="5453881"/>
          <a:ext cx="12234755" cy="708794"/>
        </a:xfrm>
        <a:prstGeom prst="rect">
          <a:avLst/>
        </a:prstGeom>
      </xdr:spPr>
    </xdr:pic>
    <xdr:clientData/>
  </xdr:twoCellAnchor>
  <xdr:twoCellAnchor editAs="oneCell">
    <xdr:from>
      <xdr:col>18</xdr:col>
      <xdr:colOff>0</xdr:colOff>
      <xdr:row>32</xdr:row>
      <xdr:rowOff>45318</xdr:rowOff>
    </xdr:from>
    <xdr:to>
      <xdr:col>36</xdr:col>
      <xdr:colOff>583023</xdr:colOff>
      <xdr:row>48</xdr:row>
      <xdr:rowOff>95786</xdr:rowOff>
    </xdr:to>
    <xdr:pic>
      <xdr:nvPicPr>
        <xdr:cNvPr id="6" name="Picture 5">
          <a:extLst>
            <a:ext uri="{FF2B5EF4-FFF2-40B4-BE49-F238E27FC236}">
              <a16:creationId xmlns:a16="http://schemas.microsoft.com/office/drawing/2014/main" id="{160018C3-BA0D-48F6-92D3-6DA9FD934E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72800" y="6141318"/>
          <a:ext cx="11555823" cy="309846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236802</xdr:colOff>
      <xdr:row>184</xdr:row>
      <xdr:rowOff>0</xdr:rowOff>
    </xdr:from>
    <xdr:to>
      <xdr:col>3</xdr:col>
      <xdr:colOff>0</xdr:colOff>
      <xdr:row>184</xdr:row>
      <xdr:rowOff>0</xdr:rowOff>
    </xdr:to>
    <xdr:graphicFrame macro="">
      <xdr:nvGraphicFramePr>
        <xdr:cNvPr id="2" name="Chart 1">
          <a:extLst>
            <a:ext uri="{FF2B5EF4-FFF2-40B4-BE49-F238E27FC236}">
              <a16:creationId xmlns:a16="http://schemas.microsoft.com/office/drawing/2014/main" id="{12CEB18F-19A0-4439-8693-2258A136C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236802</xdr:colOff>
      <xdr:row>241</xdr:row>
      <xdr:rowOff>0</xdr:rowOff>
    </xdr:from>
    <xdr:to>
      <xdr:col>3</xdr:col>
      <xdr:colOff>0</xdr:colOff>
      <xdr:row>241</xdr:row>
      <xdr:rowOff>0</xdr:rowOff>
    </xdr:to>
    <xdr:graphicFrame macro="">
      <xdr:nvGraphicFramePr>
        <xdr:cNvPr id="3" name="Chart 2">
          <a:extLst>
            <a:ext uri="{FF2B5EF4-FFF2-40B4-BE49-F238E27FC236}">
              <a16:creationId xmlns:a16="http://schemas.microsoft.com/office/drawing/2014/main" id="{7B2997D5-935B-4748-BFCD-8436E8E19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236802</xdr:colOff>
      <xdr:row>288</xdr:row>
      <xdr:rowOff>0</xdr:rowOff>
    </xdr:from>
    <xdr:to>
      <xdr:col>3</xdr:col>
      <xdr:colOff>0</xdr:colOff>
      <xdr:row>288</xdr:row>
      <xdr:rowOff>0</xdr:rowOff>
    </xdr:to>
    <xdr:graphicFrame macro="">
      <xdr:nvGraphicFramePr>
        <xdr:cNvPr id="4" name="Chart 3">
          <a:extLst>
            <a:ext uri="{FF2B5EF4-FFF2-40B4-BE49-F238E27FC236}">
              <a16:creationId xmlns:a16="http://schemas.microsoft.com/office/drawing/2014/main" id="{9DD6D221-D23C-40A1-8D6F-B4363EBA3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236802</xdr:colOff>
      <xdr:row>45</xdr:row>
      <xdr:rowOff>0</xdr:rowOff>
    </xdr:from>
    <xdr:to>
      <xdr:col>3</xdr:col>
      <xdr:colOff>0</xdr:colOff>
      <xdr:row>45</xdr:row>
      <xdr:rowOff>0</xdr:rowOff>
    </xdr:to>
    <xdr:graphicFrame macro="">
      <xdr:nvGraphicFramePr>
        <xdr:cNvPr id="5" name="Chart 4">
          <a:extLst>
            <a:ext uri="{FF2B5EF4-FFF2-40B4-BE49-F238E27FC236}">
              <a16:creationId xmlns:a16="http://schemas.microsoft.com/office/drawing/2014/main" id="{9A2307AD-0F8E-417E-8C2F-92D1D6D4D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236802</xdr:colOff>
      <xdr:row>225</xdr:row>
      <xdr:rowOff>0</xdr:rowOff>
    </xdr:from>
    <xdr:to>
      <xdr:col>3</xdr:col>
      <xdr:colOff>0</xdr:colOff>
      <xdr:row>225</xdr:row>
      <xdr:rowOff>0</xdr:rowOff>
    </xdr:to>
    <xdr:graphicFrame macro="">
      <xdr:nvGraphicFramePr>
        <xdr:cNvPr id="6" name="Chart 5">
          <a:extLst>
            <a:ext uri="{FF2B5EF4-FFF2-40B4-BE49-F238E27FC236}">
              <a16:creationId xmlns:a16="http://schemas.microsoft.com/office/drawing/2014/main" id="{99408525-001C-46FB-8374-A93DFB9A3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116205</xdr:colOff>
      <xdr:row>2</xdr:row>
      <xdr:rowOff>13335</xdr:rowOff>
    </xdr:from>
    <xdr:to>
      <xdr:col>5</xdr:col>
      <xdr:colOff>217170</xdr:colOff>
      <xdr:row>10</xdr:row>
      <xdr:rowOff>259080</xdr:rowOff>
    </xdr:to>
    <xdr:graphicFrame macro="">
      <xdr:nvGraphicFramePr>
        <xdr:cNvPr id="2" name="Chart 1">
          <a:extLst>
            <a:ext uri="{FF2B5EF4-FFF2-40B4-BE49-F238E27FC236}">
              <a16:creationId xmlns:a16="http://schemas.microsoft.com/office/drawing/2014/main" id="{822A172C-7B75-4C02-A74C-56608478D7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0.89232</cdr:x>
      <cdr:y>0.91975</cdr:y>
    </cdr:from>
    <cdr:to>
      <cdr:x>0.99455</cdr:x>
      <cdr:y>0.99413</cdr:y>
    </cdr:to>
    <cdr:pic>
      <cdr:nvPicPr>
        <cdr:cNvPr id="7" name="Picture 6">
          <a:extLst xmlns:a="http://schemas.openxmlformats.org/drawingml/2006/main">
            <a:ext uri="{FF2B5EF4-FFF2-40B4-BE49-F238E27FC236}">
              <a16:creationId xmlns:a16="http://schemas.microsoft.com/office/drawing/2014/main" id="{C37BFA11-7AA4-4942-B117-535411DB10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741420" y="1943101"/>
          <a:ext cx="428625" cy="157146"/>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C02D7-D70E-488D-98E6-182EE4D9FD59}">
  <sheetPr>
    <pageSetUpPr fitToPage="1"/>
  </sheetPr>
  <dimension ref="A1:BD337"/>
  <sheetViews>
    <sheetView showGridLines="0" tabSelected="1" topLeftCell="A3" zoomScaleNormal="100" workbookViewId="0">
      <pane xSplit="3" ySplit="10" topLeftCell="L13" activePane="bottomRight" state="frozen"/>
      <selection activeCell="A3" sqref="A3"/>
      <selection pane="topRight" activeCell="D3" sqref="D3"/>
      <selection pane="bottomLeft" activeCell="A13" sqref="A13"/>
      <selection pane="bottomRight" activeCell="B11" sqref="B11:C11"/>
    </sheetView>
  </sheetViews>
  <sheetFormatPr defaultColWidth="8.85546875" defaultRowHeight="15" outlineLevelRow="1" outlineLevelCol="1" x14ac:dyDescent="0.25"/>
  <cols>
    <col min="1" max="1" width="3.140625" style="4" customWidth="1"/>
    <col min="2" max="2" width="39" style="4" customWidth="1"/>
    <col min="3" max="3" width="14.5703125" style="4" customWidth="1"/>
    <col min="4" max="5" width="11.5703125" style="3" customWidth="1" outlineLevel="1"/>
    <col min="6" max="7" width="11.5703125" style="11" customWidth="1" outlineLevel="1"/>
    <col min="8" max="8" width="11.5703125" style="11" customWidth="1"/>
    <col min="9" max="10" width="11.5703125" style="3" customWidth="1" outlineLevel="1"/>
    <col min="11" max="12" width="11.5703125" style="11" customWidth="1" outlineLevel="1"/>
    <col min="13" max="13" width="11.5703125" style="11" customWidth="1"/>
    <col min="14" max="15" width="11.5703125" style="3" customWidth="1" outlineLevel="1"/>
    <col min="16" max="17" width="11.5703125" style="11" customWidth="1" outlineLevel="1"/>
    <col min="18" max="18" width="11.5703125" style="11" customWidth="1"/>
    <col min="19" max="20" width="11.5703125" style="3" customWidth="1" outlineLevel="1"/>
    <col min="21" max="22" width="11.5703125" style="11" customWidth="1" outlineLevel="1"/>
    <col min="23" max="23" width="11.5703125" style="11" customWidth="1"/>
    <col min="24" max="25" width="11.5703125" style="3" customWidth="1" outlineLevel="1"/>
    <col min="26" max="27" width="11.5703125" style="11" customWidth="1" outlineLevel="1"/>
    <col min="28" max="28" width="11.5703125" style="11" customWidth="1"/>
    <col min="29" max="30" width="11.5703125" style="3" customWidth="1" outlineLevel="1"/>
    <col min="31" max="32" width="11.5703125" style="11" customWidth="1" outlineLevel="1"/>
    <col min="33" max="33" width="11.5703125" style="11" customWidth="1"/>
    <col min="34" max="35" width="11.5703125" style="3" customWidth="1" outlineLevel="1"/>
    <col min="36" max="37" width="11.5703125" style="11" customWidth="1" outlineLevel="1"/>
    <col min="38" max="38" width="11.5703125" style="11" customWidth="1"/>
    <col min="39" max="40" width="11.5703125" style="3" customWidth="1" outlineLevel="1"/>
    <col min="41" max="42" width="11.5703125" style="11" customWidth="1" outlineLevel="1"/>
    <col min="43" max="43" width="11.5703125" style="11" customWidth="1"/>
    <col min="44" max="16384" width="8.85546875" style="4"/>
  </cols>
  <sheetData>
    <row r="1" spans="1:56" ht="12.6" customHeight="1" x14ac:dyDescent="0.25">
      <c r="B1" s="253" t="s">
        <v>54</v>
      </c>
    </row>
    <row r="2" spans="1:56" ht="45" customHeight="1" x14ac:dyDescent="0.25">
      <c r="B2" s="577" t="s">
        <v>53</v>
      </c>
      <c r="C2" s="57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c r="AP2" s="388"/>
      <c r="AQ2" s="388"/>
      <c r="AR2" s="388"/>
      <c r="AS2" s="388"/>
      <c r="AT2" s="388"/>
      <c r="AU2" s="388"/>
      <c r="AV2" s="388"/>
      <c r="AW2" s="388"/>
      <c r="AX2" s="388"/>
    </row>
    <row r="3" spans="1:56" x14ac:dyDescent="0.25">
      <c r="B3" s="579" t="s">
        <v>374</v>
      </c>
      <c r="C3" s="580"/>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row>
    <row r="4" spans="1:56" x14ac:dyDescent="0.25">
      <c r="B4" s="581" t="s">
        <v>351</v>
      </c>
      <c r="C4" s="582"/>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BD4" s="253" t="s">
        <v>54</v>
      </c>
    </row>
    <row r="5" spans="1:56" x14ac:dyDescent="0.25">
      <c r="B5" s="583" t="s">
        <v>370</v>
      </c>
      <c r="C5" s="584"/>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row>
    <row r="6" spans="1:56" ht="14.65" customHeight="1" x14ac:dyDescent="0.25">
      <c r="B6" s="111" t="s">
        <v>48</v>
      </c>
      <c r="C6" s="112">
        <f>C302</f>
        <v>124.81691450080532</v>
      </c>
      <c r="D6" s="12"/>
      <c r="E6" s="118"/>
      <c r="F6" s="117"/>
      <c r="G6" s="12"/>
      <c r="H6" s="118"/>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row>
    <row r="7" spans="1:56" ht="14.65" customHeight="1" x14ac:dyDescent="0.25">
      <c r="B7" s="541" t="s">
        <v>49</v>
      </c>
      <c r="C7" s="105">
        <f>C329</f>
        <v>119.14991318650129</v>
      </c>
      <c r="D7" s="46"/>
      <c r="E7" s="118"/>
      <c r="F7" s="117"/>
      <c r="G7" s="46"/>
      <c r="H7" s="118"/>
      <c r="I7" s="46"/>
      <c r="J7" s="46"/>
      <c r="K7" s="46"/>
      <c r="L7" s="46"/>
      <c r="M7" s="46"/>
      <c r="N7" s="46"/>
      <c r="O7" s="46"/>
      <c r="P7" s="46"/>
      <c r="Q7" s="46"/>
      <c r="R7" s="46"/>
      <c r="S7" s="46"/>
      <c r="T7" s="46"/>
      <c r="U7" s="46"/>
      <c r="V7" s="46"/>
      <c r="W7" s="46"/>
      <c r="X7" s="46"/>
      <c r="Y7" s="46"/>
      <c r="Z7" s="46"/>
      <c r="AA7" s="46"/>
      <c r="AB7" s="53"/>
      <c r="AC7" s="46"/>
      <c r="AD7" s="46"/>
      <c r="AE7" s="46"/>
      <c r="AF7" s="46"/>
      <c r="AG7" s="53"/>
      <c r="AH7" s="46"/>
      <c r="AI7" s="46"/>
      <c r="AJ7" s="46"/>
      <c r="AK7" s="46"/>
      <c r="AL7" s="53"/>
      <c r="AM7" s="46"/>
      <c r="AN7" s="46"/>
      <c r="AO7" s="46"/>
      <c r="AP7" s="46"/>
      <c r="AQ7" s="53"/>
    </row>
    <row r="8" spans="1:56" ht="14.65" customHeight="1" x14ac:dyDescent="0.25">
      <c r="B8" s="541" t="s">
        <v>64</v>
      </c>
      <c r="C8" s="109">
        <f>(0.5*C6)+(0.5*C7)</f>
        <v>121.98341384365331</v>
      </c>
      <c r="D8" s="34"/>
      <c r="E8" s="118"/>
      <c r="F8" s="136"/>
      <c r="G8" s="136"/>
      <c r="H8" s="34"/>
      <c r="I8" s="136"/>
      <c r="J8" s="136"/>
      <c r="K8" s="53"/>
      <c r="L8" s="34"/>
      <c r="M8" s="34"/>
      <c r="N8" s="34"/>
      <c r="O8" s="34"/>
      <c r="P8" s="34"/>
      <c r="Q8" s="527"/>
      <c r="R8" s="485"/>
      <c r="S8" s="498"/>
      <c r="T8" s="563"/>
      <c r="U8" s="486"/>
      <c r="V8" s="485"/>
      <c r="W8" s="486"/>
      <c r="X8" s="486"/>
      <c r="Y8" s="34"/>
      <c r="Z8" s="34"/>
      <c r="AA8" s="34"/>
      <c r="AB8" s="108"/>
      <c r="AC8" s="34"/>
      <c r="AD8" s="34"/>
      <c r="AE8" s="34"/>
      <c r="AF8" s="34"/>
      <c r="AG8" s="108"/>
      <c r="AH8" s="34"/>
      <c r="AI8" s="34"/>
      <c r="AJ8" s="34"/>
      <c r="AK8" s="34"/>
      <c r="AL8" s="108"/>
      <c r="AM8" s="34"/>
      <c r="AN8" s="34"/>
      <c r="AO8" s="34"/>
      <c r="AP8" s="34"/>
      <c r="AQ8" s="108"/>
    </row>
    <row r="9" spans="1:56" ht="14.65" customHeight="1" x14ac:dyDescent="0.25">
      <c r="B9" s="383" t="s">
        <v>65</v>
      </c>
      <c r="C9" s="110" t="str">
        <f>TEXT(C336,"$0")&amp;" to "&amp;TEXT(C335,"$0")</f>
        <v>$114 to $136</v>
      </c>
      <c r="D9" s="165"/>
      <c r="E9" s="276"/>
      <c r="F9" s="137"/>
      <c r="G9" s="137"/>
      <c r="H9" s="46"/>
      <c r="I9" s="137"/>
      <c r="J9" s="137"/>
      <c r="K9" s="46"/>
      <c r="L9" s="137"/>
      <c r="M9" s="53"/>
      <c r="N9" s="53"/>
      <c r="O9" s="53"/>
      <c r="P9" s="53"/>
      <c r="Q9" s="487"/>
      <c r="R9" s="528"/>
      <c r="S9" s="527"/>
      <c r="T9" s="527"/>
      <c r="U9" s="527"/>
      <c r="V9" s="485"/>
      <c r="W9" s="484"/>
      <c r="X9" s="484"/>
      <c r="Y9" s="53"/>
      <c r="Z9" s="53"/>
      <c r="AA9" s="53"/>
      <c r="AB9" s="277"/>
      <c r="AC9" s="53"/>
      <c r="AD9" s="53"/>
      <c r="AE9" s="53"/>
      <c r="AF9" s="53"/>
      <c r="AG9" s="277"/>
      <c r="AH9" s="53"/>
      <c r="AI9" s="53"/>
      <c r="AJ9" s="53"/>
      <c r="AK9" s="53"/>
      <c r="AL9" s="277"/>
      <c r="AM9" s="53"/>
      <c r="AN9" s="53"/>
      <c r="AO9" s="53"/>
      <c r="AP9" s="53"/>
      <c r="AQ9" s="277"/>
    </row>
    <row r="10" spans="1:56" ht="10.5" customHeight="1" x14ac:dyDescent="0.25">
      <c r="B10" s="253" t="s">
        <v>54</v>
      </c>
      <c r="D10" s="151"/>
      <c r="E10" s="355"/>
      <c r="F10" s="355"/>
      <c r="G10" s="355"/>
      <c r="H10" s="355"/>
      <c r="I10" s="355"/>
      <c r="J10" s="373"/>
      <c r="K10" s="373"/>
      <c r="L10" s="373"/>
      <c r="M10" s="373"/>
      <c r="N10" s="483"/>
      <c r="O10" s="483"/>
      <c r="P10" s="483"/>
      <c r="Q10" s="483"/>
      <c r="R10" s="483"/>
      <c r="S10" s="483"/>
      <c r="T10" s="483"/>
      <c r="U10" s="483"/>
      <c r="V10" s="483"/>
      <c r="W10" s="558"/>
      <c r="X10" s="355"/>
      <c r="Y10" s="355"/>
      <c r="Z10" s="355"/>
      <c r="AA10" s="355"/>
      <c r="AB10" s="355"/>
      <c r="AC10" s="355"/>
      <c r="AD10" s="355"/>
      <c r="AE10" s="355"/>
      <c r="AF10" s="355"/>
      <c r="AG10" s="355"/>
      <c r="AH10" s="355"/>
      <c r="AI10" s="355"/>
      <c r="AJ10" s="355"/>
      <c r="AK10" s="355"/>
      <c r="AL10" s="355"/>
      <c r="AM10" s="355"/>
      <c r="AN10" s="355"/>
      <c r="AO10" s="355"/>
      <c r="AP10" s="355"/>
      <c r="AQ10" s="355"/>
    </row>
    <row r="11" spans="1:56" ht="15.75" x14ac:dyDescent="0.25">
      <c r="A11" s="564"/>
      <c r="B11" s="565" t="s">
        <v>116</v>
      </c>
      <c r="C11" s="566"/>
      <c r="D11" s="31" t="s">
        <v>106</v>
      </c>
      <c r="E11" s="31" t="s">
        <v>244</v>
      </c>
      <c r="F11" s="31" t="s">
        <v>246</v>
      </c>
      <c r="G11" s="31" t="s">
        <v>337</v>
      </c>
      <c r="H11" s="85" t="s">
        <v>337</v>
      </c>
      <c r="I11" s="31" t="s">
        <v>336</v>
      </c>
      <c r="J11" s="31" t="s">
        <v>335</v>
      </c>
      <c r="K11" s="31" t="s">
        <v>334</v>
      </c>
      <c r="L11" s="31" t="s">
        <v>321</v>
      </c>
      <c r="M11" s="85" t="s">
        <v>321</v>
      </c>
      <c r="N11" s="31" t="s">
        <v>338</v>
      </c>
      <c r="O11" s="31" t="s">
        <v>346</v>
      </c>
      <c r="P11" s="31" t="s">
        <v>348</v>
      </c>
      <c r="Q11" s="33" t="s">
        <v>120</v>
      </c>
      <c r="R11" s="88" t="s">
        <v>120</v>
      </c>
      <c r="S11" s="33" t="s">
        <v>121</v>
      </c>
      <c r="T11" s="33" t="s">
        <v>122</v>
      </c>
      <c r="U11" s="33" t="s">
        <v>123</v>
      </c>
      <c r="V11" s="33" t="s">
        <v>124</v>
      </c>
      <c r="W11" s="88" t="s">
        <v>124</v>
      </c>
      <c r="X11" s="33" t="s">
        <v>125</v>
      </c>
      <c r="Y11" s="33" t="s">
        <v>126</v>
      </c>
      <c r="Z11" s="33" t="s">
        <v>127</v>
      </c>
      <c r="AA11" s="33" t="s">
        <v>128</v>
      </c>
      <c r="AB11" s="88" t="s">
        <v>128</v>
      </c>
      <c r="AC11" s="33" t="s">
        <v>248</v>
      </c>
      <c r="AD11" s="33" t="s">
        <v>249</v>
      </c>
      <c r="AE11" s="33" t="s">
        <v>250</v>
      </c>
      <c r="AF11" s="33" t="s">
        <v>251</v>
      </c>
      <c r="AG11" s="88" t="s">
        <v>251</v>
      </c>
      <c r="AH11" s="33" t="s">
        <v>281</v>
      </c>
      <c r="AI11" s="33" t="s">
        <v>282</v>
      </c>
      <c r="AJ11" s="33" t="s">
        <v>283</v>
      </c>
      <c r="AK11" s="33" t="s">
        <v>284</v>
      </c>
      <c r="AL11" s="88" t="s">
        <v>284</v>
      </c>
      <c r="AM11" s="33" t="s">
        <v>352</v>
      </c>
      <c r="AN11" s="33" t="s">
        <v>353</v>
      </c>
      <c r="AO11" s="33" t="s">
        <v>354</v>
      </c>
      <c r="AP11" s="33" t="s">
        <v>355</v>
      </c>
      <c r="AQ11" s="88" t="s">
        <v>355</v>
      </c>
    </row>
    <row r="12" spans="1:56" ht="17.649999999999999" customHeight="1" x14ac:dyDescent="0.4">
      <c r="A12" s="564"/>
      <c r="B12" s="567" t="s">
        <v>3</v>
      </c>
      <c r="C12" s="568"/>
      <c r="D12" s="32" t="s">
        <v>119</v>
      </c>
      <c r="E12" s="32" t="s">
        <v>243</v>
      </c>
      <c r="F12" s="32" t="s">
        <v>247</v>
      </c>
      <c r="G12" s="32" t="s">
        <v>257</v>
      </c>
      <c r="H12" s="86" t="s">
        <v>258</v>
      </c>
      <c r="I12" s="32" t="s">
        <v>259</v>
      </c>
      <c r="J12" s="32" t="s">
        <v>260</v>
      </c>
      <c r="K12" s="32" t="s">
        <v>261</v>
      </c>
      <c r="L12" s="32" t="s">
        <v>322</v>
      </c>
      <c r="M12" s="86" t="s">
        <v>333</v>
      </c>
      <c r="N12" s="32" t="s">
        <v>339</v>
      </c>
      <c r="O12" s="32" t="s">
        <v>347</v>
      </c>
      <c r="P12" s="32" t="s">
        <v>349</v>
      </c>
      <c r="Q12" s="30" t="s">
        <v>129</v>
      </c>
      <c r="R12" s="89" t="s">
        <v>130</v>
      </c>
      <c r="S12" s="30" t="s">
        <v>131</v>
      </c>
      <c r="T12" s="30" t="s">
        <v>132</v>
      </c>
      <c r="U12" s="30" t="s">
        <v>133</v>
      </c>
      <c r="V12" s="30" t="s">
        <v>134</v>
      </c>
      <c r="W12" s="89" t="s">
        <v>135</v>
      </c>
      <c r="X12" s="30" t="s">
        <v>136</v>
      </c>
      <c r="Y12" s="30" t="s">
        <v>137</v>
      </c>
      <c r="Z12" s="30" t="s">
        <v>138</v>
      </c>
      <c r="AA12" s="30" t="s">
        <v>139</v>
      </c>
      <c r="AB12" s="89" t="s">
        <v>140</v>
      </c>
      <c r="AC12" s="30" t="s">
        <v>252</v>
      </c>
      <c r="AD12" s="30" t="s">
        <v>253</v>
      </c>
      <c r="AE12" s="30" t="s">
        <v>254</v>
      </c>
      <c r="AF12" s="30" t="s">
        <v>255</v>
      </c>
      <c r="AG12" s="89" t="s">
        <v>256</v>
      </c>
      <c r="AH12" s="30" t="s">
        <v>285</v>
      </c>
      <c r="AI12" s="30" t="s">
        <v>286</v>
      </c>
      <c r="AJ12" s="30" t="s">
        <v>287</v>
      </c>
      <c r="AK12" s="30" t="s">
        <v>288</v>
      </c>
      <c r="AL12" s="89" t="s">
        <v>289</v>
      </c>
      <c r="AM12" s="30" t="s">
        <v>356</v>
      </c>
      <c r="AN12" s="30" t="s">
        <v>357</v>
      </c>
      <c r="AO12" s="30" t="s">
        <v>358</v>
      </c>
      <c r="AP12" s="30" t="s">
        <v>359</v>
      </c>
      <c r="AQ12" s="89" t="s">
        <v>360</v>
      </c>
    </row>
    <row r="13" spans="1:56" outlineLevel="1" x14ac:dyDescent="0.25">
      <c r="A13" s="254"/>
      <c r="B13" s="569" t="s">
        <v>263</v>
      </c>
      <c r="C13" s="570"/>
      <c r="D13" s="261">
        <v>5370.3</v>
      </c>
      <c r="E13" s="261">
        <v>5159</v>
      </c>
      <c r="F13" s="261">
        <v>5535</v>
      </c>
      <c r="G13" s="261">
        <f>H13-F13-E13-D13</f>
        <v>5480.1000000000013</v>
      </c>
      <c r="H13" s="450">
        <v>21544.400000000001</v>
      </c>
      <c r="I13" s="261">
        <v>5780.7</v>
      </c>
      <c r="J13" s="261">
        <v>4766</v>
      </c>
      <c r="K13" s="261">
        <v>3444.4</v>
      </c>
      <c r="L13" s="261">
        <v>5173.6000000000004</v>
      </c>
      <c r="M13" s="170">
        <f>SUM(I13:L13)</f>
        <v>19164.7</v>
      </c>
      <c r="N13" s="169">
        <v>5726.5</v>
      </c>
      <c r="O13" s="169">
        <v>5653.1</v>
      </c>
      <c r="P13" s="169">
        <v>6363.1</v>
      </c>
      <c r="Q13" s="169">
        <f>+Q56+Q91</f>
        <v>6947.4747238127438</v>
      </c>
      <c r="R13" s="170">
        <f>SUM(N13:Q13)</f>
        <v>24690.174723812743</v>
      </c>
      <c r="S13" s="169">
        <f>+S56+S91</f>
        <v>6589.0286853223824</v>
      </c>
      <c r="T13" s="169">
        <f>+T56+T91</f>
        <v>6355.0238553456547</v>
      </c>
      <c r="U13" s="169">
        <f>+U56+U91</f>
        <v>7081.5238401535444</v>
      </c>
      <c r="V13" s="169">
        <f>+V56+V91</f>
        <v>7070.2309634083067</v>
      </c>
      <c r="W13" s="170">
        <f>SUM(S13:V13)</f>
        <v>27095.807344229888</v>
      </c>
      <c r="X13" s="169">
        <f>+X56+X91</f>
        <v>7155.4246755203576</v>
      </c>
      <c r="Y13" s="169">
        <f>+Y56+Y91</f>
        <v>7017.9560512171665</v>
      </c>
      <c r="Z13" s="169">
        <f>+Z56+Z91</f>
        <v>7759.639443282671</v>
      </c>
      <c r="AA13" s="169">
        <f>+AA56+AA91</f>
        <v>7704.0778475362677</v>
      </c>
      <c r="AB13" s="170">
        <f>SUM(X13:AA13)</f>
        <v>29637.098017556462</v>
      </c>
      <c r="AC13" s="169">
        <f>+AC56+AC91</f>
        <v>7722.2760705912797</v>
      </c>
      <c r="AD13" s="169">
        <f>+AD56+AD91</f>
        <v>7603.4042789331543</v>
      </c>
      <c r="AE13" s="169">
        <f>+AE56+AE91</f>
        <v>8404.2522495842568</v>
      </c>
      <c r="AF13" s="169">
        <f>+AF56+AF91</f>
        <v>8344.7506790555308</v>
      </c>
      <c r="AG13" s="170">
        <f>SUM(AC13:AF13)</f>
        <v>32074.683278164222</v>
      </c>
      <c r="AH13" s="169">
        <f>+AH56+AH91</f>
        <v>8387.7476004258242</v>
      </c>
      <c r="AI13" s="169">
        <f>+AI56+AI91</f>
        <v>8251.6599416820336</v>
      </c>
      <c r="AJ13" s="169">
        <f>+AJ56+AJ91</f>
        <v>9084.2179193600368</v>
      </c>
      <c r="AK13" s="169">
        <f>+AK56+AK91</f>
        <v>9029.514122193792</v>
      </c>
      <c r="AL13" s="170">
        <f>SUM(AH13:AK13)</f>
        <v>34753.139583661687</v>
      </c>
      <c r="AM13" s="169">
        <f>+AM56+AM91</f>
        <v>9077.3474192231624</v>
      </c>
      <c r="AN13" s="169">
        <f>+AN56+AN91</f>
        <v>8918.5722002118127</v>
      </c>
      <c r="AO13" s="169">
        <f>+AO56+AO91</f>
        <v>9808.8416209790339</v>
      </c>
      <c r="AP13" s="169">
        <f>+AP56+AP91</f>
        <v>9756.3470396966277</v>
      </c>
      <c r="AQ13" s="170">
        <f>SUM(AM13:AP13)</f>
        <v>37561.108280110639</v>
      </c>
    </row>
    <row r="14" spans="1:56" outlineLevel="1" x14ac:dyDescent="0.25">
      <c r="A14" s="254"/>
      <c r="B14" s="569" t="s">
        <v>264</v>
      </c>
      <c r="C14" s="570"/>
      <c r="D14" s="261">
        <v>737.1</v>
      </c>
      <c r="E14" s="261">
        <v>678.2</v>
      </c>
      <c r="F14" s="261">
        <v>725</v>
      </c>
      <c r="G14" s="261">
        <f t="shared" ref="G14:G24" si="0">H14-F14-E14-D14</f>
        <v>734.69999999999993</v>
      </c>
      <c r="H14" s="450">
        <v>2875</v>
      </c>
      <c r="I14" s="261">
        <v>792</v>
      </c>
      <c r="J14" s="261">
        <v>689.8</v>
      </c>
      <c r="K14" s="261">
        <v>300.5</v>
      </c>
      <c r="L14" s="169">
        <v>544.6</v>
      </c>
      <c r="M14" s="170">
        <f t="shared" ref="M14:M15" si="1">SUM(I14:L14)</f>
        <v>2326.9</v>
      </c>
      <c r="N14" s="169">
        <v>613.79999999999995</v>
      </c>
      <c r="O14" s="169">
        <v>595</v>
      </c>
      <c r="P14" s="169">
        <v>680.2</v>
      </c>
      <c r="Q14" s="169">
        <f>+Q63+Q98</f>
        <v>911.04000000000008</v>
      </c>
      <c r="R14" s="170">
        <f t="shared" ref="R14:R15" si="2">SUM(N14:Q14)</f>
        <v>2800.04</v>
      </c>
      <c r="S14" s="169">
        <f>+S63+S98</f>
        <v>834.98500000000013</v>
      </c>
      <c r="T14" s="169">
        <f>+T63+T98</f>
        <v>772.44349999999997</v>
      </c>
      <c r="U14" s="169">
        <f>+U63+U98</f>
        <v>776.72787500000004</v>
      </c>
      <c r="V14" s="169">
        <f>+V63+V98</f>
        <v>951.13123437500008</v>
      </c>
      <c r="W14" s="170">
        <f t="shared" ref="W14:W15" si="3">SUM(S14:V14)</f>
        <v>3335.2876093750001</v>
      </c>
      <c r="X14" s="169">
        <f>+X63+X98</f>
        <v>876.32901783367925</v>
      </c>
      <c r="Y14" s="169">
        <f>+Y63+Y98</f>
        <v>816.29735063413068</v>
      </c>
      <c r="Z14" s="169">
        <f>+Z63+Z98</f>
        <v>826.39479699438482</v>
      </c>
      <c r="AA14" s="169">
        <f>+AA63+AA98</f>
        <v>1019.8656212043702</v>
      </c>
      <c r="AB14" s="170">
        <f t="shared" ref="AB14:AB15" si="4">SUM(X14:AA14)</f>
        <v>3538.8867866665651</v>
      </c>
      <c r="AC14" s="169">
        <f>+AC63+AC98</f>
        <v>941.34625885700359</v>
      </c>
      <c r="AD14" s="169">
        <f>+AD63+AD98</f>
        <v>876.77357627983474</v>
      </c>
      <c r="AE14" s="169">
        <f>+AE63+AE98</f>
        <v>887.63886827852593</v>
      </c>
      <c r="AF14" s="169">
        <f>+AF63+AF98</f>
        <v>1097.1315852725888</v>
      </c>
      <c r="AG14" s="170">
        <f t="shared" ref="AG14:AG15" si="5">SUM(AC14:AF14)</f>
        <v>3802.8902886879532</v>
      </c>
      <c r="AH14" s="169">
        <f>+AH63+AH98</f>
        <v>1010.9582072785795</v>
      </c>
      <c r="AI14" s="169">
        <f>+AI63+AI98</f>
        <v>940.94002602077819</v>
      </c>
      <c r="AJ14" s="169">
        <f>+AJ63+AJ98</f>
        <v>952.04978708943997</v>
      </c>
      <c r="AK14" s="169">
        <f>+AK63+AK98</f>
        <v>1177.7136324582666</v>
      </c>
      <c r="AL14" s="170">
        <f t="shared" ref="AL14:AL15" si="6">SUM(AH14:AK14)</f>
        <v>4081.6616528470645</v>
      </c>
      <c r="AM14" s="169">
        <f>+AM63+AM98</f>
        <v>1083.2261368355798</v>
      </c>
      <c r="AN14" s="169">
        <f>+AN63+AN98</f>
        <v>1007.5500993770725</v>
      </c>
      <c r="AO14" s="169">
        <f>+AO63+AO98</f>
        <v>1018.9098300697792</v>
      </c>
      <c r="AP14" s="169">
        <f>+AP63+AP98</f>
        <v>1261.3664489022553</v>
      </c>
      <c r="AQ14" s="170">
        <f t="shared" ref="AQ14:AQ15" si="7">SUM(AM14:AP14)</f>
        <v>4371.0525151846869</v>
      </c>
    </row>
    <row r="15" spans="1:56" ht="17.25" outlineLevel="1" x14ac:dyDescent="0.4">
      <c r="A15" s="254"/>
      <c r="B15" s="569" t="s">
        <v>265</v>
      </c>
      <c r="C15" s="570"/>
      <c r="D15" s="260">
        <v>525.29999999999995</v>
      </c>
      <c r="E15" s="260">
        <v>468.7</v>
      </c>
      <c r="F15" s="260">
        <v>563</v>
      </c>
      <c r="G15" s="260">
        <f t="shared" si="0"/>
        <v>532.19999999999982</v>
      </c>
      <c r="H15" s="453">
        <v>2089.1999999999998</v>
      </c>
      <c r="I15" s="260">
        <v>524.4</v>
      </c>
      <c r="J15" s="260">
        <v>539.9</v>
      </c>
      <c r="K15" s="260">
        <v>477.2</v>
      </c>
      <c r="L15" s="173">
        <v>484.9</v>
      </c>
      <c r="M15" s="174">
        <f t="shared" si="1"/>
        <v>2026.4</v>
      </c>
      <c r="N15" s="173">
        <v>409.1</v>
      </c>
      <c r="O15" s="173">
        <v>419.9</v>
      </c>
      <c r="P15" s="173">
        <v>453.2</v>
      </c>
      <c r="Q15" s="173">
        <f>+Q64+Q99+Q119+Q134</f>
        <v>420.49000000000007</v>
      </c>
      <c r="R15" s="174">
        <f t="shared" si="2"/>
        <v>1702.69</v>
      </c>
      <c r="S15" s="173">
        <f>+S64+S99+S119+S134</f>
        <v>439.29699999999997</v>
      </c>
      <c r="T15" s="173">
        <f>+T64+T99+T119+T134</f>
        <v>455.40449999999998</v>
      </c>
      <c r="U15" s="173">
        <f>+U64+U99+U119+U134</f>
        <v>481.9</v>
      </c>
      <c r="V15" s="173">
        <f>+V64+V99+V119+V134</f>
        <v>445.97</v>
      </c>
      <c r="W15" s="174">
        <f t="shared" si="3"/>
        <v>1822.5714999999998</v>
      </c>
      <c r="X15" s="173">
        <f>+X64+X99+X119+X134</f>
        <v>470.92861999999997</v>
      </c>
      <c r="Y15" s="173">
        <f>+Y64+Y99+Y119+Y134</f>
        <v>491.05016999999998</v>
      </c>
      <c r="Z15" s="173">
        <f>+Z64+Z99+Z119+Z134</f>
        <v>515.13170000000002</v>
      </c>
      <c r="AA15" s="173">
        <f>+AA64+AA99+AA119+AA134</f>
        <v>475.40128500000003</v>
      </c>
      <c r="AB15" s="174">
        <f t="shared" si="4"/>
        <v>1952.5117749999999</v>
      </c>
      <c r="AC15" s="173">
        <f>+AC64+AC99+AC119+AC134</f>
        <v>503.55008409999999</v>
      </c>
      <c r="AD15" s="173">
        <f>+AD64+AD99+AD119+AD134</f>
        <v>528.6842743499999</v>
      </c>
      <c r="AE15" s="173">
        <f>+AE64+AE99+AE119+AE134</f>
        <v>548.95156600000007</v>
      </c>
      <c r="AF15" s="173">
        <f>+AF64+AF99+AF119+AF134</f>
        <v>504.9420093</v>
      </c>
      <c r="AG15" s="174">
        <f t="shared" si="5"/>
        <v>2086.12793375</v>
      </c>
      <c r="AH15" s="173">
        <f>+AH64+AH99+AH119+AH134</f>
        <v>537.26952330500001</v>
      </c>
      <c r="AI15" s="173">
        <f>+AI64+AI99+AI119+AI134</f>
        <v>568.66186806749988</v>
      </c>
      <c r="AJ15" s="173">
        <f>+AJ64+AJ99+AJ119+AJ134</f>
        <v>583.3505093</v>
      </c>
      <c r="AK15" s="173">
        <f>+AK64+AK99+AK119+AK134</f>
        <v>534.48183051499996</v>
      </c>
      <c r="AL15" s="174">
        <f t="shared" si="6"/>
        <v>2223.7637311874996</v>
      </c>
      <c r="AM15" s="173">
        <f>+AM64+AM99+AM119+AM134</f>
        <v>574.58381547024999</v>
      </c>
      <c r="AN15" s="173">
        <f>+AN64+AN99+AN119+AN134</f>
        <v>613.77861697087485</v>
      </c>
      <c r="AO15" s="173">
        <f>+AO64+AO99+AO119+AO134</f>
        <v>620.94969251500004</v>
      </c>
      <c r="AP15" s="173">
        <f>+AP64+AP99+AP119+AP134</f>
        <v>566.39373517824993</v>
      </c>
      <c r="AQ15" s="174">
        <f t="shared" si="7"/>
        <v>2375.7058601343751</v>
      </c>
    </row>
    <row r="16" spans="1:56" s="20" customFormat="1" x14ac:dyDescent="0.25">
      <c r="A16" s="269"/>
      <c r="B16" s="571" t="s">
        <v>266</v>
      </c>
      <c r="C16" s="572"/>
      <c r="D16" s="259">
        <f t="shared" ref="D16:AB16" si="8">SUM(D13:D15)</f>
        <v>6632.7000000000007</v>
      </c>
      <c r="E16" s="259">
        <f t="shared" si="8"/>
        <v>6305.9</v>
      </c>
      <c r="F16" s="259">
        <f t="shared" si="8"/>
        <v>6823</v>
      </c>
      <c r="G16" s="259">
        <f t="shared" si="8"/>
        <v>6747.0000000000009</v>
      </c>
      <c r="H16" s="451">
        <f t="shared" si="8"/>
        <v>26508.600000000002</v>
      </c>
      <c r="I16" s="259">
        <f>SUM(I13:I15)</f>
        <v>7097.0999999999995</v>
      </c>
      <c r="J16" s="259">
        <f>SUM(J13:J15)</f>
        <v>5995.7</v>
      </c>
      <c r="K16" s="259">
        <f>SUM(K13:K15)</f>
        <v>4222.1000000000004</v>
      </c>
      <c r="L16" s="259">
        <f>SUM(L13:L15)</f>
        <v>6203.1</v>
      </c>
      <c r="M16" s="451">
        <f t="shared" si="8"/>
        <v>23518.000000000004</v>
      </c>
      <c r="N16" s="259">
        <f t="shared" si="8"/>
        <v>6749.4000000000005</v>
      </c>
      <c r="O16" s="259">
        <f t="shared" si="8"/>
        <v>6668</v>
      </c>
      <c r="P16" s="259">
        <f t="shared" si="8"/>
        <v>7496.5</v>
      </c>
      <c r="Q16" s="259">
        <f t="shared" si="8"/>
        <v>8279.0047238127445</v>
      </c>
      <c r="R16" s="493">
        <f t="shared" si="8"/>
        <v>29192.904723812742</v>
      </c>
      <c r="S16" s="259">
        <f t="shared" si="8"/>
        <v>7863.3106853223826</v>
      </c>
      <c r="T16" s="259">
        <f t="shared" si="8"/>
        <v>7582.8718553456547</v>
      </c>
      <c r="U16" s="259">
        <f t="shared" si="8"/>
        <v>8340.1517151535445</v>
      </c>
      <c r="V16" s="259">
        <f t="shared" si="8"/>
        <v>8467.3321977833057</v>
      </c>
      <c r="W16" s="451">
        <f t="shared" si="8"/>
        <v>32253.666453604885</v>
      </c>
      <c r="X16" s="171">
        <f t="shared" si="8"/>
        <v>8502.6823133540365</v>
      </c>
      <c r="Y16" s="171">
        <f t="shared" si="8"/>
        <v>8325.3035718512965</v>
      </c>
      <c r="Z16" s="171">
        <f t="shared" si="8"/>
        <v>9101.1659402770565</v>
      </c>
      <c r="AA16" s="171">
        <f t="shared" si="8"/>
        <v>9199.3447537406373</v>
      </c>
      <c r="AB16" s="451">
        <f t="shared" si="8"/>
        <v>35128.496579223029</v>
      </c>
      <c r="AC16" s="171">
        <f t="shared" ref="AC16:AQ16" si="9">SUM(AC13:AC15)</f>
        <v>9167.1724135482818</v>
      </c>
      <c r="AD16" s="171">
        <f t="shared" si="9"/>
        <v>9008.8621295629891</v>
      </c>
      <c r="AE16" s="171">
        <f t="shared" si="9"/>
        <v>9840.842683862782</v>
      </c>
      <c r="AF16" s="171">
        <f t="shared" si="9"/>
        <v>9946.8242736281209</v>
      </c>
      <c r="AG16" s="172">
        <f t="shared" si="9"/>
        <v>37963.701500602176</v>
      </c>
      <c r="AH16" s="171">
        <f t="shared" si="9"/>
        <v>9935.9753310094038</v>
      </c>
      <c r="AI16" s="171">
        <f t="shared" si="9"/>
        <v>9761.2618357703122</v>
      </c>
      <c r="AJ16" s="171">
        <f t="shared" si="9"/>
        <v>10619.618215749477</v>
      </c>
      <c r="AK16" s="171">
        <f t="shared" si="9"/>
        <v>10741.709585167058</v>
      </c>
      <c r="AL16" s="172">
        <f t="shared" si="9"/>
        <v>41058.564967696249</v>
      </c>
      <c r="AM16" s="171">
        <f t="shared" si="9"/>
        <v>10735.157371528992</v>
      </c>
      <c r="AN16" s="171">
        <f t="shared" si="9"/>
        <v>10539.90091655976</v>
      </c>
      <c r="AO16" s="171">
        <f t="shared" si="9"/>
        <v>11448.701143563812</v>
      </c>
      <c r="AP16" s="171">
        <f t="shared" si="9"/>
        <v>11584.107223777133</v>
      </c>
      <c r="AQ16" s="172">
        <f t="shared" si="9"/>
        <v>44307.866655429701</v>
      </c>
    </row>
    <row r="17" spans="1:43" outlineLevel="1" x14ac:dyDescent="0.25">
      <c r="A17" s="254"/>
      <c r="B17" s="573" t="s">
        <v>262</v>
      </c>
      <c r="C17" s="574"/>
      <c r="D17" s="261">
        <v>2175.8000000000002</v>
      </c>
      <c r="E17" s="261">
        <v>2012</v>
      </c>
      <c r="F17" s="261">
        <v>2199.6</v>
      </c>
      <c r="G17" s="261">
        <f t="shared" si="0"/>
        <v>2139.4999999999991</v>
      </c>
      <c r="H17" s="450">
        <v>8526.9</v>
      </c>
      <c r="I17" s="261">
        <v>2236.4</v>
      </c>
      <c r="J17" s="261">
        <v>1997.7</v>
      </c>
      <c r="K17" s="261">
        <v>1484</v>
      </c>
      <c r="L17" s="261">
        <v>1976.8</v>
      </c>
      <c r="M17" s="450">
        <f>SUM(I17:L17)</f>
        <v>7694.9000000000005</v>
      </c>
      <c r="N17" s="261">
        <v>2049.1</v>
      </c>
      <c r="O17" s="261">
        <v>1992.4</v>
      </c>
      <c r="P17" s="261">
        <v>2206</v>
      </c>
      <c r="Q17" s="261">
        <f>+Q69+Q104+Q121+Q136</f>
        <v>2481.117533613457</v>
      </c>
      <c r="R17" s="450">
        <f>SUM(N17:Q17)</f>
        <v>8728.6175336134565</v>
      </c>
      <c r="S17" s="261">
        <f>+S69+S104+S121+S136</f>
        <v>2373.5206818589272</v>
      </c>
      <c r="T17" s="261">
        <f>+T69+T104+T121+T136</f>
        <v>2344.356691832214</v>
      </c>
      <c r="U17" s="261">
        <f>+U69+U104+U121+U136</f>
        <v>2515.4192045532673</v>
      </c>
      <c r="V17" s="261">
        <f>+V69+V104+V121+V136</f>
        <v>2572.8115943347639</v>
      </c>
      <c r="W17" s="450">
        <f>SUM(S17:V17)</f>
        <v>9806.1081725791719</v>
      </c>
      <c r="X17" s="261">
        <f>+X69+X104+X121+X136</f>
        <v>2561.7695476612494</v>
      </c>
      <c r="Y17" s="261">
        <f>+Y69+Y104+Y121+Y136</f>
        <v>2564.1423734294617</v>
      </c>
      <c r="Z17" s="261">
        <f>+Z69+Z104+Z121+Z136</f>
        <v>2799.9864854780999</v>
      </c>
      <c r="AA17" s="261">
        <f>+AA69+AA104+AA121+AA136</f>
        <v>2766.9220176551685</v>
      </c>
      <c r="AB17" s="170">
        <f>SUM(X17:AA17)</f>
        <v>10692.820424223979</v>
      </c>
      <c r="AC17" s="261">
        <f>+AC69+AC104+AC121+AC136</f>
        <v>2775.2440718673815</v>
      </c>
      <c r="AD17" s="261">
        <f>+AD69+AD104+AD121+AD136</f>
        <v>2786.9941511881375</v>
      </c>
      <c r="AE17" s="261">
        <f>+AE69+AE104+AE121+AE136</f>
        <v>3041.5416922530426</v>
      </c>
      <c r="AF17" s="261">
        <f>+AF69+AF104+AF121+AF136</f>
        <v>3008.3364877723088</v>
      </c>
      <c r="AG17" s="170">
        <f>SUM(AC17:AF17)</f>
        <v>11612.11640308087</v>
      </c>
      <c r="AH17" s="261">
        <f>+AH69+AH104+AH121+AH136</f>
        <v>2995.2893684203309</v>
      </c>
      <c r="AI17" s="261">
        <f>+AI69+AI104+AI121+AI136</f>
        <v>3006.3314308192544</v>
      </c>
      <c r="AJ17" s="261">
        <f>+AJ69+AJ104+AJ121+AJ136</f>
        <v>3268.1893411673063</v>
      </c>
      <c r="AK17" s="261">
        <f>+AK69+AK104+AK121+AK136</f>
        <v>3236.2180664636189</v>
      </c>
      <c r="AL17" s="170">
        <f>SUM(AH17:AK17)</f>
        <v>12506.028206870509</v>
      </c>
      <c r="AM17" s="261">
        <f>+AM69+AM104+AM121+AM136</f>
        <v>3239.7634454881158</v>
      </c>
      <c r="AN17" s="261">
        <f>+AN69+AN104+AN121+AN136</f>
        <v>3248.6833023120635</v>
      </c>
      <c r="AO17" s="261">
        <f>+AO69+AO104+AO121+AO136</f>
        <v>3526.1759400937003</v>
      </c>
      <c r="AP17" s="261">
        <f>+AP69+AP104+AP121+AP136</f>
        <v>3494.0180155228486</v>
      </c>
      <c r="AQ17" s="170">
        <f>SUM(AM17:AP17)</f>
        <v>13508.640703416728</v>
      </c>
    </row>
    <row r="18" spans="1:43" outlineLevel="1" x14ac:dyDescent="0.25">
      <c r="A18" s="254"/>
      <c r="B18" s="557" t="s">
        <v>141</v>
      </c>
      <c r="C18" s="323"/>
      <c r="D18" s="261">
        <v>2586.8000000000002</v>
      </c>
      <c r="E18" s="261">
        <v>2554.1</v>
      </c>
      <c r="F18" s="261">
        <v>2643.2</v>
      </c>
      <c r="G18" s="261">
        <f t="shared" si="0"/>
        <v>2709.5000000000009</v>
      </c>
      <c r="H18" s="450">
        <v>10493.6</v>
      </c>
      <c r="I18" s="261">
        <v>2821.5</v>
      </c>
      <c r="J18" s="261">
        <v>2721.4</v>
      </c>
      <c r="K18" s="261">
        <v>2537.8000000000002</v>
      </c>
      <c r="L18" s="169">
        <v>2683.4</v>
      </c>
      <c r="M18" s="170">
        <f t="shared" ref="M18:M21" si="10">SUM(I18:L18)</f>
        <v>10764.1</v>
      </c>
      <c r="N18" s="169">
        <v>2867.3</v>
      </c>
      <c r="O18" s="261">
        <v>2823.3</v>
      </c>
      <c r="P18" s="261">
        <v>2966.9</v>
      </c>
      <c r="Q18" s="261">
        <f>+Q71+Q106</f>
        <v>3319.871728081956</v>
      </c>
      <c r="R18" s="450">
        <f t="shared" ref="R18:R21" si="11">SUM(N18:Q18)</f>
        <v>11977.371728081956</v>
      </c>
      <c r="S18" s="169">
        <f>+S71+S106</f>
        <v>3145.8737663609463</v>
      </c>
      <c r="T18" s="169">
        <f>+T71+T106</f>
        <v>3036.1806502647833</v>
      </c>
      <c r="U18" s="169">
        <f>+U71+U106</f>
        <v>3280.5759635131012</v>
      </c>
      <c r="V18" s="169">
        <f>+V71+V106</f>
        <v>3314.5972875397347</v>
      </c>
      <c r="W18" s="450">
        <f t="shared" ref="W18:W21" si="12">SUM(S18:V18)</f>
        <v>12777.227667678566</v>
      </c>
      <c r="X18" s="169">
        <f>+X71+X106</f>
        <v>3353.3479705320915</v>
      </c>
      <c r="Y18" s="169">
        <f>+Y71+Y106</f>
        <v>3292.6293806964832</v>
      </c>
      <c r="Z18" s="169">
        <f>+Z71+Z106</f>
        <v>3646.6384016614265</v>
      </c>
      <c r="AA18" s="169">
        <f>+AA71+AA106</f>
        <v>3614.1183832493471</v>
      </c>
      <c r="AB18" s="170">
        <f t="shared" ref="AB18:AB21" si="13">SUM(X18:AA18)</f>
        <v>13906.734136139348</v>
      </c>
      <c r="AC18" s="169">
        <f>+AC71+AC106</f>
        <v>3623.4165085914278</v>
      </c>
      <c r="AD18" s="169">
        <f>+AD71+AD106</f>
        <v>3571.0214666810784</v>
      </c>
      <c r="AE18" s="169">
        <f>+AE71+AE106</f>
        <v>3952.5459190639385</v>
      </c>
      <c r="AF18" s="169">
        <f>+AF71+AF106</f>
        <v>3916.9581132174053</v>
      </c>
      <c r="AG18" s="170">
        <f t="shared" ref="AG18:AG22" si="14">SUM(AC18:AF18)</f>
        <v>15063.942007553851</v>
      </c>
      <c r="AH18" s="169">
        <f>+AH71+AH106</f>
        <v>3932.8862945338442</v>
      </c>
      <c r="AI18" s="169">
        <f>+AI71+AI106</f>
        <v>3872.8684216201973</v>
      </c>
      <c r="AJ18" s="169">
        <f>+AJ71+AJ106</f>
        <v>4269.2608732390845</v>
      </c>
      <c r="AK18" s="169">
        <f>+AK71+AK106</f>
        <v>4235.0822717177016</v>
      </c>
      <c r="AL18" s="170">
        <f t="shared" ref="AL18:AL22" si="15">SUM(AH18:AK18)</f>
        <v>16310.097861110828</v>
      </c>
      <c r="AM18" s="169">
        <f>+AM71+AM106</f>
        <v>4252.8816914324325</v>
      </c>
      <c r="AN18" s="169">
        <f>+AN71+AN106</f>
        <v>4182.8058459215599</v>
      </c>
      <c r="AO18" s="169">
        <f>+AO71+AO106</f>
        <v>4606.6375765324947</v>
      </c>
      <c r="AP18" s="169">
        <f>+AP71+AP106</f>
        <v>4572.6840540765324</v>
      </c>
      <c r="AQ18" s="170">
        <f t="shared" ref="AQ18:AQ22" si="16">SUM(AM18:AP18)</f>
        <v>17615.00916796302</v>
      </c>
    </row>
    <row r="19" spans="1:43" outlineLevel="1" x14ac:dyDescent="0.25">
      <c r="A19" s="254"/>
      <c r="B19" s="557" t="s">
        <v>142</v>
      </c>
      <c r="C19" s="323"/>
      <c r="D19" s="261">
        <v>97.6</v>
      </c>
      <c r="E19" s="261">
        <v>87.1</v>
      </c>
      <c r="F19" s="261">
        <v>94.4</v>
      </c>
      <c r="G19" s="261">
        <f t="shared" si="0"/>
        <v>91.900000000000034</v>
      </c>
      <c r="H19" s="450">
        <v>371</v>
      </c>
      <c r="I19" s="261">
        <v>101.8</v>
      </c>
      <c r="J19" s="261">
        <v>95</v>
      </c>
      <c r="K19" s="261">
        <v>133.6</v>
      </c>
      <c r="L19" s="169">
        <v>99.9</v>
      </c>
      <c r="M19" s="170">
        <f t="shared" si="10"/>
        <v>430.29999999999995</v>
      </c>
      <c r="N19" s="169">
        <v>91.8</v>
      </c>
      <c r="O19" s="261">
        <v>87.7</v>
      </c>
      <c r="P19" s="261">
        <v>71.400000000000006</v>
      </c>
      <c r="Q19" s="261">
        <f>+Q73+Q108+Q123+Q137</f>
        <v>99.544994063741271</v>
      </c>
      <c r="R19" s="450">
        <f t="shared" si="11"/>
        <v>350.44499406374126</v>
      </c>
      <c r="S19" s="169">
        <f>+S73+S108+S123+S137</f>
        <v>96.755650674667109</v>
      </c>
      <c r="T19" s="169">
        <f>+T73+T108+T123+T137</f>
        <v>93.147726671322928</v>
      </c>
      <c r="U19" s="169">
        <f>+U73+U108+U123+U137</f>
        <v>100.39511299307878</v>
      </c>
      <c r="V19" s="169">
        <f>+V73+V108+V123+V137</f>
        <v>103.98617156101939</v>
      </c>
      <c r="W19" s="450">
        <f t="shared" si="12"/>
        <v>394.28466190008822</v>
      </c>
      <c r="X19" s="169">
        <f>+X73+X108+X123+X137</f>
        <v>105.918068580203</v>
      </c>
      <c r="Y19" s="169">
        <f>+Y73+Y108+Y123+Y137</f>
        <v>102.83603856854712</v>
      </c>
      <c r="Z19" s="169">
        <f>+Z73+Z108+Z123+Z137</f>
        <v>110.02189877523787</v>
      </c>
      <c r="AA19" s="169">
        <f>+AA73+AA108+AA123+AA137</f>
        <v>113.4504206284755</v>
      </c>
      <c r="AB19" s="170">
        <f t="shared" si="13"/>
        <v>432.22642655246352</v>
      </c>
      <c r="AC19" s="169">
        <f>+AC73+AC108+AC123+AC137</f>
        <v>114.25349827026166</v>
      </c>
      <c r="AD19" s="169">
        <f>+AD73+AD108+AD123+AD137</f>
        <v>111.44401221733085</v>
      </c>
      <c r="AE19" s="169">
        <f>+AE73+AE108+AE123+AE137</f>
        <v>119.36652733034096</v>
      </c>
      <c r="AF19" s="169">
        <f>+AF73+AF108+AF123+AF137</f>
        <v>123.47775184666219</v>
      </c>
      <c r="AG19" s="170">
        <f t="shared" si="14"/>
        <v>468.54178966459563</v>
      </c>
      <c r="AH19" s="169">
        <f>+AH73+AH108+AH123+AH137</f>
        <v>124.43560444488463</v>
      </c>
      <c r="AI19" s="169">
        <f>+AI73+AI108+AI123+AI137</f>
        <v>121.32123907869408</v>
      </c>
      <c r="AJ19" s="169">
        <f>+AJ73+AJ108+AJ123+AJ137</f>
        <v>129.50735230415313</v>
      </c>
      <c r="AK19" s="169">
        <f>+AK73+AK108+AK123+AK137</f>
        <v>134.14067676751483</v>
      </c>
      <c r="AL19" s="170">
        <f t="shared" si="15"/>
        <v>509.40487259524667</v>
      </c>
      <c r="AM19" s="169">
        <f>+AM73+AM108+AM123+AM137</f>
        <v>135.27763106085771</v>
      </c>
      <c r="AN19" s="169">
        <f>+AN73+AN108+AN123+AN137</f>
        <v>131.77961120538046</v>
      </c>
      <c r="AO19" s="169">
        <f>+AO73+AO108+AO123+AO137</f>
        <v>140.35054651424988</v>
      </c>
      <c r="AP19" s="169">
        <f>+AP73+AP108+AP123+AP137</f>
        <v>145.46224938590359</v>
      </c>
      <c r="AQ19" s="170">
        <f t="shared" si="16"/>
        <v>552.87003816639162</v>
      </c>
    </row>
    <row r="20" spans="1:43" outlineLevel="1" x14ac:dyDescent="0.25">
      <c r="A20" s="254"/>
      <c r="B20" s="557" t="s">
        <v>143</v>
      </c>
      <c r="C20" s="323"/>
      <c r="D20" s="261">
        <v>333.4</v>
      </c>
      <c r="E20" s="261">
        <v>356.2</v>
      </c>
      <c r="F20" s="261">
        <v>343.1</v>
      </c>
      <c r="G20" s="261">
        <f t="shared" si="0"/>
        <v>344.5999999999998</v>
      </c>
      <c r="H20" s="450">
        <v>1377.3</v>
      </c>
      <c r="I20" s="261">
        <v>351</v>
      </c>
      <c r="J20" s="261">
        <v>356.3</v>
      </c>
      <c r="K20" s="261">
        <v>361</v>
      </c>
      <c r="L20" s="169">
        <v>362.9</v>
      </c>
      <c r="M20" s="170">
        <f t="shared" ref="M20" si="17">SUM(I20:L20)</f>
        <v>1431.1999999999998</v>
      </c>
      <c r="N20" s="169">
        <v>366.1</v>
      </c>
      <c r="O20" s="261">
        <v>366.7</v>
      </c>
      <c r="P20" s="261">
        <v>354.3</v>
      </c>
      <c r="Q20" s="261">
        <f t="shared" ref="Q20:Q21" si="18">+Q75+Q110+Q125+Q138</f>
        <v>378.89745207839951</v>
      </c>
      <c r="R20" s="450">
        <f t="shared" ref="R20" si="19">SUM(N20:Q20)</f>
        <v>1465.9974520783994</v>
      </c>
      <c r="S20" s="169">
        <f t="shared" ref="S20:V21" si="20">+S75+S110+S125+S138</f>
        <v>401.3444084438629</v>
      </c>
      <c r="T20" s="169">
        <f t="shared" si="20"/>
        <v>405.80678367272924</v>
      </c>
      <c r="U20" s="169">
        <f t="shared" si="20"/>
        <v>408.65855033456631</v>
      </c>
      <c r="V20" s="169">
        <f t="shared" si="20"/>
        <v>416.72031548007692</v>
      </c>
      <c r="W20" s="450">
        <f t="shared" ref="W20" si="21">SUM(S20:V20)</f>
        <v>1632.5300579312352</v>
      </c>
      <c r="X20" s="169">
        <f t="shared" ref="X20:AA21" si="22">+X75+X110+X125+X138</f>
        <v>422.59906168994257</v>
      </c>
      <c r="Y20" s="169">
        <f t="shared" si="22"/>
        <v>426.36645223088732</v>
      </c>
      <c r="Z20" s="169">
        <f t="shared" si="22"/>
        <v>429.48103154149993</v>
      </c>
      <c r="AA20" s="169">
        <f t="shared" si="22"/>
        <v>435.48134105614588</v>
      </c>
      <c r="AB20" s="170">
        <f t="shared" ref="AB20" si="23">SUM(X20:AA20)</f>
        <v>1713.9278865184756</v>
      </c>
      <c r="AC20" s="169">
        <f t="shared" ref="AC20:AF21" si="24">+AC75+AC110+AC125+AC138</f>
        <v>439.89027474272541</v>
      </c>
      <c r="AD20" s="169">
        <f t="shared" si="24"/>
        <v>442.37844178165722</v>
      </c>
      <c r="AE20" s="169">
        <f t="shared" si="24"/>
        <v>444.26844271579654</v>
      </c>
      <c r="AF20" s="169">
        <f t="shared" si="24"/>
        <v>448.76468950025412</v>
      </c>
      <c r="AG20" s="170">
        <f t="shared" si="14"/>
        <v>1775.3018487404333</v>
      </c>
      <c r="AH20" s="169">
        <f t="shared" ref="AH20:AK21" si="25">+AH75+AH110+AH125+AH138</f>
        <v>453.65695064999818</v>
      </c>
      <c r="AI20" s="169">
        <f t="shared" si="25"/>
        <v>457.93241088100814</v>
      </c>
      <c r="AJ20" s="169">
        <f t="shared" si="25"/>
        <v>461.41434697410403</v>
      </c>
      <c r="AK20" s="169">
        <f t="shared" si="25"/>
        <v>467.50121987403952</v>
      </c>
      <c r="AL20" s="170">
        <f t="shared" si="15"/>
        <v>1840.50492837915</v>
      </c>
      <c r="AM20" s="169">
        <f t="shared" ref="AM20:AP21" si="26">+AM75+AM110+AM125+AM138</f>
        <v>473.64167436729446</v>
      </c>
      <c r="AN20" s="169">
        <f t="shared" si="26"/>
        <v>479.33256797724414</v>
      </c>
      <c r="AO20" s="169">
        <f t="shared" si="26"/>
        <v>484.05134766594472</v>
      </c>
      <c r="AP20" s="169">
        <f t="shared" si="26"/>
        <v>491.44108744143176</v>
      </c>
      <c r="AQ20" s="170">
        <f t="shared" si="16"/>
        <v>1928.4666774519153</v>
      </c>
    </row>
    <row r="21" spans="1:43" ht="17.25" customHeight="1" outlineLevel="1" x14ac:dyDescent="0.25">
      <c r="A21" s="254"/>
      <c r="B21" s="557" t="s">
        <v>245</v>
      </c>
      <c r="C21" s="323"/>
      <c r="D21" s="261">
        <v>448</v>
      </c>
      <c r="E21" s="261">
        <v>458.1</v>
      </c>
      <c r="F21" s="261">
        <v>459.7</v>
      </c>
      <c r="G21" s="261">
        <f t="shared" si="0"/>
        <v>458.29999999999984</v>
      </c>
      <c r="H21" s="450">
        <v>1824.1</v>
      </c>
      <c r="I21" s="261">
        <v>434.2</v>
      </c>
      <c r="J21" s="261">
        <v>406.5</v>
      </c>
      <c r="K21" s="261">
        <v>399.9</v>
      </c>
      <c r="L21" s="169">
        <v>439</v>
      </c>
      <c r="M21" s="450">
        <f t="shared" si="10"/>
        <v>1679.6</v>
      </c>
      <c r="N21" s="169">
        <v>472.1</v>
      </c>
      <c r="O21" s="261">
        <v>464.4</v>
      </c>
      <c r="P21" s="261">
        <v>494.9</v>
      </c>
      <c r="Q21" s="261">
        <f t="shared" si="18"/>
        <v>481.08839150068468</v>
      </c>
      <c r="R21" s="450">
        <f t="shared" si="11"/>
        <v>1912.4883915006849</v>
      </c>
      <c r="S21" s="169">
        <f t="shared" si="20"/>
        <v>496.01128217727035</v>
      </c>
      <c r="T21" s="169">
        <f t="shared" si="20"/>
        <v>507.05692515161888</v>
      </c>
      <c r="U21" s="169">
        <f t="shared" si="20"/>
        <v>522.9320726164699</v>
      </c>
      <c r="V21" s="169">
        <f t="shared" si="20"/>
        <v>505.18365139883241</v>
      </c>
      <c r="W21" s="450">
        <f t="shared" si="12"/>
        <v>2031.1839313441915</v>
      </c>
      <c r="X21" s="169">
        <f t="shared" si="22"/>
        <v>511.27971016586429</v>
      </c>
      <c r="Y21" s="169">
        <f t="shared" si="22"/>
        <v>526.16985324948223</v>
      </c>
      <c r="Z21" s="169">
        <f t="shared" si="22"/>
        <v>540.45381001902126</v>
      </c>
      <c r="AA21" s="169">
        <f t="shared" si="22"/>
        <v>524.87243670225814</v>
      </c>
      <c r="AB21" s="170">
        <f t="shared" si="13"/>
        <v>2102.7758101366262</v>
      </c>
      <c r="AC21" s="169">
        <f t="shared" si="24"/>
        <v>527.33046912398163</v>
      </c>
      <c r="AD21" s="169">
        <f t="shared" si="24"/>
        <v>544.95471205387742</v>
      </c>
      <c r="AE21" s="169">
        <f t="shared" si="24"/>
        <v>560.95300454730443</v>
      </c>
      <c r="AF21" s="169">
        <f t="shared" si="24"/>
        <v>545.93960035209921</v>
      </c>
      <c r="AG21" s="170">
        <f t="shared" si="14"/>
        <v>2179.1777860772627</v>
      </c>
      <c r="AH21" s="169">
        <f t="shared" si="25"/>
        <v>552.23695927458357</v>
      </c>
      <c r="AI21" s="169">
        <f t="shared" si="25"/>
        <v>570.96315942706065</v>
      </c>
      <c r="AJ21" s="169">
        <f t="shared" si="25"/>
        <v>587.8301603654154</v>
      </c>
      <c r="AK21" s="169">
        <f t="shared" si="25"/>
        <v>572.37557639719785</v>
      </c>
      <c r="AL21" s="170">
        <f t="shared" si="15"/>
        <v>2283.4058554642575</v>
      </c>
      <c r="AM21" s="169">
        <f t="shared" si="26"/>
        <v>575.11793150811434</v>
      </c>
      <c r="AN21" s="169">
        <f t="shared" si="26"/>
        <v>594.67829294627859</v>
      </c>
      <c r="AO21" s="169">
        <f t="shared" si="26"/>
        <v>612.22938555761061</v>
      </c>
      <c r="AP21" s="169">
        <f t="shared" si="26"/>
        <v>596.1868052988234</v>
      </c>
      <c r="AQ21" s="170">
        <f t="shared" si="16"/>
        <v>2378.2124153108271</v>
      </c>
    </row>
    <row r="22" spans="1:43" ht="17.25" customHeight="1" outlineLevel="1" x14ac:dyDescent="0.4">
      <c r="A22" s="254"/>
      <c r="B22" s="557" t="s">
        <v>152</v>
      </c>
      <c r="C22" s="323"/>
      <c r="D22" s="260">
        <v>43.2</v>
      </c>
      <c r="E22" s="260">
        <v>43</v>
      </c>
      <c r="F22" s="260">
        <v>37.700000000000003</v>
      </c>
      <c r="G22" s="260">
        <f t="shared" si="0"/>
        <v>11.900000000000006</v>
      </c>
      <c r="H22" s="453">
        <v>135.80000000000001</v>
      </c>
      <c r="I22" s="260">
        <v>6.3</v>
      </c>
      <c r="J22" s="260">
        <v>-0.7</v>
      </c>
      <c r="K22" s="260">
        <v>78.099999999999994</v>
      </c>
      <c r="L22" s="260">
        <v>195</v>
      </c>
      <c r="M22" s="174">
        <f t="shared" ref="M22" si="27">SUM(I22:L22)</f>
        <v>278.7</v>
      </c>
      <c r="N22" s="173">
        <v>72.2</v>
      </c>
      <c r="O22" s="260">
        <v>23</v>
      </c>
      <c r="P22" s="260">
        <v>19.8</v>
      </c>
      <c r="Q22" s="260">
        <f>+Q78+Q113+Q128+Q140</f>
        <v>5</v>
      </c>
      <c r="R22" s="453">
        <f t="shared" ref="R22" si="28">SUM(N22:Q22)</f>
        <v>120</v>
      </c>
      <c r="S22" s="173">
        <f>+S78+S113+S128+S140</f>
        <v>0</v>
      </c>
      <c r="T22" s="173">
        <f>+T78+T113+T128+T140</f>
        <v>0</v>
      </c>
      <c r="U22" s="173">
        <f>+U78+U113+U128+U140</f>
        <v>0</v>
      </c>
      <c r="V22" s="173">
        <f>+V78+V113+V128+V140</f>
        <v>0</v>
      </c>
      <c r="W22" s="453">
        <f t="shared" ref="W22" si="29">SUM(S22:V22)</f>
        <v>0</v>
      </c>
      <c r="X22" s="173">
        <f>+X78+X113+X128+X140</f>
        <v>0</v>
      </c>
      <c r="Y22" s="173">
        <f>+Y78+Y113+Y128+Y140</f>
        <v>0</v>
      </c>
      <c r="Z22" s="173">
        <f>+Z78+Z113+Z128+Z140</f>
        <v>0</v>
      </c>
      <c r="AA22" s="173">
        <f>+AA78+AA113+AA128+AA140</f>
        <v>0</v>
      </c>
      <c r="AB22" s="174">
        <f t="shared" ref="AB22" si="30">SUM(X22:AA22)</f>
        <v>0</v>
      </c>
      <c r="AC22" s="173">
        <f>+AC78+AC113+AC128+AC140</f>
        <v>0</v>
      </c>
      <c r="AD22" s="173">
        <f>+AD78+AD113+AD128+AD140</f>
        <v>0</v>
      </c>
      <c r="AE22" s="173">
        <f>+AE78+AE113+AE128+AE140</f>
        <v>0</v>
      </c>
      <c r="AF22" s="173">
        <f>+AF78+AF113+AF128+AF140</f>
        <v>0</v>
      </c>
      <c r="AG22" s="174">
        <f t="shared" si="14"/>
        <v>0</v>
      </c>
      <c r="AH22" s="173">
        <f>+AH78+AH113+AH128+AH140</f>
        <v>0</v>
      </c>
      <c r="AI22" s="173">
        <f>+AI78+AI113+AI128+AI140</f>
        <v>0</v>
      </c>
      <c r="AJ22" s="173">
        <f>+AJ78+AJ113+AJ128+AJ140</f>
        <v>0</v>
      </c>
      <c r="AK22" s="173">
        <f>+AK78+AK113+AK128+AK140</f>
        <v>0</v>
      </c>
      <c r="AL22" s="174">
        <f t="shared" si="15"/>
        <v>0</v>
      </c>
      <c r="AM22" s="173">
        <f>+AM78+AM113+AM128+AM140</f>
        <v>0</v>
      </c>
      <c r="AN22" s="173">
        <f>+AN78+AN113+AN128+AN140</f>
        <v>0</v>
      </c>
      <c r="AO22" s="173">
        <f>+AO78+AO113+AO128+AO140</f>
        <v>0</v>
      </c>
      <c r="AP22" s="173">
        <f>+AP78+AP113+AP128+AP140</f>
        <v>0</v>
      </c>
      <c r="AQ22" s="174">
        <f t="shared" si="16"/>
        <v>0</v>
      </c>
    </row>
    <row r="23" spans="1:43" s="40" customFormat="1" ht="17.25" customHeight="1" x14ac:dyDescent="0.4">
      <c r="A23" s="324"/>
      <c r="B23" s="325" t="s">
        <v>50</v>
      </c>
      <c r="C23" s="326"/>
      <c r="D23" s="262">
        <f t="shared" ref="D23:AL23" si="31">SUM(D18:D22)+D17</f>
        <v>5684.8</v>
      </c>
      <c r="E23" s="262">
        <f t="shared" si="31"/>
        <v>5510.5</v>
      </c>
      <c r="F23" s="262">
        <f t="shared" si="31"/>
        <v>5777.6999999999989</v>
      </c>
      <c r="G23" s="262">
        <f t="shared" si="31"/>
        <v>5755.7</v>
      </c>
      <c r="H23" s="455">
        <f t="shared" si="31"/>
        <v>22728.699999999997</v>
      </c>
      <c r="I23" s="262">
        <f t="shared" si="31"/>
        <v>5951.2000000000007</v>
      </c>
      <c r="J23" s="262">
        <f t="shared" si="31"/>
        <v>5576.2000000000007</v>
      </c>
      <c r="K23" s="262">
        <f t="shared" si="31"/>
        <v>4994.3999999999996</v>
      </c>
      <c r="L23" s="175">
        <f t="shared" si="31"/>
        <v>5757</v>
      </c>
      <c r="M23" s="176">
        <f t="shared" si="31"/>
        <v>22278.799999999999</v>
      </c>
      <c r="N23" s="175">
        <f t="shared" si="31"/>
        <v>5918.6</v>
      </c>
      <c r="O23" s="262">
        <f t="shared" si="31"/>
        <v>5757.5</v>
      </c>
      <c r="P23" s="262">
        <f t="shared" si="31"/>
        <v>6113.3000000000011</v>
      </c>
      <c r="Q23" s="262">
        <f t="shared" si="31"/>
        <v>6765.5200993382387</v>
      </c>
      <c r="R23" s="455">
        <f t="shared" si="31"/>
        <v>24554.92009933824</v>
      </c>
      <c r="S23" s="175">
        <f t="shared" si="31"/>
        <v>6513.5057895156733</v>
      </c>
      <c r="T23" s="175">
        <f t="shared" si="31"/>
        <v>6386.5487775926686</v>
      </c>
      <c r="U23" s="175">
        <f t="shared" si="31"/>
        <v>6827.9809040104838</v>
      </c>
      <c r="V23" s="175">
        <f t="shared" si="31"/>
        <v>6913.2990203144273</v>
      </c>
      <c r="W23" s="455">
        <f t="shared" si="31"/>
        <v>26641.334491433256</v>
      </c>
      <c r="X23" s="175">
        <f t="shared" si="31"/>
        <v>6954.9143586293503</v>
      </c>
      <c r="Y23" s="175">
        <f t="shared" si="31"/>
        <v>6912.1440981748619</v>
      </c>
      <c r="Z23" s="175">
        <f t="shared" si="31"/>
        <v>7526.5816274752851</v>
      </c>
      <c r="AA23" s="175">
        <f t="shared" si="31"/>
        <v>7454.8445992913948</v>
      </c>
      <c r="AB23" s="176">
        <f t="shared" si="31"/>
        <v>28848.484683570889</v>
      </c>
      <c r="AC23" s="175">
        <f t="shared" si="31"/>
        <v>7480.1348225957781</v>
      </c>
      <c r="AD23" s="175">
        <f t="shared" si="31"/>
        <v>7456.7927839220811</v>
      </c>
      <c r="AE23" s="175">
        <f t="shared" si="31"/>
        <v>8118.6755859104233</v>
      </c>
      <c r="AF23" s="175">
        <f t="shared" si="31"/>
        <v>8043.476642688729</v>
      </c>
      <c r="AG23" s="176">
        <f t="shared" si="31"/>
        <v>31099.079835117016</v>
      </c>
      <c r="AH23" s="175">
        <f t="shared" si="31"/>
        <v>8058.5051773236419</v>
      </c>
      <c r="AI23" s="175">
        <f t="shared" si="31"/>
        <v>8029.4166618262134</v>
      </c>
      <c r="AJ23" s="175">
        <f t="shared" si="31"/>
        <v>8716.2020740500629</v>
      </c>
      <c r="AK23" s="175">
        <f t="shared" si="31"/>
        <v>8645.3178112200731</v>
      </c>
      <c r="AL23" s="176">
        <f t="shared" si="31"/>
        <v>33449.441724419987</v>
      </c>
      <c r="AM23" s="175">
        <f t="shared" ref="AM23:AQ23" si="32">SUM(AM18:AM22)+AM17</f>
        <v>8676.6823738568146</v>
      </c>
      <c r="AN23" s="175">
        <f t="shared" si="32"/>
        <v>8637.2796203625257</v>
      </c>
      <c r="AO23" s="175">
        <f t="shared" si="32"/>
        <v>9369.4447963639996</v>
      </c>
      <c r="AP23" s="175">
        <f t="shared" si="32"/>
        <v>9299.7922117255384</v>
      </c>
      <c r="AQ23" s="176">
        <f t="shared" si="32"/>
        <v>35983.19900230888</v>
      </c>
    </row>
    <row r="24" spans="1:43" s="43" customFormat="1" ht="17.25" customHeight="1" x14ac:dyDescent="0.4">
      <c r="A24" s="307"/>
      <c r="B24" s="575" t="s">
        <v>145</v>
      </c>
      <c r="C24" s="576"/>
      <c r="D24" s="260">
        <v>67.8</v>
      </c>
      <c r="E24" s="260">
        <v>62.3</v>
      </c>
      <c r="F24" s="260">
        <v>76</v>
      </c>
      <c r="G24" s="260">
        <f t="shared" si="0"/>
        <v>91.899999999999991</v>
      </c>
      <c r="H24" s="453">
        <v>298</v>
      </c>
      <c r="I24" s="260">
        <v>73.900000000000006</v>
      </c>
      <c r="J24" s="260">
        <v>67.900000000000006</v>
      </c>
      <c r="K24" s="260">
        <v>68.400000000000006</v>
      </c>
      <c r="L24" s="173">
        <v>112.2</v>
      </c>
      <c r="M24" s="174">
        <f t="shared" ref="M24" si="33">SUM(I24:L24)</f>
        <v>322.40000000000003</v>
      </c>
      <c r="N24" s="173">
        <v>82.7</v>
      </c>
      <c r="O24" s="260">
        <v>77.099999999999994</v>
      </c>
      <c r="P24" s="260">
        <v>105.5</v>
      </c>
      <c r="Q24" s="260">
        <f>+Q115+Q130</f>
        <v>94.375</v>
      </c>
      <c r="R24" s="453">
        <f t="shared" ref="R24" si="34">SUM(N24:Q24)</f>
        <v>359.67500000000001</v>
      </c>
      <c r="S24" s="173">
        <f>+S115+S130</f>
        <v>89.918750000000003</v>
      </c>
      <c r="T24" s="173">
        <f>+T115+T130</f>
        <v>91.723437500000017</v>
      </c>
      <c r="U24" s="173">
        <f>+U115+U130</f>
        <v>95.379296874999994</v>
      </c>
      <c r="V24" s="173">
        <f>+V115+V130</f>
        <v>92.84912109375</v>
      </c>
      <c r="W24" s="453">
        <f t="shared" ref="W24" si="35">SUM(S24:V24)</f>
        <v>369.87060546875</v>
      </c>
      <c r="X24" s="173">
        <f>+X115+X130</f>
        <v>92.4676513671875</v>
      </c>
      <c r="Y24" s="173">
        <f>+Y115+Y130</f>
        <v>93.104876708984364</v>
      </c>
      <c r="Z24" s="173">
        <f>+Z115+Z130</f>
        <v>93.450236511230472</v>
      </c>
      <c r="AA24" s="173">
        <f>+AA115+AA130</f>
        <v>92.96797142028808</v>
      </c>
      <c r="AB24" s="174">
        <f t="shared" ref="AB24" si="36">SUM(X24:AA24)</f>
        <v>371.99073600769043</v>
      </c>
      <c r="AC24" s="173">
        <f>+AC115+AC130</f>
        <v>92.997684001922607</v>
      </c>
      <c r="AD24" s="173">
        <f>+AD115+AD130</f>
        <v>93.130192160606384</v>
      </c>
      <c r="AE24" s="173">
        <f>+AE115+AE130</f>
        <v>93.136521023511875</v>
      </c>
      <c r="AF24" s="173">
        <f>+AF115+AF130</f>
        <v>93.058092151582244</v>
      </c>
      <c r="AG24" s="174">
        <f t="shared" ref="AG24" si="37">SUM(AC24:AF24)</f>
        <v>372.3224893376231</v>
      </c>
      <c r="AH24" s="173">
        <f>+AH115+AH130</f>
        <v>93.080622334405774</v>
      </c>
      <c r="AI24" s="173">
        <f>+AI115+AI130</f>
        <v>93.101356917526573</v>
      </c>
      <c r="AJ24" s="173">
        <f>+AJ115+AJ130</f>
        <v>93.09414810675662</v>
      </c>
      <c r="AK24" s="173">
        <f>+AK115+AK130</f>
        <v>93.083554877567792</v>
      </c>
      <c r="AL24" s="174">
        <f t="shared" ref="AL24" si="38">SUM(AH24:AK24)</f>
        <v>372.35968223625679</v>
      </c>
      <c r="AM24" s="173">
        <f>+AM115+AM130</f>
        <v>93.089920559064197</v>
      </c>
      <c r="AN24" s="173">
        <f>+AN115+AN130</f>
        <v>93.092245115228792</v>
      </c>
      <c r="AO24" s="173">
        <f>+AO115+AO130</f>
        <v>93.089967164654354</v>
      </c>
      <c r="AP24" s="173">
        <f>+AP115+AP130</f>
        <v>93.088921929128787</v>
      </c>
      <c r="AQ24" s="174">
        <f t="shared" ref="AQ24" si="39">SUM(AM24:AP24)</f>
        <v>372.36105476807614</v>
      </c>
    </row>
    <row r="25" spans="1:43" x14ac:dyDescent="0.25">
      <c r="A25" s="254"/>
      <c r="B25" s="327" t="s">
        <v>66</v>
      </c>
      <c r="C25" s="328"/>
      <c r="D25" s="259">
        <f t="shared" ref="D25:AQ25" si="40">D16-D23+D24</f>
        <v>1015.7000000000005</v>
      </c>
      <c r="E25" s="259">
        <f t="shared" si="40"/>
        <v>857.69999999999959</v>
      </c>
      <c r="F25" s="259">
        <f t="shared" si="40"/>
        <v>1121.3000000000011</v>
      </c>
      <c r="G25" s="259">
        <f t="shared" si="40"/>
        <v>1083.2000000000012</v>
      </c>
      <c r="H25" s="451">
        <f t="shared" si="40"/>
        <v>4077.9000000000051</v>
      </c>
      <c r="I25" s="259">
        <f t="shared" si="40"/>
        <v>1219.7999999999988</v>
      </c>
      <c r="J25" s="259">
        <f t="shared" si="40"/>
        <v>487.39999999999907</v>
      </c>
      <c r="K25" s="259">
        <f t="shared" si="40"/>
        <v>-703.8999999999993</v>
      </c>
      <c r="L25" s="171">
        <f t="shared" si="40"/>
        <v>558.30000000000041</v>
      </c>
      <c r="M25" s="172">
        <f t="shared" si="40"/>
        <v>1561.6000000000045</v>
      </c>
      <c r="N25" s="171">
        <f t="shared" si="40"/>
        <v>913.50000000000023</v>
      </c>
      <c r="O25" s="259">
        <f t="shared" si="40"/>
        <v>987.6</v>
      </c>
      <c r="P25" s="259">
        <f t="shared" si="40"/>
        <v>1488.6999999999989</v>
      </c>
      <c r="Q25" s="259">
        <f t="shared" si="40"/>
        <v>1607.8596244745058</v>
      </c>
      <c r="R25" s="451">
        <f t="shared" si="40"/>
        <v>4997.6596244745024</v>
      </c>
      <c r="S25" s="171">
        <f t="shared" si="40"/>
        <v>1439.7236458067093</v>
      </c>
      <c r="T25" s="171">
        <f t="shared" si="40"/>
        <v>1288.0465152529862</v>
      </c>
      <c r="U25" s="171">
        <f t="shared" si="40"/>
        <v>1607.5501080180607</v>
      </c>
      <c r="V25" s="171">
        <f t="shared" si="40"/>
        <v>1646.8822985626284</v>
      </c>
      <c r="W25" s="451">
        <f t="shared" si="40"/>
        <v>5982.2025676403791</v>
      </c>
      <c r="X25" s="171">
        <f t="shared" si="40"/>
        <v>1640.2356060918737</v>
      </c>
      <c r="Y25" s="171">
        <f t="shared" si="40"/>
        <v>1506.264350385419</v>
      </c>
      <c r="Z25" s="171">
        <f t="shared" si="40"/>
        <v>1668.0345493130019</v>
      </c>
      <c r="AA25" s="171">
        <f t="shared" si="40"/>
        <v>1837.4681258695305</v>
      </c>
      <c r="AB25" s="172">
        <f t="shared" si="40"/>
        <v>6652.0026316598305</v>
      </c>
      <c r="AC25" s="171">
        <f t="shared" si="40"/>
        <v>1780.0352749544263</v>
      </c>
      <c r="AD25" s="171">
        <f t="shared" si="40"/>
        <v>1645.1995378015145</v>
      </c>
      <c r="AE25" s="171">
        <f t="shared" si="40"/>
        <v>1815.3036189758707</v>
      </c>
      <c r="AF25" s="171">
        <f t="shared" si="40"/>
        <v>1996.4057230909741</v>
      </c>
      <c r="AG25" s="172">
        <f t="shared" si="40"/>
        <v>7236.9441548227824</v>
      </c>
      <c r="AH25" s="171">
        <f t="shared" si="40"/>
        <v>1970.5507760201676</v>
      </c>
      <c r="AI25" s="171">
        <f t="shared" si="40"/>
        <v>1824.9465308616254</v>
      </c>
      <c r="AJ25" s="171">
        <f t="shared" si="40"/>
        <v>1996.5102898061705</v>
      </c>
      <c r="AK25" s="171">
        <f t="shared" si="40"/>
        <v>2189.4753288245529</v>
      </c>
      <c r="AL25" s="172">
        <f t="shared" si="40"/>
        <v>7981.4829255125196</v>
      </c>
      <c r="AM25" s="171">
        <f t="shared" si="40"/>
        <v>2151.5649182312418</v>
      </c>
      <c r="AN25" s="171">
        <f t="shared" si="40"/>
        <v>1995.7135413124629</v>
      </c>
      <c r="AO25" s="171">
        <f t="shared" si="40"/>
        <v>2172.3463143644672</v>
      </c>
      <c r="AP25" s="171">
        <f t="shared" si="40"/>
        <v>2377.4039339807237</v>
      </c>
      <c r="AQ25" s="172">
        <f t="shared" si="40"/>
        <v>8697.0287078888978</v>
      </c>
    </row>
    <row r="26" spans="1:43" ht="17.25" x14ac:dyDescent="0.4">
      <c r="A26" s="254"/>
      <c r="B26" s="293" t="s">
        <v>194</v>
      </c>
      <c r="C26" s="223"/>
      <c r="D26" s="263">
        <f>+D179</f>
        <v>138</v>
      </c>
      <c r="E26" s="263">
        <f>+E179</f>
        <v>141.4</v>
      </c>
      <c r="F26" s="263">
        <f>+F179</f>
        <v>125.30000000000001</v>
      </c>
      <c r="G26" s="263">
        <f>+G179</f>
        <v>77.399999999999991</v>
      </c>
      <c r="H26" s="456">
        <f>SUM(D26:G26)</f>
        <v>482.09999999999997</v>
      </c>
      <c r="I26" s="263">
        <f>+I179</f>
        <v>71.599999999999994</v>
      </c>
      <c r="J26" s="263">
        <f>+J179</f>
        <v>66.8</v>
      </c>
      <c r="K26" s="263">
        <f>+K179</f>
        <v>173.67999999999998</v>
      </c>
      <c r="L26" s="224">
        <f>+L179</f>
        <v>259.5</v>
      </c>
      <c r="M26" s="225">
        <f>SUM(I26:L26)</f>
        <v>571.57999999999993</v>
      </c>
      <c r="N26" s="263">
        <f>+N179</f>
        <v>134.9</v>
      </c>
      <c r="O26" s="263">
        <f>+O179</f>
        <v>88.2</v>
      </c>
      <c r="P26" s="263">
        <f>+P179</f>
        <v>51.7</v>
      </c>
      <c r="Q26" s="263">
        <f>+Q179</f>
        <v>51.7</v>
      </c>
      <c r="R26" s="456">
        <f>SUM(N26:Q26)</f>
        <v>326.5</v>
      </c>
      <c r="S26" s="224">
        <f>+S179</f>
        <v>112.26</v>
      </c>
      <c r="T26" s="224">
        <f>+T179</f>
        <v>117.34250000000002</v>
      </c>
      <c r="U26" s="224">
        <f>+U179</f>
        <v>123.6603125</v>
      </c>
      <c r="V26" s="224">
        <f>+V179</f>
        <v>117.4078515625</v>
      </c>
      <c r="W26" s="456">
        <f>SUM(S26:V26)</f>
        <v>470.67066406250001</v>
      </c>
      <c r="X26" s="224">
        <f>+X179</f>
        <v>99.646333007812501</v>
      </c>
      <c r="Y26" s="224">
        <f>+Y179</f>
        <v>95.239624633789063</v>
      </c>
      <c r="Z26" s="224">
        <f>+Z179</f>
        <v>96.119577713012703</v>
      </c>
      <c r="AA26" s="224">
        <f>+AA179</f>
        <v>101.67202492713929</v>
      </c>
      <c r="AB26" s="225">
        <f>SUM(X26:AA26)</f>
        <v>392.67756028175359</v>
      </c>
      <c r="AC26" s="224">
        <f t="shared" ref="AC26:AF26" si="41">+AC179</f>
        <v>107.9185280430317</v>
      </c>
      <c r="AD26" s="224">
        <f t="shared" si="41"/>
        <v>107.37584404841067</v>
      </c>
      <c r="AE26" s="224">
        <f t="shared" si="41"/>
        <v>106.13001205446201</v>
      </c>
      <c r="AF26" s="224">
        <f t="shared" si="41"/>
        <v>103.93872449876974</v>
      </c>
      <c r="AG26" s="225">
        <f>SUM(AC26:AF26)</f>
        <v>425.36310864467407</v>
      </c>
      <c r="AH26" s="224">
        <f t="shared" ref="AH26:AK26" si="42">+AH179</f>
        <v>102.25508361580346</v>
      </c>
      <c r="AI26" s="224">
        <f t="shared" si="42"/>
        <v>102.58117744180232</v>
      </c>
      <c r="AJ26" s="224">
        <f t="shared" si="42"/>
        <v>103.49887154280398</v>
      </c>
      <c r="AK26" s="224">
        <f t="shared" si="42"/>
        <v>104.42128327152788</v>
      </c>
      <c r="AL26" s="225">
        <f>SUM(AH26:AK26)</f>
        <v>412.75641587193769</v>
      </c>
      <c r="AM26" s="224">
        <f t="shared" ref="AM26:AP26" si="43">+AM179</f>
        <v>104.76494056457645</v>
      </c>
      <c r="AN26" s="224">
        <f t="shared" si="43"/>
        <v>104.37074212976957</v>
      </c>
      <c r="AO26" s="224">
        <f t="shared" si="43"/>
        <v>103.99510438993943</v>
      </c>
      <c r="AP26" s="224">
        <f t="shared" si="43"/>
        <v>103.72824093187411</v>
      </c>
      <c r="AQ26" s="225">
        <f>SUM(AM26:AP26)</f>
        <v>416.85902801615953</v>
      </c>
    </row>
    <row r="27" spans="1:43" x14ac:dyDescent="0.25">
      <c r="A27" s="254"/>
      <c r="B27" s="294" t="s">
        <v>195</v>
      </c>
      <c r="C27" s="213"/>
      <c r="D27" s="264">
        <f t="shared" ref="D27:AQ27" si="44">+D25+D26</f>
        <v>1153.7000000000005</v>
      </c>
      <c r="E27" s="264">
        <f t="shared" si="44"/>
        <v>999.09999999999957</v>
      </c>
      <c r="F27" s="264">
        <f t="shared" si="44"/>
        <v>1246.600000000001</v>
      </c>
      <c r="G27" s="264">
        <f t="shared" si="44"/>
        <v>1160.6000000000013</v>
      </c>
      <c r="H27" s="457">
        <f t="shared" si="44"/>
        <v>4560.0000000000055</v>
      </c>
      <c r="I27" s="264">
        <f t="shared" si="44"/>
        <v>1291.3999999999987</v>
      </c>
      <c r="J27" s="264">
        <f t="shared" si="44"/>
        <v>554.19999999999902</v>
      </c>
      <c r="K27" s="264">
        <f t="shared" si="44"/>
        <v>-530.21999999999935</v>
      </c>
      <c r="L27" s="214">
        <f t="shared" si="44"/>
        <v>817.80000000000041</v>
      </c>
      <c r="M27" s="215">
        <f t="shared" si="44"/>
        <v>2133.1800000000044</v>
      </c>
      <c r="N27" s="264">
        <f t="shared" si="44"/>
        <v>1048.4000000000003</v>
      </c>
      <c r="O27" s="264">
        <f t="shared" si="44"/>
        <v>1075.8</v>
      </c>
      <c r="P27" s="264">
        <f t="shared" si="44"/>
        <v>1540.399999999999</v>
      </c>
      <c r="Q27" s="264">
        <f t="shared" si="44"/>
        <v>1659.5596244745059</v>
      </c>
      <c r="R27" s="457">
        <f t="shared" si="44"/>
        <v>5324.1596244745024</v>
      </c>
      <c r="S27" s="214">
        <f t="shared" si="44"/>
        <v>1551.9836458067093</v>
      </c>
      <c r="T27" s="214">
        <f t="shared" si="44"/>
        <v>1405.3890152529862</v>
      </c>
      <c r="U27" s="214">
        <f t="shared" si="44"/>
        <v>1731.2104205180606</v>
      </c>
      <c r="V27" s="214">
        <f t="shared" si="44"/>
        <v>1764.2901501251283</v>
      </c>
      <c r="W27" s="457">
        <f t="shared" si="44"/>
        <v>6452.8732317028789</v>
      </c>
      <c r="X27" s="214">
        <f t="shared" si="44"/>
        <v>1739.8819390996862</v>
      </c>
      <c r="Y27" s="214">
        <f t="shared" si="44"/>
        <v>1601.5039750192082</v>
      </c>
      <c r="Z27" s="214">
        <f t="shared" si="44"/>
        <v>1764.1541270260145</v>
      </c>
      <c r="AA27" s="214">
        <f t="shared" si="44"/>
        <v>1939.1401507966698</v>
      </c>
      <c r="AB27" s="215">
        <f t="shared" si="44"/>
        <v>7044.6801919415839</v>
      </c>
      <c r="AC27" s="214">
        <f t="shared" si="44"/>
        <v>1887.9538029974581</v>
      </c>
      <c r="AD27" s="214">
        <f t="shared" si="44"/>
        <v>1752.5753818499252</v>
      </c>
      <c r="AE27" s="214">
        <f t="shared" si="44"/>
        <v>1921.4336310303327</v>
      </c>
      <c r="AF27" s="214">
        <f t="shared" si="44"/>
        <v>2100.344447589744</v>
      </c>
      <c r="AG27" s="215">
        <f t="shared" si="44"/>
        <v>7662.3072634674563</v>
      </c>
      <c r="AH27" s="214">
        <f t="shared" si="44"/>
        <v>2072.805859635971</v>
      </c>
      <c r="AI27" s="214">
        <f t="shared" si="44"/>
        <v>1927.5277083034277</v>
      </c>
      <c r="AJ27" s="214">
        <f t="shared" si="44"/>
        <v>2100.0091613489744</v>
      </c>
      <c r="AK27" s="214">
        <f t="shared" si="44"/>
        <v>2293.8966120960808</v>
      </c>
      <c r="AL27" s="215">
        <f t="shared" si="44"/>
        <v>8394.2393413844566</v>
      </c>
      <c r="AM27" s="214">
        <f t="shared" si="44"/>
        <v>2256.3298587958184</v>
      </c>
      <c r="AN27" s="214">
        <f t="shared" si="44"/>
        <v>2100.0842834422324</v>
      </c>
      <c r="AO27" s="214">
        <f t="shared" si="44"/>
        <v>2276.3414187544067</v>
      </c>
      <c r="AP27" s="214">
        <f t="shared" si="44"/>
        <v>2481.1321749125977</v>
      </c>
      <c r="AQ27" s="215">
        <f t="shared" si="44"/>
        <v>9113.8877359050566</v>
      </c>
    </row>
    <row r="28" spans="1:43" x14ac:dyDescent="0.25">
      <c r="A28" s="254"/>
      <c r="B28" s="78" t="s">
        <v>185</v>
      </c>
      <c r="C28" s="36"/>
      <c r="D28" s="261">
        <v>0</v>
      </c>
      <c r="E28" s="261">
        <v>21</v>
      </c>
      <c r="F28" s="261">
        <v>601.79999999999995</v>
      </c>
      <c r="G28" s="261">
        <f t="shared" ref="G28:G30" si="45">H28-F28-E28-D28</f>
        <v>0</v>
      </c>
      <c r="H28" s="450">
        <v>622.79999999999995</v>
      </c>
      <c r="I28" s="261">
        <v>0</v>
      </c>
      <c r="J28" s="261">
        <v>0</v>
      </c>
      <c r="K28" s="261">
        <v>0</v>
      </c>
      <c r="L28" s="261">
        <v>0</v>
      </c>
      <c r="M28" s="450">
        <f>SUM(I28:L28)</f>
        <v>0</v>
      </c>
      <c r="N28" s="261">
        <v>0</v>
      </c>
      <c r="O28" s="261">
        <v>0</v>
      </c>
      <c r="P28" s="261">
        <v>0</v>
      </c>
      <c r="Q28" s="261">
        <v>0</v>
      </c>
      <c r="R28" s="450">
        <f>SUM(N28:Q28)</f>
        <v>0</v>
      </c>
      <c r="S28" s="261">
        <v>0</v>
      </c>
      <c r="T28" s="261">
        <v>0</v>
      </c>
      <c r="U28" s="261">
        <v>0</v>
      </c>
      <c r="V28" s="261">
        <v>0</v>
      </c>
      <c r="W28" s="450">
        <f>SUM(S28:V28)</f>
        <v>0</v>
      </c>
      <c r="X28" s="261">
        <v>0</v>
      </c>
      <c r="Y28" s="261">
        <v>0</v>
      </c>
      <c r="Z28" s="261">
        <v>0</v>
      </c>
      <c r="AA28" s="261">
        <v>0</v>
      </c>
      <c r="AB28" s="450">
        <f>SUM(X28:AA28)</f>
        <v>0</v>
      </c>
      <c r="AC28" s="261">
        <v>0</v>
      </c>
      <c r="AD28" s="261">
        <v>0</v>
      </c>
      <c r="AE28" s="261">
        <v>0</v>
      </c>
      <c r="AF28" s="261">
        <v>0</v>
      </c>
      <c r="AG28" s="450">
        <f>SUM(AC28:AF28)</f>
        <v>0</v>
      </c>
      <c r="AH28" s="261">
        <v>0</v>
      </c>
      <c r="AI28" s="261">
        <v>0</v>
      </c>
      <c r="AJ28" s="261">
        <v>0</v>
      </c>
      <c r="AK28" s="261">
        <v>0</v>
      </c>
      <c r="AL28" s="450">
        <f>SUM(AH28:AK28)</f>
        <v>0</v>
      </c>
      <c r="AM28" s="261">
        <v>0</v>
      </c>
      <c r="AN28" s="261">
        <v>0</v>
      </c>
      <c r="AO28" s="261">
        <v>0</v>
      </c>
      <c r="AP28" s="261">
        <v>0</v>
      </c>
      <c r="AQ28" s="450">
        <f>SUM(AM28:AP28)</f>
        <v>0</v>
      </c>
    </row>
    <row r="29" spans="1:43" x14ac:dyDescent="0.25">
      <c r="A29" s="254"/>
      <c r="B29" s="78" t="s">
        <v>146</v>
      </c>
      <c r="C29" s="36"/>
      <c r="D29" s="261">
        <v>24.8</v>
      </c>
      <c r="E29" s="261">
        <v>15.2</v>
      </c>
      <c r="F29" s="258">
        <v>40.200000000000003</v>
      </c>
      <c r="G29" s="261">
        <f t="shared" si="45"/>
        <v>16.299999999999994</v>
      </c>
      <c r="H29" s="450">
        <v>96.5</v>
      </c>
      <c r="I29" s="261">
        <v>15.9</v>
      </c>
      <c r="J29" s="261">
        <v>2</v>
      </c>
      <c r="K29" s="261">
        <v>12.7</v>
      </c>
      <c r="L29" s="169">
        <v>9.1</v>
      </c>
      <c r="M29" s="170">
        <f t="shared" ref="M29:M30" si="46">SUM(I29:L29)</f>
        <v>39.699999999999996</v>
      </c>
      <c r="N29" s="169">
        <v>15.5</v>
      </c>
      <c r="O29" s="261">
        <v>17.3</v>
      </c>
      <c r="P29" s="261">
        <v>36</v>
      </c>
      <c r="Q29" s="261">
        <f>(P187+P188+P193)*Q154</f>
        <v>13.802601187154938</v>
      </c>
      <c r="R29" s="450">
        <f t="shared" ref="R29" si="47">SUM(N29:Q29)</f>
        <v>82.602601187154931</v>
      </c>
      <c r="S29" s="169">
        <f>(Q187+Q188+Q193)*S154</f>
        <v>14.294813912053812</v>
      </c>
      <c r="T29" s="169">
        <f>(S187+S188+S193)*T154</f>
        <v>17.430131076321491</v>
      </c>
      <c r="U29" s="169">
        <f>(T187+T188+T193)*U154</f>
        <v>15.273307691657418</v>
      </c>
      <c r="V29" s="169">
        <f>(U187+U188+U193)*V154</f>
        <v>13.36159638205376</v>
      </c>
      <c r="W29" s="450">
        <f t="shared" ref="W29" si="48">SUM(S29:V29)</f>
        <v>60.359849062086482</v>
      </c>
      <c r="X29" s="169">
        <f>(V187+V188+V193)*X154</f>
        <v>11.488785219808435</v>
      </c>
      <c r="Y29" s="169">
        <f>(X187+X188+X193)*Y154</f>
        <v>14.276974219297482</v>
      </c>
      <c r="Z29" s="169">
        <f>(Y187+Y188+Y193)*Z154</f>
        <v>12.476077890096777</v>
      </c>
      <c r="AA29" s="169">
        <f>(Z187+Z188+Z193)*AA154</f>
        <v>12.855836505178736</v>
      </c>
      <c r="AB29" s="170">
        <f t="shared" ref="AB29" si="49">SUM(X29:AA29)</f>
        <v>51.097673834381432</v>
      </c>
      <c r="AC29" s="169">
        <f>(AA187+AA188+AA193)*AC154</f>
        <v>10.420666216688844</v>
      </c>
      <c r="AD29" s="169">
        <f>(AC187+AC188+AC193)*AD154</f>
        <v>14.433404992429182</v>
      </c>
      <c r="AE29" s="169">
        <f>(AD187+AD188+AD193)*AE154</f>
        <v>13.38411452804665</v>
      </c>
      <c r="AF29" s="169">
        <f>(AE187+AE188+AE193)*AF154</f>
        <v>15.041799810540178</v>
      </c>
      <c r="AG29" s="170">
        <f t="shared" ref="AG29" si="50">SUM(AC29:AF29)</f>
        <v>53.279985547704854</v>
      </c>
      <c r="AH29" s="169">
        <f>(AF187+AF188+AF193)*AH154</f>
        <v>12.768470070667727</v>
      </c>
      <c r="AI29" s="169">
        <f>(AH187+AH188+AH193)*AI154</f>
        <v>17.680535498996537</v>
      </c>
      <c r="AJ29" s="169">
        <f>(AI187+AI188+AI193)*AJ154</f>
        <v>17.241097970098703</v>
      </c>
      <c r="AK29" s="169">
        <f>(AJ187+AJ188+AJ193)*AK154</f>
        <v>19.651788005547008</v>
      </c>
      <c r="AL29" s="170">
        <f t="shared" ref="AL29" si="51">SUM(AH29:AK29)</f>
        <v>67.341891545309977</v>
      </c>
      <c r="AM29" s="169">
        <f>(AK187+AK188+AK193)*AM154</f>
        <v>17.692180703809477</v>
      </c>
      <c r="AN29" s="169">
        <f>(AM187+AM188+AM193)*AN154</f>
        <v>23.09488192110646</v>
      </c>
      <c r="AO29" s="169">
        <f>(AN187+AN188+AN193)*AO154</f>
        <v>22.793719550782395</v>
      </c>
      <c r="AP29" s="169">
        <f>(AO187+AO188+AO193)*AP154</f>
        <v>25.558343808811003</v>
      </c>
      <c r="AQ29" s="170">
        <f t="shared" ref="AQ29" si="52">SUM(AM29:AP29)</f>
        <v>89.139125984509334</v>
      </c>
    </row>
    <row r="30" spans="1:43" ht="17.25" x14ac:dyDescent="0.4">
      <c r="A30" s="254"/>
      <c r="B30" s="78" t="s">
        <v>147</v>
      </c>
      <c r="C30" s="74"/>
      <c r="D30" s="260">
        <v>-75</v>
      </c>
      <c r="E30" s="260">
        <v>-73.900000000000006</v>
      </c>
      <c r="F30" s="260">
        <v>-86.4</v>
      </c>
      <c r="G30" s="260">
        <f t="shared" si="45"/>
        <v>-95.699999999999989</v>
      </c>
      <c r="H30" s="453">
        <v>-331</v>
      </c>
      <c r="I30" s="260">
        <v>-91.9</v>
      </c>
      <c r="J30" s="260">
        <v>-99.2</v>
      </c>
      <c r="K30" s="260">
        <v>-120.8</v>
      </c>
      <c r="L30" s="173">
        <v>-125</v>
      </c>
      <c r="M30" s="453">
        <f t="shared" si="46"/>
        <v>-436.90000000000003</v>
      </c>
      <c r="N30" s="173">
        <v>-120.7</v>
      </c>
      <c r="O30" s="260">
        <v>-115</v>
      </c>
      <c r="P30" s="260">
        <v>-113.4</v>
      </c>
      <c r="Q30" s="260">
        <f>-(P209+P212)*Q155</f>
        <v>-110.69933508563528</v>
      </c>
      <c r="R30" s="453">
        <f t="shared" ref="R30" si="53">SUM(N30:Q30)</f>
        <v>-459.79933508563533</v>
      </c>
      <c r="S30" s="173">
        <f>-(Q209+Q212)*S155</f>
        <v>-108.94299690161012</v>
      </c>
      <c r="T30" s="173">
        <f>-(S209+S212)*T155</f>
        <v>-105.49977914189195</v>
      </c>
      <c r="U30" s="173">
        <f>-(T209+T212)*U155</f>
        <v>-101.97130988636621</v>
      </c>
      <c r="V30" s="173">
        <f>-(U209+U212)*V155</f>
        <v>-97.774177650857524</v>
      </c>
      <c r="W30" s="453">
        <f t="shared" ref="W30" si="54">SUM(S30:V30)</f>
        <v>-414.18826358072579</v>
      </c>
      <c r="X30" s="173">
        <f>-(V209+V212)*X155</f>
        <v>-95.953126492885843</v>
      </c>
      <c r="Y30" s="173">
        <f>-(X209+X212)*Y155</f>
        <v>-94.11871685469815</v>
      </c>
      <c r="Z30" s="173">
        <f>-(Y209+Y212)*Z155</f>
        <v>-92.22190520477136</v>
      </c>
      <c r="AA30" s="173">
        <f>-(Z209+Z212)*AA155</f>
        <v>-90.265121060461155</v>
      </c>
      <c r="AB30" s="174">
        <f t="shared" ref="AB30" si="55">SUM(X30:AA30)</f>
        <v>-372.55886961281647</v>
      </c>
      <c r="AC30" s="173">
        <f>-(AA209+AA212)*AC155</f>
        <v>-88.385525862321401</v>
      </c>
      <c r="AD30" s="173">
        <f>-(AC209+AC212)*AD155</f>
        <v>-85.660750565389378</v>
      </c>
      <c r="AE30" s="173">
        <f>-(AD209+AD212)*AE155</f>
        <v>-82.722044781372986</v>
      </c>
      <c r="AF30" s="173">
        <f>-(AE209+AE212)*AF155</f>
        <v>-79.781465533319192</v>
      </c>
      <c r="AG30" s="174">
        <f t="shared" ref="AG30" si="56">SUM(AC30:AF30)</f>
        <v>-336.54978674240294</v>
      </c>
      <c r="AH30" s="173">
        <f>-(AF209+AF212)*AH155</f>
        <v>-76.851444427264695</v>
      </c>
      <c r="AI30" s="173">
        <f>-(AH209+AH212)*AI155</f>
        <v>-74.474825755139364</v>
      </c>
      <c r="AJ30" s="173">
        <f>-(AI209+AI212)*AJ155</f>
        <v>-72.09647244810111</v>
      </c>
      <c r="AK30" s="173">
        <f>-(AJ209+AJ212)*AK155</f>
        <v>-69.718777738457888</v>
      </c>
      <c r="AL30" s="174">
        <f t="shared" ref="AL30" si="57">SUM(AH30:AK30)</f>
        <v>-293.14152036896309</v>
      </c>
      <c r="AM30" s="173">
        <f>-(AK209+AK212)*AM155</f>
        <v>-67.342279025178229</v>
      </c>
      <c r="AN30" s="173">
        <f>-(AM209+AM212)*AN155</f>
        <v>-64.964996576024276</v>
      </c>
      <c r="AO30" s="173">
        <f>-(AN209+AN212)*AO155</f>
        <v>-62.587575235856946</v>
      </c>
      <c r="AP30" s="173">
        <f>-(AO209+AO212)*AP155</f>
        <v>-60.210350846476004</v>
      </c>
      <c r="AQ30" s="174">
        <f t="shared" ref="AQ30" si="58">SUM(AM30:AP30)</f>
        <v>-255.10520168353543</v>
      </c>
    </row>
    <row r="31" spans="1:43" x14ac:dyDescent="0.25">
      <c r="A31" s="254"/>
      <c r="B31" s="591" t="s">
        <v>67</v>
      </c>
      <c r="C31" s="592"/>
      <c r="D31" s="259">
        <f t="shared" ref="D31:AQ31" si="59">D25+D29+D30+D28</f>
        <v>965.50000000000045</v>
      </c>
      <c r="E31" s="259">
        <f t="shared" si="59"/>
        <v>819.99999999999966</v>
      </c>
      <c r="F31" s="259">
        <f t="shared" si="59"/>
        <v>1676.900000000001</v>
      </c>
      <c r="G31" s="259">
        <f t="shared" si="59"/>
        <v>1003.8000000000011</v>
      </c>
      <c r="H31" s="451">
        <f t="shared" si="59"/>
        <v>4466.2000000000053</v>
      </c>
      <c r="I31" s="259">
        <f t="shared" si="59"/>
        <v>1143.7999999999988</v>
      </c>
      <c r="J31" s="259">
        <f t="shared" si="59"/>
        <v>390.19999999999908</v>
      </c>
      <c r="K31" s="259">
        <f t="shared" si="59"/>
        <v>-811.9999999999992</v>
      </c>
      <c r="L31" s="171">
        <f t="shared" si="59"/>
        <v>442.40000000000043</v>
      </c>
      <c r="M31" s="172">
        <f t="shared" si="59"/>
        <v>1164.4000000000044</v>
      </c>
      <c r="N31" s="171">
        <f t="shared" si="59"/>
        <v>808.30000000000018</v>
      </c>
      <c r="O31" s="259">
        <f t="shared" si="59"/>
        <v>889.9</v>
      </c>
      <c r="P31" s="259">
        <f t="shared" si="59"/>
        <v>1411.2999999999988</v>
      </c>
      <c r="Q31" s="259">
        <f t="shared" si="59"/>
        <v>1510.9628905760255</v>
      </c>
      <c r="R31" s="451">
        <f t="shared" si="59"/>
        <v>4620.4628905760219</v>
      </c>
      <c r="S31" s="171">
        <f t="shared" si="59"/>
        <v>1345.075462817153</v>
      </c>
      <c r="T31" s="171">
        <f t="shared" si="59"/>
        <v>1199.9768671874158</v>
      </c>
      <c r="U31" s="171">
        <f t="shared" si="59"/>
        <v>1520.8521058233518</v>
      </c>
      <c r="V31" s="171">
        <f t="shared" si="59"/>
        <v>1562.4697172938245</v>
      </c>
      <c r="W31" s="451">
        <f t="shared" si="59"/>
        <v>5628.3741531217393</v>
      </c>
      <c r="X31" s="171">
        <f t="shared" si="59"/>
        <v>1555.7712648187965</v>
      </c>
      <c r="Y31" s="171">
        <f t="shared" si="59"/>
        <v>1426.4226077500184</v>
      </c>
      <c r="Z31" s="171">
        <f t="shared" si="59"/>
        <v>1588.2887219983272</v>
      </c>
      <c r="AA31" s="171">
        <f t="shared" si="59"/>
        <v>1760.0588413142482</v>
      </c>
      <c r="AB31" s="172">
        <f t="shared" si="59"/>
        <v>6330.541435881396</v>
      </c>
      <c r="AC31" s="171">
        <f t="shared" si="59"/>
        <v>1702.0704153087938</v>
      </c>
      <c r="AD31" s="171">
        <f t="shared" si="59"/>
        <v>1573.9721922285541</v>
      </c>
      <c r="AE31" s="171">
        <f t="shared" si="59"/>
        <v>1745.9656887225444</v>
      </c>
      <c r="AF31" s="171">
        <f t="shared" si="59"/>
        <v>1931.6660573681952</v>
      </c>
      <c r="AG31" s="172">
        <f t="shared" si="59"/>
        <v>6953.6743536280846</v>
      </c>
      <c r="AH31" s="171">
        <f t="shared" si="59"/>
        <v>1906.4678016635708</v>
      </c>
      <c r="AI31" s="171">
        <f t="shared" si="59"/>
        <v>1768.1522406054826</v>
      </c>
      <c r="AJ31" s="171">
        <f t="shared" si="59"/>
        <v>1941.654915328168</v>
      </c>
      <c r="AK31" s="171">
        <f t="shared" si="59"/>
        <v>2139.4083390916421</v>
      </c>
      <c r="AL31" s="172">
        <f t="shared" si="59"/>
        <v>7755.6832966888669</v>
      </c>
      <c r="AM31" s="171">
        <f t="shared" si="59"/>
        <v>2101.9148199098727</v>
      </c>
      <c r="AN31" s="171">
        <f t="shared" si="59"/>
        <v>1953.843426657545</v>
      </c>
      <c r="AO31" s="171">
        <f t="shared" si="59"/>
        <v>2132.5524586793927</v>
      </c>
      <c r="AP31" s="171">
        <f t="shared" si="59"/>
        <v>2342.7519269430586</v>
      </c>
      <c r="AQ31" s="172">
        <f t="shared" si="59"/>
        <v>8531.0626321898726</v>
      </c>
    </row>
    <row r="32" spans="1:43" ht="17.25" x14ac:dyDescent="0.4">
      <c r="A32" s="254"/>
      <c r="B32" s="593" t="s">
        <v>34</v>
      </c>
      <c r="C32" s="594"/>
      <c r="D32" s="260">
        <v>205.1</v>
      </c>
      <c r="E32" s="260">
        <v>161.19999999999999</v>
      </c>
      <c r="F32" s="260">
        <v>303.7</v>
      </c>
      <c r="G32" s="260">
        <f t="shared" ref="G32" si="60">H32-F32-E32-D32</f>
        <v>201.60000000000011</v>
      </c>
      <c r="H32" s="453">
        <v>871.6</v>
      </c>
      <c r="I32" s="260">
        <v>258.5</v>
      </c>
      <c r="J32" s="260">
        <v>65.400000000000006</v>
      </c>
      <c r="K32" s="260">
        <v>-133.9</v>
      </c>
      <c r="L32" s="173">
        <v>49.7</v>
      </c>
      <c r="M32" s="174">
        <f>SUM(I32:L32)</f>
        <v>239.7</v>
      </c>
      <c r="N32" s="173">
        <v>186.1</v>
      </c>
      <c r="O32" s="260">
        <v>230.5</v>
      </c>
      <c r="P32" s="260">
        <v>257.10000000000002</v>
      </c>
      <c r="Q32" s="260">
        <f>+Q31*Q153</f>
        <v>313.52479979452528</v>
      </c>
      <c r="R32" s="453">
        <f>SUM(N32:Q32)</f>
        <v>987.22479979452532</v>
      </c>
      <c r="S32" s="173">
        <f>+S31*S153</f>
        <v>293.33551681970562</v>
      </c>
      <c r="T32" s="173">
        <f>+T31*T153</f>
        <v>258.04576398311451</v>
      </c>
      <c r="U32" s="173">
        <f>+U31*U153</f>
        <v>310.32741727444159</v>
      </c>
      <c r="V32" s="173">
        <f>+V31*V153</f>
        <v>327.36453963410594</v>
      </c>
      <c r="W32" s="453">
        <f>SUM(S32:V32)</f>
        <v>1189.0732377113677</v>
      </c>
      <c r="X32" s="173">
        <f>+X31*X153</f>
        <v>329.31365050616773</v>
      </c>
      <c r="Y32" s="173">
        <f>+Y31*Y153</f>
        <v>299.6487090962267</v>
      </c>
      <c r="Z32" s="173">
        <f>+Z31*Z153</f>
        <v>331.67761266438748</v>
      </c>
      <c r="AA32" s="173">
        <f>+AA31*AA153</f>
        <v>369.65052874060115</v>
      </c>
      <c r="AB32" s="174">
        <f>SUM(X32:AA32)</f>
        <v>1330.290501007383</v>
      </c>
      <c r="AC32" s="173">
        <f>+AC31*AC153</f>
        <v>357.68629949310304</v>
      </c>
      <c r="AD32" s="173">
        <f>+AD31*AD153</f>
        <v>330.16685913921759</v>
      </c>
      <c r="AE32" s="173">
        <f>+AE31*AE153</f>
        <v>366.1129090815686</v>
      </c>
      <c r="AF32" s="173">
        <f>+AF31*AF153</f>
        <v>405.46968531487335</v>
      </c>
      <c r="AG32" s="174">
        <f>SUM(AC32:AF32)</f>
        <v>1459.4357530287625</v>
      </c>
      <c r="AH32" s="173">
        <f>+AH31*AH153</f>
        <v>400.12560622181809</v>
      </c>
      <c r="AI32" s="173">
        <f>+AI31*AI153</f>
        <v>370.97695812394289</v>
      </c>
      <c r="AJ32" s="173">
        <f>+AJ31*AJ153</f>
        <v>407.40095056522335</v>
      </c>
      <c r="AK32" s="173">
        <f>+AK31*AK153</f>
        <v>448.96378724790253</v>
      </c>
      <c r="AL32" s="174">
        <f>SUM(AH32:AK32)</f>
        <v>1627.4673021588869</v>
      </c>
      <c r="AM32" s="173">
        <f>+AM31*AM153</f>
        <v>441.06800816523548</v>
      </c>
      <c r="AN32" s="173">
        <f>+AN31*AN153</f>
        <v>409.97851317908862</v>
      </c>
      <c r="AO32" s="173">
        <f>+AO31*AO153</f>
        <v>447.48870201903554</v>
      </c>
      <c r="AP32" s="173">
        <f>+AP31*AP153</f>
        <v>491.60551375663528</v>
      </c>
      <c r="AQ32" s="174">
        <f>SUM(AM32:AP32)</f>
        <v>1790.1407371199948</v>
      </c>
    </row>
    <row r="33" spans="1:43" x14ac:dyDescent="0.25">
      <c r="A33" s="307"/>
      <c r="B33" s="591" t="s">
        <v>148</v>
      </c>
      <c r="C33" s="592"/>
      <c r="D33" s="259">
        <f t="shared" ref="D33:AQ33" si="61">+D31-D32</f>
        <v>760.40000000000043</v>
      </c>
      <c r="E33" s="259">
        <f t="shared" si="61"/>
        <v>658.79999999999973</v>
      </c>
      <c r="F33" s="259">
        <f t="shared" si="61"/>
        <v>1373.200000000001</v>
      </c>
      <c r="G33" s="259">
        <f t="shared" si="61"/>
        <v>802.20000000000095</v>
      </c>
      <c r="H33" s="451">
        <f t="shared" si="61"/>
        <v>3594.6000000000054</v>
      </c>
      <c r="I33" s="259">
        <f t="shared" si="61"/>
        <v>885.29999999999882</v>
      </c>
      <c r="J33" s="259">
        <f t="shared" si="61"/>
        <v>324.79999999999905</v>
      </c>
      <c r="K33" s="259">
        <f t="shared" si="61"/>
        <v>-678.09999999999923</v>
      </c>
      <c r="L33" s="171">
        <f t="shared" si="61"/>
        <v>392.70000000000044</v>
      </c>
      <c r="M33" s="172">
        <f t="shared" si="61"/>
        <v>924.70000000000437</v>
      </c>
      <c r="N33" s="171">
        <f t="shared" si="61"/>
        <v>622.20000000000016</v>
      </c>
      <c r="O33" s="259">
        <f t="shared" si="61"/>
        <v>659.4</v>
      </c>
      <c r="P33" s="259">
        <f t="shared" si="61"/>
        <v>1154.1999999999989</v>
      </c>
      <c r="Q33" s="259">
        <f t="shared" si="61"/>
        <v>1197.4380907815003</v>
      </c>
      <c r="R33" s="451">
        <f t="shared" si="61"/>
        <v>3633.2380907814968</v>
      </c>
      <c r="S33" s="171">
        <f t="shared" si="61"/>
        <v>1051.7399459974474</v>
      </c>
      <c r="T33" s="171">
        <f t="shared" si="61"/>
        <v>941.93110320430128</v>
      </c>
      <c r="U33" s="171">
        <f t="shared" si="61"/>
        <v>1210.5246885489103</v>
      </c>
      <c r="V33" s="171">
        <f t="shared" si="61"/>
        <v>1235.1051776597185</v>
      </c>
      <c r="W33" s="451">
        <f t="shared" si="61"/>
        <v>4439.3009154103711</v>
      </c>
      <c r="X33" s="171">
        <f t="shared" si="61"/>
        <v>1226.4576143126287</v>
      </c>
      <c r="Y33" s="171">
        <f t="shared" si="61"/>
        <v>1126.7738986537918</v>
      </c>
      <c r="Z33" s="171">
        <f t="shared" si="61"/>
        <v>1256.6111093339398</v>
      </c>
      <c r="AA33" s="171">
        <f t="shared" si="61"/>
        <v>1390.408312573647</v>
      </c>
      <c r="AB33" s="172">
        <f t="shared" si="61"/>
        <v>5000.2509348740132</v>
      </c>
      <c r="AC33" s="171">
        <f t="shared" si="61"/>
        <v>1344.3841158156908</v>
      </c>
      <c r="AD33" s="171">
        <f t="shared" si="61"/>
        <v>1243.8053330893365</v>
      </c>
      <c r="AE33" s="171">
        <f t="shared" si="61"/>
        <v>1379.8527796409758</v>
      </c>
      <c r="AF33" s="259">
        <f t="shared" si="61"/>
        <v>1526.1963720533217</v>
      </c>
      <c r="AG33" s="451">
        <f t="shared" si="61"/>
        <v>5494.2386005993221</v>
      </c>
      <c r="AH33" s="259">
        <f t="shared" si="61"/>
        <v>1506.3421954417527</v>
      </c>
      <c r="AI33" s="259">
        <f t="shared" si="61"/>
        <v>1397.1752824815396</v>
      </c>
      <c r="AJ33" s="259">
        <f t="shared" si="61"/>
        <v>1534.2539647629446</v>
      </c>
      <c r="AK33" s="259">
        <f t="shared" si="61"/>
        <v>1690.4445518437396</v>
      </c>
      <c r="AL33" s="172">
        <f t="shared" si="61"/>
        <v>6128.21599452998</v>
      </c>
      <c r="AM33" s="259">
        <f t="shared" si="61"/>
        <v>1660.8468117446373</v>
      </c>
      <c r="AN33" s="259">
        <f t="shared" si="61"/>
        <v>1543.8649134784564</v>
      </c>
      <c r="AO33" s="259">
        <f t="shared" si="61"/>
        <v>1685.0637566603571</v>
      </c>
      <c r="AP33" s="259">
        <f t="shared" si="61"/>
        <v>1851.1464131864234</v>
      </c>
      <c r="AQ33" s="172">
        <f t="shared" si="61"/>
        <v>6740.9218950698778</v>
      </c>
    </row>
    <row r="34" spans="1:43" ht="17.25" x14ac:dyDescent="0.4">
      <c r="A34" s="307"/>
      <c r="B34" s="554" t="s">
        <v>149</v>
      </c>
      <c r="C34" s="540"/>
      <c r="D34" s="260">
        <v>-0.2</v>
      </c>
      <c r="E34" s="260">
        <v>-4.4000000000000004</v>
      </c>
      <c r="F34" s="260">
        <v>0.4</v>
      </c>
      <c r="G34" s="260">
        <f t="shared" ref="G34" si="62">H34-F34-E34-D34</f>
        <v>-0.39999999999999963</v>
      </c>
      <c r="H34" s="453">
        <v>-4.5999999999999996</v>
      </c>
      <c r="I34" s="260">
        <v>-0.4</v>
      </c>
      <c r="J34" s="260">
        <v>-3.6</v>
      </c>
      <c r="K34" s="260">
        <v>0.3</v>
      </c>
      <c r="L34" s="260">
        <v>0.1</v>
      </c>
      <c r="M34" s="453">
        <f>SUM(I34:L34)</f>
        <v>-3.6</v>
      </c>
      <c r="N34" s="260">
        <v>0</v>
      </c>
      <c r="O34" s="260">
        <v>0</v>
      </c>
      <c r="P34" s="260">
        <v>0.8</v>
      </c>
      <c r="Q34" s="260">
        <f>AVERAGE(P34,O34,N34,L34)</f>
        <v>0.22500000000000001</v>
      </c>
      <c r="R34" s="453">
        <f>SUM(N34:Q34)</f>
        <v>1.0250000000000001</v>
      </c>
      <c r="S34" s="260">
        <f>AVERAGE(Q34,P34,O34,N34)</f>
        <v>0.25625000000000003</v>
      </c>
      <c r="T34" s="260">
        <f>AVERAGE(S34,Q34,P34,O34)</f>
        <v>0.3203125</v>
      </c>
      <c r="U34" s="260">
        <f>AVERAGE(T34,S34,Q34,P34)</f>
        <v>0.400390625</v>
      </c>
      <c r="V34" s="260">
        <f>AVERAGE(U34,T34,S34,Q34)</f>
        <v>0.30048828125000004</v>
      </c>
      <c r="W34" s="453">
        <f>SUM(S34:V34)</f>
        <v>1.2774414062500001</v>
      </c>
      <c r="X34" s="260">
        <f>AVERAGE(V34,U34,T34,S34)</f>
        <v>0.31936035156250003</v>
      </c>
      <c r="Y34" s="260">
        <f>AVERAGE(X34,V34,U34,T34)</f>
        <v>0.33513793945312503</v>
      </c>
      <c r="Z34" s="260">
        <f>AVERAGE(Y34,X34,V34,U34)</f>
        <v>0.33884429931640625</v>
      </c>
      <c r="AA34" s="260">
        <f>AVERAGE(Z34,Y34,X34,V34)</f>
        <v>0.32345771789550787</v>
      </c>
      <c r="AB34" s="453">
        <f>SUM(X34:AA34)</f>
        <v>1.3168003082275392</v>
      </c>
      <c r="AC34" s="260">
        <f>AVERAGE(AA34,Z34,Y34,X34)</f>
        <v>0.32920007705688481</v>
      </c>
      <c r="AD34" s="260">
        <f>AVERAGE(AC34,AA34,Z34,Y34)</f>
        <v>0.33166000843048099</v>
      </c>
      <c r="AE34" s="260">
        <f>AVERAGE(AD34,AC34,AA34,Z34)</f>
        <v>0.33079052567481998</v>
      </c>
      <c r="AF34" s="260">
        <f>AVERAGE(AE34,AD34,AC34,AA34)</f>
        <v>0.32877708226442343</v>
      </c>
      <c r="AG34" s="453">
        <f>SUM(AC34:AF34)</f>
        <v>1.3204276934266093</v>
      </c>
      <c r="AH34" s="260">
        <f>AVERAGE(AF34,AE34,AD34,AC34)</f>
        <v>0.33010692335665232</v>
      </c>
      <c r="AI34" s="260">
        <f>AVERAGE(AH34,AF34,AE34,AD34)</f>
        <v>0.33033363493159418</v>
      </c>
      <c r="AJ34" s="260">
        <f>AVERAGE(AI34,AH34,AF34,AE34)</f>
        <v>0.33000204155687246</v>
      </c>
      <c r="AK34" s="260">
        <f>AVERAGE(AJ34,AI34,AH34,AF34)</f>
        <v>0.32980492052738558</v>
      </c>
      <c r="AL34" s="174">
        <f>SUM(AH34:AK34)</f>
        <v>1.3202475203725046</v>
      </c>
      <c r="AM34" s="260">
        <f>AVERAGE(AK34,AJ34,AI34,AH34)</f>
        <v>0.33006188009312615</v>
      </c>
      <c r="AN34" s="260">
        <f>AVERAGE(AM34,AK34,AJ34,AI34)</f>
        <v>0.33005061927724461</v>
      </c>
      <c r="AO34" s="260">
        <f>AVERAGE(AN34,AM34,AK34,AJ34)</f>
        <v>0.3299798653636572</v>
      </c>
      <c r="AP34" s="260">
        <f>AVERAGE(AO34,AN34,AM34,AK34)</f>
        <v>0.32997432131535337</v>
      </c>
      <c r="AQ34" s="174">
        <f>SUM(AM34:AP34)</f>
        <v>1.3200666860493813</v>
      </c>
    </row>
    <row r="35" spans="1:43" s="20" customFormat="1" x14ac:dyDescent="0.25">
      <c r="A35" s="324"/>
      <c r="B35" s="553" t="s">
        <v>107</v>
      </c>
      <c r="C35" s="542"/>
      <c r="D35" s="259">
        <f t="shared" ref="D35:AQ35" si="63">+D33-D34</f>
        <v>760.60000000000048</v>
      </c>
      <c r="E35" s="259">
        <f t="shared" si="63"/>
        <v>663.1999999999997</v>
      </c>
      <c r="F35" s="259">
        <f t="shared" si="63"/>
        <v>1372.8000000000009</v>
      </c>
      <c r="G35" s="259">
        <f t="shared" si="63"/>
        <v>802.60000000000093</v>
      </c>
      <c r="H35" s="451">
        <f t="shared" si="63"/>
        <v>3599.2000000000053</v>
      </c>
      <c r="I35" s="259">
        <f t="shared" si="63"/>
        <v>885.69999999999879</v>
      </c>
      <c r="J35" s="259">
        <f t="shared" si="63"/>
        <v>328.39999999999907</v>
      </c>
      <c r="K35" s="259">
        <f t="shared" si="63"/>
        <v>-678.39999999999918</v>
      </c>
      <c r="L35" s="171">
        <f t="shared" si="63"/>
        <v>392.60000000000042</v>
      </c>
      <c r="M35" s="172">
        <f t="shared" si="63"/>
        <v>928.30000000000439</v>
      </c>
      <c r="N35" s="171">
        <f t="shared" si="63"/>
        <v>622.20000000000016</v>
      </c>
      <c r="O35" s="259">
        <f t="shared" si="63"/>
        <v>659.4</v>
      </c>
      <c r="P35" s="259">
        <f t="shared" si="63"/>
        <v>1153.399999999999</v>
      </c>
      <c r="Q35" s="259">
        <f t="shared" si="63"/>
        <v>1197.2130907815003</v>
      </c>
      <c r="R35" s="451">
        <f t="shared" si="63"/>
        <v>3632.2130907814967</v>
      </c>
      <c r="S35" s="171">
        <f t="shared" si="63"/>
        <v>1051.4836959974475</v>
      </c>
      <c r="T35" s="171">
        <f t="shared" si="63"/>
        <v>941.61079070430128</v>
      </c>
      <c r="U35" s="171">
        <f t="shared" si="63"/>
        <v>1210.1242979239103</v>
      </c>
      <c r="V35" s="171">
        <f t="shared" si="63"/>
        <v>1234.8046893784685</v>
      </c>
      <c r="W35" s="451">
        <f t="shared" si="63"/>
        <v>4438.0234740041215</v>
      </c>
      <c r="X35" s="171">
        <f t="shared" si="63"/>
        <v>1226.1382539610663</v>
      </c>
      <c r="Y35" s="171">
        <f t="shared" si="63"/>
        <v>1126.4387607143387</v>
      </c>
      <c r="Z35" s="171">
        <f t="shared" si="63"/>
        <v>1256.2722650346234</v>
      </c>
      <c r="AA35" s="171">
        <f t="shared" si="63"/>
        <v>1390.0848548557515</v>
      </c>
      <c r="AB35" s="172">
        <f t="shared" si="63"/>
        <v>4998.9341345657858</v>
      </c>
      <c r="AC35" s="171">
        <f t="shared" si="63"/>
        <v>1344.054915738634</v>
      </c>
      <c r="AD35" s="171">
        <f t="shared" si="63"/>
        <v>1243.4736730809061</v>
      </c>
      <c r="AE35" s="171">
        <f t="shared" si="63"/>
        <v>1379.521989115301</v>
      </c>
      <c r="AF35" s="171">
        <f t="shared" si="63"/>
        <v>1525.8675949710573</v>
      </c>
      <c r="AG35" s="172">
        <f t="shared" si="63"/>
        <v>5492.9181729058955</v>
      </c>
      <c r="AH35" s="171">
        <f t="shared" si="63"/>
        <v>1506.012088518396</v>
      </c>
      <c r="AI35" s="171">
        <f t="shared" si="63"/>
        <v>1396.8449488466081</v>
      </c>
      <c r="AJ35" s="171">
        <f t="shared" si="63"/>
        <v>1533.9239627213879</v>
      </c>
      <c r="AK35" s="171">
        <f t="shared" si="63"/>
        <v>1690.1147469232124</v>
      </c>
      <c r="AL35" s="172">
        <f t="shared" si="63"/>
        <v>6126.8957470096075</v>
      </c>
      <c r="AM35" s="171">
        <f t="shared" si="63"/>
        <v>1660.5167498645442</v>
      </c>
      <c r="AN35" s="171">
        <f t="shared" si="63"/>
        <v>1543.5348628591792</v>
      </c>
      <c r="AO35" s="171">
        <f t="shared" si="63"/>
        <v>1684.7337767949934</v>
      </c>
      <c r="AP35" s="171">
        <f t="shared" si="63"/>
        <v>1850.816438865108</v>
      </c>
      <c r="AQ35" s="172">
        <f t="shared" si="63"/>
        <v>6739.6018283838284</v>
      </c>
    </row>
    <row r="36" spans="1:43" s="20" customFormat="1" ht="17.25" x14ac:dyDescent="0.4">
      <c r="A36" s="324"/>
      <c r="B36" s="222" t="s">
        <v>196</v>
      </c>
      <c r="C36" s="219"/>
      <c r="D36" s="265">
        <f t="shared" ref="D36:AA36" si="64">-D180-D181</f>
        <v>41.449999999998646</v>
      </c>
      <c r="E36" s="265">
        <f t="shared" si="64"/>
        <v>-54.179999999999545</v>
      </c>
      <c r="F36" s="265">
        <f t="shared" si="64"/>
        <v>-544.16000000000076</v>
      </c>
      <c r="G36" s="265">
        <f t="shared" si="64"/>
        <v>-30</v>
      </c>
      <c r="H36" s="458">
        <f>SUM(D36:G36)</f>
        <v>-586.89000000000169</v>
      </c>
      <c r="I36" s="265">
        <f t="shared" si="64"/>
        <v>-11</v>
      </c>
      <c r="J36" s="265">
        <f t="shared" si="64"/>
        <v>-23</v>
      </c>
      <c r="K36" s="265">
        <f t="shared" si="64"/>
        <v>-35.055</v>
      </c>
      <c r="L36" s="226">
        <f>-L180-L181</f>
        <v>-50.810000000000372</v>
      </c>
      <c r="M36" s="227">
        <f>SUM(I36:L36)</f>
        <v>-119.86500000000038</v>
      </c>
      <c r="N36" s="265">
        <f t="shared" si="64"/>
        <v>-35.49</v>
      </c>
      <c r="O36" s="265">
        <f t="shared" si="64"/>
        <v>-11.847999999999999</v>
      </c>
      <c r="P36" s="265">
        <f t="shared" si="64"/>
        <v>-11.862</v>
      </c>
      <c r="Q36" s="265">
        <f t="shared" si="64"/>
        <v>-12.925000000000001</v>
      </c>
      <c r="R36" s="458">
        <f>SUM(N36:Q36)</f>
        <v>-72.125</v>
      </c>
      <c r="S36" s="226">
        <f t="shared" si="64"/>
        <v>-28.065000000000001</v>
      </c>
      <c r="T36" s="226">
        <f t="shared" si="64"/>
        <v>-29.335625000000004</v>
      </c>
      <c r="U36" s="226">
        <f t="shared" si="64"/>
        <v>-30.915078125000001</v>
      </c>
      <c r="V36" s="226">
        <f t="shared" si="64"/>
        <v>-29.351962890625</v>
      </c>
      <c r="W36" s="458">
        <f>SUM(S36:V36)</f>
        <v>-117.667666015625</v>
      </c>
      <c r="X36" s="226">
        <f t="shared" si="64"/>
        <v>-24.911583251953125</v>
      </c>
      <c r="Y36" s="226">
        <f t="shared" si="64"/>
        <v>-23.809906158447266</v>
      </c>
      <c r="Z36" s="226">
        <f t="shared" si="64"/>
        <v>-24.029894428253176</v>
      </c>
      <c r="AA36" s="226">
        <f t="shared" si="64"/>
        <v>-25.418006231784823</v>
      </c>
      <c r="AB36" s="227">
        <f>SUM(X36:AA36)</f>
        <v>-98.169390070438396</v>
      </c>
      <c r="AC36" s="226">
        <f t="shared" ref="AC36:AF36" si="65">-AC180-AC181</f>
        <v>-26.979632010757925</v>
      </c>
      <c r="AD36" s="226">
        <f t="shared" si="65"/>
        <v>-26.843961012102667</v>
      </c>
      <c r="AE36" s="226">
        <f t="shared" si="65"/>
        <v>-26.532503013615504</v>
      </c>
      <c r="AF36" s="226">
        <f t="shared" si="65"/>
        <v>-25.984681124692436</v>
      </c>
      <c r="AG36" s="227">
        <f>SUM(AC36:AF36)</f>
        <v>-106.34077716116852</v>
      </c>
      <c r="AH36" s="226">
        <f t="shared" ref="AH36:AK36" si="66">-AH180-AH181</f>
        <v>-25.563770903950864</v>
      </c>
      <c r="AI36" s="226">
        <f t="shared" si="66"/>
        <v>-25.645294360450581</v>
      </c>
      <c r="AJ36" s="226">
        <f t="shared" si="66"/>
        <v>-25.874717885700996</v>
      </c>
      <c r="AK36" s="226">
        <f t="shared" si="66"/>
        <v>-26.105320817881971</v>
      </c>
      <c r="AL36" s="227">
        <f>SUM(AH36:AK36)</f>
        <v>-103.18910396798442</v>
      </c>
      <c r="AM36" s="226">
        <f t="shared" ref="AM36:AP36" si="67">-AM180-AM181</f>
        <v>-26.191235141144112</v>
      </c>
      <c r="AN36" s="226">
        <f t="shared" si="67"/>
        <v>-26.092685532442392</v>
      </c>
      <c r="AO36" s="226">
        <f t="shared" si="67"/>
        <v>-25.998776097484857</v>
      </c>
      <c r="AP36" s="226">
        <f t="shared" si="67"/>
        <v>-25.932060232968528</v>
      </c>
      <c r="AQ36" s="227">
        <f>SUM(AM36:AP36)</f>
        <v>-104.21475700403988</v>
      </c>
    </row>
    <row r="37" spans="1:43" s="20" customFormat="1" x14ac:dyDescent="0.25">
      <c r="A37" s="324"/>
      <c r="B37" s="220" t="s">
        <v>197</v>
      </c>
      <c r="C37" s="221"/>
      <c r="D37" s="264">
        <f t="shared" ref="D37:AQ37" si="68">+D27+D28+D29+D30-D32-D34+D36</f>
        <v>940.04999999999916</v>
      </c>
      <c r="E37" s="264">
        <f t="shared" si="68"/>
        <v>750.42000000000007</v>
      </c>
      <c r="F37" s="264">
        <f t="shared" si="68"/>
        <v>953.94</v>
      </c>
      <c r="G37" s="264">
        <f t="shared" si="68"/>
        <v>850.00000000000102</v>
      </c>
      <c r="H37" s="457">
        <f t="shared" si="68"/>
        <v>3494.4100000000039</v>
      </c>
      <c r="I37" s="264">
        <f t="shared" si="68"/>
        <v>946.2999999999987</v>
      </c>
      <c r="J37" s="264">
        <f t="shared" si="68"/>
        <v>372.19999999999902</v>
      </c>
      <c r="K37" s="264">
        <f t="shared" si="68"/>
        <v>-539.7749999999993</v>
      </c>
      <c r="L37" s="214">
        <f>+L27+L28+L29+L30-L32-L34+L36</f>
        <v>601.29</v>
      </c>
      <c r="M37" s="215">
        <f t="shared" si="68"/>
        <v>1380.0150000000035</v>
      </c>
      <c r="N37" s="264">
        <f t="shared" si="68"/>
        <v>721.61000000000024</v>
      </c>
      <c r="O37" s="264">
        <f t="shared" si="68"/>
        <v>735.75199999999995</v>
      </c>
      <c r="P37" s="264">
        <f t="shared" si="68"/>
        <v>1193.2379999999987</v>
      </c>
      <c r="Q37" s="264">
        <f t="shared" si="68"/>
        <v>1235.9880907815004</v>
      </c>
      <c r="R37" s="457">
        <f t="shared" si="68"/>
        <v>3886.5880907814967</v>
      </c>
      <c r="S37" s="214">
        <f t="shared" si="68"/>
        <v>1135.6786959974474</v>
      </c>
      <c r="T37" s="214">
        <f t="shared" si="68"/>
        <v>1029.6176657043013</v>
      </c>
      <c r="U37" s="214">
        <f t="shared" si="68"/>
        <v>1302.8695322989101</v>
      </c>
      <c r="V37" s="214">
        <f t="shared" si="68"/>
        <v>1322.8605780503435</v>
      </c>
      <c r="W37" s="457">
        <f t="shared" si="68"/>
        <v>4791.0264720509958</v>
      </c>
      <c r="X37" s="214">
        <f t="shared" si="68"/>
        <v>1300.8730037169257</v>
      </c>
      <c r="Y37" s="214">
        <f t="shared" si="68"/>
        <v>1197.8684791896806</v>
      </c>
      <c r="Z37" s="214">
        <f t="shared" si="68"/>
        <v>1328.3619483193831</v>
      </c>
      <c r="AA37" s="214">
        <f t="shared" si="68"/>
        <v>1466.338873551106</v>
      </c>
      <c r="AB37" s="215">
        <f t="shared" si="68"/>
        <v>5293.4423047771006</v>
      </c>
      <c r="AC37" s="214">
        <f t="shared" si="68"/>
        <v>1424.9938117709078</v>
      </c>
      <c r="AD37" s="214">
        <f t="shared" si="68"/>
        <v>1324.0055561172142</v>
      </c>
      <c r="AE37" s="214">
        <f t="shared" si="68"/>
        <v>1459.1194981561475</v>
      </c>
      <c r="AF37" s="214">
        <f t="shared" si="68"/>
        <v>1603.8216383451349</v>
      </c>
      <c r="AG37" s="215">
        <f t="shared" si="68"/>
        <v>5811.9405043894012</v>
      </c>
      <c r="AH37" s="214">
        <f t="shared" si="68"/>
        <v>1582.7034012302486</v>
      </c>
      <c r="AI37" s="214">
        <f t="shared" si="68"/>
        <v>1473.7808319279598</v>
      </c>
      <c r="AJ37" s="214">
        <f t="shared" si="68"/>
        <v>1611.5481163784905</v>
      </c>
      <c r="AK37" s="214">
        <f t="shared" si="68"/>
        <v>1768.4307093768584</v>
      </c>
      <c r="AL37" s="215">
        <f t="shared" si="68"/>
        <v>6436.4630589135595</v>
      </c>
      <c r="AM37" s="214">
        <f t="shared" si="68"/>
        <v>1739.0904552879767</v>
      </c>
      <c r="AN37" s="214">
        <f t="shared" si="68"/>
        <v>1621.8129194565067</v>
      </c>
      <c r="AO37" s="214">
        <f t="shared" si="68"/>
        <v>1762.7301050874482</v>
      </c>
      <c r="AP37" s="214">
        <f t="shared" si="68"/>
        <v>1928.6126195640136</v>
      </c>
      <c r="AQ37" s="215">
        <f t="shared" si="68"/>
        <v>7052.2460993959476</v>
      </c>
    </row>
    <row r="38" spans="1:43" x14ac:dyDescent="0.25">
      <c r="A38" s="254"/>
      <c r="B38" s="595" t="s">
        <v>0</v>
      </c>
      <c r="C38" s="596"/>
      <c r="D38" s="256">
        <v>1242</v>
      </c>
      <c r="E38" s="256">
        <v>1239.2</v>
      </c>
      <c r="F38" s="256">
        <v>1211</v>
      </c>
      <c r="G38" s="256">
        <v>1210.7904210526317</v>
      </c>
      <c r="H38" s="449">
        <v>1221.2</v>
      </c>
      <c r="I38" s="256">
        <v>1180.4000000000001</v>
      </c>
      <c r="J38" s="256">
        <v>1171.8</v>
      </c>
      <c r="K38" s="256">
        <v>1168.5</v>
      </c>
      <c r="L38" s="63">
        <v>1167.3874645009873</v>
      </c>
      <c r="M38" s="35">
        <f>+(I35/M35*I38)+(J35/M35*J38)+(K35/M35*K38)+(L35/M35*L38)</f>
        <v>1180.550811766758</v>
      </c>
      <c r="N38" s="256">
        <v>1175</v>
      </c>
      <c r="O38" s="256">
        <v>1177.5</v>
      </c>
      <c r="P38" s="256">
        <v>1178.5</v>
      </c>
      <c r="Q38" s="256">
        <f>P38*(1+Q160)-Q164-Q167-Q170</f>
        <v>1179.5008492569002</v>
      </c>
      <c r="R38" s="449">
        <f>+(N35/R35*N38)+(O35/R35*O38)+(P35/R35*P38)+(Q35/R35*Q38)</f>
        <v>1178.0487956992677</v>
      </c>
      <c r="S38" s="34">
        <f>Q38*(1+S160)-S164-S167-S170</f>
        <v>1176.3358818252711</v>
      </c>
      <c r="T38" s="34">
        <f>S38*(1+T160)-T164-T167-T170</f>
        <v>1173.1682265232118</v>
      </c>
      <c r="U38" s="34">
        <f>T38*(1+U160)-U164-U167-U170</f>
        <v>1169.9978810680298</v>
      </c>
      <c r="V38" s="34">
        <f>U38*(1+V160)-V164-V167-V170</f>
        <v>1166.8248431750937</v>
      </c>
      <c r="W38" s="449">
        <f>+(S35/W35*S38)+(T35/W35*T38)+(U35/W35*U38)+(V35/W35*V38)</f>
        <v>1171.2893239628511</v>
      </c>
      <c r="X38" s="34">
        <f>V38*(1+X160)-X164-X167-X170</f>
        <v>1163.6491105578325</v>
      </c>
      <c r="Y38" s="34">
        <f>X38*(1+Y160)-Y164-Y167-Y170</f>
        <v>1160.4706809277329</v>
      </c>
      <c r="Z38" s="34">
        <f>Y38*(1+Z160)-Z164-Z167-Z170</f>
        <v>1157.2895519943381</v>
      </c>
      <c r="AA38" s="34">
        <f>Z38*(1+AA160)-AA164-AA167-AA170</f>
        <v>1154.1057214652462</v>
      </c>
      <c r="AB38" s="35">
        <f>+(X35/AB35*X38)+(Y35/AB35*Y38)+(Z35/AB35*Z38)+(AA35/AB35*AA38)</f>
        <v>1158.6808986655003</v>
      </c>
      <c r="AC38" s="34">
        <f>AA38*(1+AC160)-AC164-AC167-AC170</f>
        <v>1153.0025203794419</v>
      </c>
      <c r="AD38" s="34">
        <f>AC38*(1+AD160)-AD164-AD167-AD170</f>
        <v>1151.898382392503</v>
      </c>
      <c r="AE38" s="34">
        <f>AD38*(1+AE160)-AE164-AE167-AE170</f>
        <v>1150.7933067087599</v>
      </c>
      <c r="AF38" s="34">
        <f>AE38*(1+AF160)-AF164-AF167-AF170</f>
        <v>1149.6872925318673</v>
      </c>
      <c r="AG38" s="35">
        <f>+(AC35/AG35*AC38)+(AD35/AG35*AD38)+(AE35/AG35*AE38)+(AF35/AG35*AF38)</f>
        <v>1151.2768030467353</v>
      </c>
      <c r="AH38" s="34">
        <f>AF38*(1+AH160)-AH164-AH167-AH170</f>
        <v>1148.5803390648032</v>
      </c>
      <c r="AI38" s="34">
        <f>AH38*(1+AI160)-AI164-AI167-AI170</f>
        <v>1147.472445509869</v>
      </c>
      <c r="AJ38" s="34">
        <f>AI38*(1+AJ160)-AJ164-AJ167-AJ170</f>
        <v>1146.3636110686884</v>
      </c>
      <c r="AK38" s="34">
        <f>AJ38*(1+AK160)-AK164-AK167-AK170</f>
        <v>1145.2538349422075</v>
      </c>
      <c r="AL38" s="35">
        <f>+(AH35/AL35*AH38)+(AI35/AL35*AI38)+(AJ35/AL35*AJ38)+(AK35/AL35*AK38)</f>
        <v>1146.8551552493927</v>
      </c>
      <c r="AM38" s="34">
        <f>AK38*(1+AM160)-AM164-AM167-AM170</f>
        <v>1144.1431163306936</v>
      </c>
      <c r="AN38" s="34">
        <f>AM38*(1+AN160)-AN164-AN167-AN170</f>
        <v>1143.0314544337346</v>
      </c>
      <c r="AO38" s="34">
        <f>AN38*(1+AO160)-AO164-AO167-AO170</f>
        <v>1141.9188484502388</v>
      </c>
      <c r="AP38" s="34">
        <f>AO38*(1+AP160)-AP164-AP167-AP170</f>
        <v>1140.8052975784344</v>
      </c>
      <c r="AQ38" s="35">
        <f>+(AM35/AQ35*AM38)+(AN35/AQ35*AN38)+(AO35/AQ35*AO38)+(AP35/AQ35*AP38)</f>
        <v>1142.4158810676067</v>
      </c>
    </row>
    <row r="39" spans="1:43" ht="15.75" customHeight="1" x14ac:dyDescent="0.25">
      <c r="A39" s="254"/>
      <c r="B39" s="595" t="s">
        <v>1</v>
      </c>
      <c r="C39" s="596"/>
      <c r="D39" s="256">
        <v>1253.4000000000001</v>
      </c>
      <c r="E39" s="256">
        <v>1250.7</v>
      </c>
      <c r="F39" s="256">
        <v>1223</v>
      </c>
      <c r="G39" s="256">
        <v>1222.8144210526316</v>
      </c>
      <c r="H39" s="449">
        <v>1233.2</v>
      </c>
      <c r="I39" s="256">
        <v>1191</v>
      </c>
      <c r="J39" s="256">
        <v>1180.7</v>
      </c>
      <c r="K39" s="256">
        <v>1168.5</v>
      </c>
      <c r="L39" s="256">
        <v>1179</v>
      </c>
      <c r="M39" s="35">
        <f>+(I35/M35*I39)+(J35/M35*J39)+(K35/M35*K39)+(L35/M35*L39)</f>
        <v>1198.7240978132002</v>
      </c>
      <c r="N39" s="256">
        <v>1183</v>
      </c>
      <c r="O39" s="256">
        <v>1184.8</v>
      </c>
      <c r="P39" s="256">
        <v>1186.2</v>
      </c>
      <c r="Q39" s="256">
        <f>P39*(1+Q161)-Q164-Q167-Q170</f>
        <v>1187.6016542876437</v>
      </c>
      <c r="R39" s="449">
        <f>+(N35/R35*N39)+(O35/R35*O39)+(P35/R35*P39)+(Q35/R35*Q39)</f>
        <v>1185.8596782437635</v>
      </c>
      <c r="S39" s="34">
        <f>Q39*(1+S161)-S164-S167-S170</f>
        <v>1184.8382981510265</v>
      </c>
      <c r="T39" s="34">
        <f>S39*(1+T161)-T164-T167-T170</f>
        <v>1182.0716767387585</v>
      </c>
      <c r="U39" s="34">
        <f>T39*(1+U161)-U164-U167-U170</f>
        <v>1179.3017861924786</v>
      </c>
      <c r="V39" s="34">
        <f>U39*(1+V161)-V164-V167-V170</f>
        <v>1176.5286226492669</v>
      </c>
      <c r="W39" s="449">
        <f>+(S35/W35*S39)+(T35/W35*T39)+(U35/W35*U39)+(V35/W35*V39)</f>
        <v>1180.4296296043738</v>
      </c>
      <c r="X39" s="34">
        <f>V39*(1+X161)-X164-X167-X170</f>
        <v>1173.752182241639</v>
      </c>
      <c r="Y39" s="34">
        <f>X39*(1+Y161)-Y164-Y167-Y170</f>
        <v>1170.9724610975402</v>
      </c>
      <c r="Z39" s="34">
        <f>Y39*(1+Z161)-Z164-Z167-Z170</f>
        <v>1168.1894553403406</v>
      </c>
      <c r="AA39" s="34">
        <f>Z39*(1+AA161)-AA164-AA167-AA170</f>
        <v>1165.4031610888296</v>
      </c>
      <c r="AB39" s="35">
        <f>+(X35/AB35*X39)+(Y35/AB35*Y39)+(Z35/AB35*Z39)+(AA35/AB35*AA39)</f>
        <v>1169.4061891884544</v>
      </c>
      <c r="AC39" s="34">
        <f>AA39*(1+AC161)-AC164-AC167-AC170</f>
        <v>1164.6969077905439</v>
      </c>
      <c r="AD39" s="34">
        <f>AC39*(1+AD161)-AD164-AD167-AD170</f>
        <v>1163.9898199593265</v>
      </c>
      <c r="AE39" s="34">
        <f>AD39*(1+AE161)-AE164-AE167-AE170</f>
        <v>1163.2818966090649</v>
      </c>
      <c r="AF39" s="34">
        <f>AE39*(1+AF161)-AF164-AF167-AF170</f>
        <v>1162.5731367524811</v>
      </c>
      <c r="AG39" s="35">
        <f>+(AC35/AG35*AC39)+(AD35/AG35*AD39)+(AE35/AG35*AE39)+(AF35/AG35*AF39)</f>
        <v>1163.5915067346109</v>
      </c>
      <c r="AH39" s="34">
        <f>AF39*(1+AH161)-AH164-AH167-AH170</f>
        <v>1161.863539401131</v>
      </c>
      <c r="AI39" s="34">
        <f>AH39*(1+AI161)-AI164-AI167-AI170</f>
        <v>1161.1531035654023</v>
      </c>
      <c r="AJ39" s="34">
        <f>AI39*(1+AJ161)-AJ164-AJ167-AJ170</f>
        <v>1160.441828254513</v>
      </c>
      <c r="AK39" s="34">
        <f>AJ39*(1+AK161)-AK164-AK167-AK170</f>
        <v>1159.7297124765109</v>
      </c>
      <c r="AL39" s="35">
        <f>+(AH35/AL35*AH39)+(AI35/AL35*AI39)+(AJ35/AL35*AJ39)+(AK35/AL35*AK39)</f>
        <v>1160.7570120278724</v>
      </c>
      <c r="AM39" s="34">
        <f>AK39*(1+AM161)-AM164-AM167-AM170</f>
        <v>1159.0167552382716</v>
      </c>
      <c r="AN39" s="34">
        <f>AM39*(1+AN161)-AN164-AN167-AN170</f>
        <v>1158.3029555454968</v>
      </c>
      <c r="AO39" s="34">
        <f>AN39*(1+AO161)-AO164-AO167-AO170</f>
        <v>1157.5883124027137</v>
      </c>
      <c r="AP39" s="34">
        <f>AO39*(1+AP161)-AP164-AP167-AP170</f>
        <v>1156.8728248132729</v>
      </c>
      <c r="AQ39" s="35">
        <f>+(AM35/AQ35*AM39)+(AN35/AQ35*AN39)+(AO35/AQ35*AO39)+(AP35/AQ35*AP39)</f>
        <v>1157.9074401082487</v>
      </c>
    </row>
    <row r="40" spans="1:43" ht="15.75" customHeight="1" x14ac:dyDescent="0.25">
      <c r="A40" s="254"/>
      <c r="B40" s="585" t="s">
        <v>44</v>
      </c>
      <c r="C40" s="586"/>
      <c r="D40" s="266">
        <f t="shared" ref="D40:AQ40" si="69">D35/D38</f>
        <v>0.61239935587761718</v>
      </c>
      <c r="E40" s="266">
        <f t="shared" si="69"/>
        <v>0.53518398967075509</v>
      </c>
      <c r="F40" s="266">
        <f t="shared" si="69"/>
        <v>1.1336085879438487</v>
      </c>
      <c r="G40" s="266">
        <f t="shared" si="69"/>
        <v>0.66287276975832043</v>
      </c>
      <c r="H40" s="454">
        <f t="shared" si="69"/>
        <v>2.947264985260404</v>
      </c>
      <c r="I40" s="266">
        <f t="shared" si="69"/>
        <v>0.75033886818027684</v>
      </c>
      <c r="J40" s="266">
        <f t="shared" si="69"/>
        <v>0.28025260283324721</v>
      </c>
      <c r="K40" s="266">
        <f t="shared" si="69"/>
        <v>-0.58057338468121455</v>
      </c>
      <c r="L40" s="266">
        <f t="shared" si="69"/>
        <v>0.3363065065700544</v>
      </c>
      <c r="M40" s="45">
        <f t="shared" si="69"/>
        <v>0.78632786555858059</v>
      </c>
      <c r="N40" s="266">
        <f t="shared" si="69"/>
        <v>0.52953191489361717</v>
      </c>
      <c r="O40" s="266">
        <f t="shared" si="69"/>
        <v>0.55999999999999994</v>
      </c>
      <c r="P40" s="266">
        <f t="shared" si="69"/>
        <v>0.97870173949936268</v>
      </c>
      <c r="Q40" s="266">
        <f t="shared" si="69"/>
        <v>1.015016726385368</v>
      </c>
      <c r="R40" s="454">
        <f t="shared" si="69"/>
        <v>3.0832450268967704</v>
      </c>
      <c r="S40" s="44">
        <f t="shared" si="69"/>
        <v>0.89386348936827831</v>
      </c>
      <c r="T40" s="44">
        <f t="shared" si="69"/>
        <v>0.80262213842497965</v>
      </c>
      <c r="U40" s="44">
        <f t="shared" si="69"/>
        <v>1.0342961448949388</v>
      </c>
      <c r="V40" s="44">
        <f t="shared" si="69"/>
        <v>1.0582605406466938</v>
      </c>
      <c r="W40" s="454">
        <f t="shared" si="69"/>
        <v>3.7890070226106483</v>
      </c>
      <c r="X40" s="44">
        <f t="shared" si="69"/>
        <v>1.053701019350479</v>
      </c>
      <c r="Y40" s="44">
        <f t="shared" si="69"/>
        <v>0.97067403703281196</v>
      </c>
      <c r="Z40" s="44">
        <f t="shared" si="69"/>
        <v>1.0855297733136102</v>
      </c>
      <c r="AA40" s="44">
        <f t="shared" si="69"/>
        <v>1.2044692518211482</v>
      </c>
      <c r="AB40" s="45">
        <f t="shared" si="69"/>
        <v>4.3143320480412344</v>
      </c>
      <c r="AC40" s="44">
        <f t="shared" si="69"/>
        <v>1.165699893957143</v>
      </c>
      <c r="AD40" s="44">
        <f t="shared" si="69"/>
        <v>1.0794994524588188</v>
      </c>
      <c r="AE40" s="44">
        <f t="shared" si="69"/>
        <v>1.1987573972433845</v>
      </c>
      <c r="AF40" s="44">
        <f t="shared" si="69"/>
        <v>1.3272022791612814</v>
      </c>
      <c r="AG40" s="45">
        <f t="shared" si="69"/>
        <v>4.7711533476306087</v>
      </c>
      <c r="AH40" s="44">
        <f t="shared" si="69"/>
        <v>1.3111943825754677</v>
      </c>
      <c r="AI40" s="44">
        <f t="shared" si="69"/>
        <v>1.2173233042000697</v>
      </c>
      <c r="AJ40" s="44">
        <f t="shared" si="69"/>
        <v>1.3380780303130866</v>
      </c>
      <c r="AK40" s="44">
        <f t="shared" si="69"/>
        <v>1.4757555882871154</v>
      </c>
      <c r="AL40" s="45">
        <f t="shared" si="69"/>
        <v>5.3423448627889414</v>
      </c>
      <c r="AM40" s="44">
        <f t="shared" si="69"/>
        <v>1.4513190930081183</v>
      </c>
      <c r="AN40" s="44">
        <f t="shared" si="69"/>
        <v>1.3503870404195104</v>
      </c>
      <c r="AO40" s="44">
        <f t="shared" si="69"/>
        <v>1.47535333100197</v>
      </c>
      <c r="AP40" s="44">
        <f t="shared" si="69"/>
        <v>1.6223771425271258</v>
      </c>
      <c r="AQ40" s="45">
        <f t="shared" si="69"/>
        <v>5.8994293935108448</v>
      </c>
    </row>
    <row r="41" spans="1:43" x14ac:dyDescent="0.25">
      <c r="A41" s="254"/>
      <c r="B41" s="585" t="s">
        <v>45</v>
      </c>
      <c r="C41" s="586"/>
      <c r="D41" s="266">
        <f t="shared" ref="D41:AQ41" si="70">D35/D39</f>
        <v>0.60682942396681061</v>
      </c>
      <c r="E41" s="266">
        <f t="shared" si="70"/>
        <v>0.53026305269049312</v>
      </c>
      <c r="F41" s="266">
        <f t="shared" si="70"/>
        <v>1.1224856909239582</v>
      </c>
      <c r="G41" s="266">
        <f t="shared" si="70"/>
        <v>0.65635470614510849</v>
      </c>
      <c r="H41" s="454">
        <f t="shared" si="70"/>
        <v>2.9185857930587131</v>
      </c>
      <c r="I41" s="266">
        <f t="shared" si="70"/>
        <v>0.74366078925272783</v>
      </c>
      <c r="J41" s="266">
        <f t="shared" si="70"/>
        <v>0.27814008638942922</v>
      </c>
      <c r="K41" s="266">
        <f t="shared" si="70"/>
        <v>-0.58057338468121455</v>
      </c>
      <c r="L41" s="266">
        <f t="shared" si="70"/>
        <v>0.3329940627650555</v>
      </c>
      <c r="M41" s="454">
        <f t="shared" si="70"/>
        <v>0.7744067226924668</v>
      </c>
      <c r="N41" s="266">
        <f t="shared" si="70"/>
        <v>0.52595097210481845</v>
      </c>
      <c r="O41" s="266">
        <f t="shared" si="70"/>
        <v>0.55654962862930457</v>
      </c>
      <c r="P41" s="266">
        <f t="shared" si="70"/>
        <v>0.97234867644579237</v>
      </c>
      <c r="Q41" s="266">
        <f t="shared" si="70"/>
        <v>1.0080931484552553</v>
      </c>
      <c r="R41" s="496">
        <f t="shared" si="70"/>
        <v>3.0629366673135712</v>
      </c>
      <c r="S41" s="266">
        <f t="shared" si="70"/>
        <v>0.887449112371129</v>
      </c>
      <c r="T41" s="266">
        <f t="shared" si="70"/>
        <v>0.79657672984952177</v>
      </c>
      <c r="U41" s="266">
        <f t="shared" si="70"/>
        <v>1.0261362376384979</v>
      </c>
      <c r="V41" s="266">
        <f t="shared" si="70"/>
        <v>1.0495322133327938</v>
      </c>
      <c r="W41" s="454">
        <f t="shared" si="70"/>
        <v>3.7596679740168373</v>
      </c>
      <c r="X41" s="266">
        <f t="shared" si="70"/>
        <v>1.0446312880282616</v>
      </c>
      <c r="Y41" s="44">
        <f t="shared" si="70"/>
        <v>0.96196861850921711</v>
      </c>
      <c r="Z41" s="44">
        <f t="shared" si="70"/>
        <v>1.0754011340297716</v>
      </c>
      <c r="AA41" s="44">
        <f t="shared" si="70"/>
        <v>1.1927931047973157</v>
      </c>
      <c r="AB41" s="45">
        <f t="shared" si="70"/>
        <v>4.2747628503958497</v>
      </c>
      <c r="AC41" s="44">
        <f t="shared" si="70"/>
        <v>1.153995435849775</v>
      </c>
      <c r="AD41" s="44">
        <f t="shared" si="70"/>
        <v>1.0682856943923762</v>
      </c>
      <c r="AE41" s="44">
        <f t="shared" si="70"/>
        <v>1.1858879547051924</v>
      </c>
      <c r="AF41" s="44">
        <f t="shared" si="70"/>
        <v>1.312491702013173</v>
      </c>
      <c r="AG41" s="45">
        <f t="shared" si="70"/>
        <v>4.7206585310343856</v>
      </c>
      <c r="AH41" s="44">
        <f t="shared" si="70"/>
        <v>1.2962039322575285</v>
      </c>
      <c r="AI41" s="44">
        <f t="shared" si="70"/>
        <v>1.2029808511534761</v>
      </c>
      <c r="AJ41" s="44">
        <f t="shared" si="70"/>
        <v>1.3218447709943812</v>
      </c>
      <c r="AK41" s="44">
        <f t="shared" si="70"/>
        <v>1.457335040001783</v>
      </c>
      <c r="AL41" s="45">
        <f t="shared" si="70"/>
        <v>5.2783620374653282</v>
      </c>
      <c r="AM41" s="44">
        <f t="shared" si="70"/>
        <v>1.4326943440288522</v>
      </c>
      <c r="AN41" s="44">
        <f t="shared" si="70"/>
        <v>1.3325830306046826</v>
      </c>
      <c r="AO41" s="44">
        <f t="shared" si="70"/>
        <v>1.4553825040770549</v>
      </c>
      <c r="AP41" s="44">
        <f t="shared" si="70"/>
        <v>1.59984433826064</v>
      </c>
      <c r="AQ41" s="45">
        <f t="shared" si="70"/>
        <v>5.8205013586869834</v>
      </c>
    </row>
    <row r="42" spans="1:43" x14ac:dyDescent="0.25">
      <c r="A42" s="254"/>
      <c r="B42" s="228" t="s">
        <v>198</v>
      </c>
      <c r="C42" s="255"/>
      <c r="D42" s="267">
        <f t="shared" ref="D42:AQ42" si="71">+D37/D39</f>
        <v>0.74999999999999922</v>
      </c>
      <c r="E42" s="267">
        <f t="shared" si="71"/>
        <v>0.60000000000000009</v>
      </c>
      <c r="F42" s="281">
        <f t="shared" si="71"/>
        <v>0.78</v>
      </c>
      <c r="G42" s="281">
        <f t="shared" si="71"/>
        <v>0.69511774261567683</v>
      </c>
      <c r="H42" s="452">
        <f t="shared" si="71"/>
        <v>2.8336117418099285</v>
      </c>
      <c r="I42" s="267">
        <f t="shared" si="71"/>
        <v>0.79454240134340781</v>
      </c>
      <c r="J42" s="267">
        <f t="shared" si="71"/>
        <v>0.31523672397730074</v>
      </c>
      <c r="K42" s="267">
        <f t="shared" si="71"/>
        <v>-0.46193838254171954</v>
      </c>
      <c r="L42" s="267">
        <f t="shared" si="71"/>
        <v>0.51</v>
      </c>
      <c r="M42" s="452">
        <f t="shared" si="71"/>
        <v>1.1512365543643674</v>
      </c>
      <c r="N42" s="267">
        <f t="shared" si="71"/>
        <v>0.60998309382924787</v>
      </c>
      <c r="O42" s="267">
        <f t="shared" si="71"/>
        <v>0.62099257258609042</v>
      </c>
      <c r="P42" s="267">
        <f t="shared" si="71"/>
        <v>1.0059332321699532</v>
      </c>
      <c r="Q42" s="267">
        <f t="shared" si="71"/>
        <v>1.0407429850902998</v>
      </c>
      <c r="R42" s="497">
        <f t="shared" si="71"/>
        <v>3.2774434969721398</v>
      </c>
      <c r="S42" s="267">
        <f t="shared" si="71"/>
        <v>0.95850944198014698</v>
      </c>
      <c r="T42" s="267">
        <f t="shared" si="71"/>
        <v>0.87102811611638842</v>
      </c>
      <c r="U42" s="267">
        <f t="shared" si="71"/>
        <v>1.1047804281763918</v>
      </c>
      <c r="V42" s="267">
        <f t="shared" si="71"/>
        <v>1.1243760267145659</v>
      </c>
      <c r="W42" s="452">
        <f t="shared" si="71"/>
        <v>4.0587141765127752</v>
      </c>
      <c r="X42" s="267">
        <f t="shared" si="71"/>
        <v>1.108302947929358</v>
      </c>
      <c r="Y42" s="216">
        <f t="shared" si="71"/>
        <v>1.022968958695178</v>
      </c>
      <c r="Z42" s="216">
        <f t="shared" si="71"/>
        <v>1.1371117435162756</v>
      </c>
      <c r="AA42" s="216">
        <f t="shared" si="71"/>
        <v>1.2582245548236832</v>
      </c>
      <c r="AB42" s="217">
        <f t="shared" si="71"/>
        <v>4.5266070538335779</v>
      </c>
      <c r="AC42" s="216">
        <f t="shared" si="71"/>
        <v>1.2234889628703083</v>
      </c>
      <c r="AD42" s="216">
        <f t="shared" si="71"/>
        <v>1.1374717660017672</v>
      </c>
      <c r="AE42" s="216">
        <f t="shared" si="71"/>
        <v>1.2543129076532877</v>
      </c>
      <c r="AF42" s="216">
        <f t="shared" si="71"/>
        <v>1.3795447250959476</v>
      </c>
      <c r="AG42" s="217">
        <f t="shared" si="71"/>
        <v>4.994828916119765</v>
      </c>
      <c r="AH42" s="216">
        <f t="shared" si="71"/>
        <v>1.362211092402499</v>
      </c>
      <c r="AI42" s="216">
        <f t="shared" si="71"/>
        <v>1.2692390240379259</v>
      </c>
      <c r="AJ42" s="216">
        <f t="shared" si="71"/>
        <v>1.388736666621637</v>
      </c>
      <c r="AK42" s="216">
        <f t="shared" si="71"/>
        <v>1.5248645355481276</v>
      </c>
      <c r="AL42" s="217">
        <f t="shared" si="71"/>
        <v>5.5450563659907539</v>
      </c>
      <c r="AM42" s="216">
        <f t="shared" si="71"/>
        <v>1.5004877603606801</v>
      </c>
      <c r="AN42" s="216">
        <f t="shared" si="71"/>
        <v>1.4001629812752419</v>
      </c>
      <c r="AO42" s="216">
        <f t="shared" si="71"/>
        <v>1.5227608003649329</v>
      </c>
      <c r="AP42" s="216">
        <f t="shared" si="71"/>
        <v>1.6670912983674802</v>
      </c>
      <c r="AQ42" s="217">
        <f t="shared" si="71"/>
        <v>6.0905093577571776</v>
      </c>
    </row>
    <row r="43" spans="1:43" x14ac:dyDescent="0.25">
      <c r="A43" s="254"/>
      <c r="B43" s="351" t="s">
        <v>150</v>
      </c>
      <c r="C43" s="352"/>
      <c r="D43" s="268">
        <v>0.36</v>
      </c>
      <c r="E43" s="268">
        <v>0.36</v>
      </c>
      <c r="F43" s="268">
        <v>0.36</v>
      </c>
      <c r="G43" s="268">
        <v>0.41</v>
      </c>
      <c r="H43" s="335">
        <f>+SUM(D43:G43)</f>
        <v>1.49</v>
      </c>
      <c r="I43" s="268">
        <v>0.41</v>
      </c>
      <c r="J43" s="268">
        <v>0.41</v>
      </c>
      <c r="K43" s="268">
        <v>0.41</v>
      </c>
      <c r="L43" s="268">
        <f>K43*1.1</f>
        <v>0.45100000000000001</v>
      </c>
      <c r="M43" s="145">
        <f>+SUM(I43:L43)</f>
        <v>1.681</v>
      </c>
      <c r="N43" s="268">
        <f>+L43</f>
        <v>0.45100000000000001</v>
      </c>
      <c r="O43" s="268">
        <v>0.45</v>
      </c>
      <c r="P43" s="268">
        <v>0.45</v>
      </c>
      <c r="Q43" s="218">
        <v>0.49</v>
      </c>
      <c r="R43" s="145">
        <f>+SUM(N43:Q43)</f>
        <v>1.841</v>
      </c>
      <c r="S43" s="218">
        <f>+Q43</f>
        <v>0.49</v>
      </c>
      <c r="T43" s="218">
        <f>+S43</f>
        <v>0.49</v>
      </c>
      <c r="U43" s="218">
        <f>+T43</f>
        <v>0.49</v>
      </c>
      <c r="V43" s="218">
        <f>1.05*U43</f>
        <v>0.51449999999999996</v>
      </c>
      <c r="W43" s="145">
        <f>+SUM(S43:V43)</f>
        <v>1.9844999999999999</v>
      </c>
      <c r="X43" s="218">
        <f>+V43</f>
        <v>0.51449999999999996</v>
      </c>
      <c r="Y43" s="218">
        <f>+X43</f>
        <v>0.51449999999999996</v>
      </c>
      <c r="Z43" s="218">
        <f>+Y43</f>
        <v>0.51449999999999996</v>
      </c>
      <c r="AA43" s="218">
        <f>1.05*Z43</f>
        <v>0.54022499999999996</v>
      </c>
      <c r="AB43" s="145">
        <f>+SUM(X43:AA43)</f>
        <v>2.0837249999999998</v>
      </c>
      <c r="AC43" s="218">
        <f>+AA43</f>
        <v>0.54022499999999996</v>
      </c>
      <c r="AD43" s="218">
        <f>+AC43</f>
        <v>0.54022499999999996</v>
      </c>
      <c r="AE43" s="218">
        <f>+AD43</f>
        <v>0.54022499999999996</v>
      </c>
      <c r="AF43" s="218">
        <f>1*AE43</f>
        <v>0.54022499999999996</v>
      </c>
      <c r="AG43" s="145">
        <f>+SUM(AC43:AF43)</f>
        <v>2.1608999999999998</v>
      </c>
      <c r="AH43" s="218">
        <f>+AF43</f>
        <v>0.54022499999999996</v>
      </c>
      <c r="AI43" s="218">
        <f>+AH43</f>
        <v>0.54022499999999996</v>
      </c>
      <c r="AJ43" s="218">
        <f>+AI43</f>
        <v>0.54022499999999996</v>
      </c>
      <c r="AK43" s="218">
        <f>1.1*AJ43</f>
        <v>0.59424750000000004</v>
      </c>
      <c r="AL43" s="145">
        <f>+SUM(AH43:AK43)</f>
        <v>2.2149225000000001</v>
      </c>
      <c r="AM43" s="218">
        <f>+AK43</f>
        <v>0.59424750000000004</v>
      </c>
      <c r="AN43" s="218">
        <f>+AM43</f>
        <v>0.59424750000000004</v>
      </c>
      <c r="AO43" s="218">
        <f>+AN43</f>
        <v>0.59424750000000004</v>
      </c>
      <c r="AP43" s="218">
        <f>1.07*AO43</f>
        <v>0.63584482500000006</v>
      </c>
      <c r="AQ43" s="145">
        <f>+SUM(AM43:AP43)</f>
        <v>2.4185873250000003</v>
      </c>
    </row>
    <row r="44" spans="1:43" s="186" customFormat="1" x14ac:dyDescent="0.25">
      <c r="A44" s="272"/>
      <c r="B44" s="510"/>
      <c r="C44" s="509" t="s">
        <v>362</v>
      </c>
      <c r="D44" s="511"/>
      <c r="E44" s="512"/>
      <c r="F44" s="513"/>
      <c r="G44" s="512"/>
      <c r="H44" s="514">
        <f>H43/H41</f>
        <v>0.51052122693931912</v>
      </c>
      <c r="I44" s="512"/>
      <c r="J44" s="515"/>
      <c r="K44" s="515"/>
      <c r="L44" s="511"/>
      <c r="M44" s="514">
        <f>M43/M41</f>
        <v>2.1706939657696651</v>
      </c>
      <c r="N44" s="516"/>
      <c r="O44" s="509"/>
      <c r="P44" s="509"/>
      <c r="Q44" s="517"/>
      <c r="R44" s="514">
        <f>R43/R41</f>
        <v>0.60105715526096637</v>
      </c>
      <c r="S44" s="509"/>
      <c r="T44" s="509"/>
      <c r="U44" s="509"/>
      <c r="V44" s="517"/>
      <c r="W44" s="514">
        <f>W43/W41</f>
        <v>0.52783916391418895</v>
      </c>
      <c r="X44" s="509"/>
      <c r="Y44" s="509"/>
      <c r="Z44" s="509"/>
      <c r="AA44" s="518"/>
      <c r="AB44" s="514">
        <f>AB43/AB41</f>
        <v>0.48744809312803017</v>
      </c>
      <c r="AC44" s="509"/>
      <c r="AD44" s="509"/>
      <c r="AE44" s="509"/>
      <c r="AF44" s="517"/>
      <c r="AG44" s="519">
        <f>AG43/AG41</f>
        <v>0.45775393110810447</v>
      </c>
      <c r="AH44" s="509"/>
      <c r="AI44" s="509"/>
      <c r="AJ44" s="509"/>
      <c r="AK44" s="517"/>
      <c r="AL44" s="514">
        <f>AL43/AL41</f>
        <v>0.41962307327134518</v>
      </c>
      <c r="AM44" s="509"/>
      <c r="AN44" s="509"/>
      <c r="AO44" s="509"/>
      <c r="AP44" s="517"/>
      <c r="AQ44" s="514">
        <f>AQ43/AQ41</f>
        <v>0.41552903709751848</v>
      </c>
    </row>
    <row r="45" spans="1:43" ht="15.75" x14ac:dyDescent="0.25">
      <c r="A45" s="254"/>
      <c r="B45" s="565" t="s">
        <v>98</v>
      </c>
      <c r="C45" s="566"/>
      <c r="D45" s="31" t="s">
        <v>106</v>
      </c>
      <c r="E45" s="31" t="s">
        <v>244</v>
      </c>
      <c r="F45" s="31" t="s">
        <v>246</v>
      </c>
      <c r="G45" s="31" t="s">
        <v>337</v>
      </c>
      <c r="H45" s="85" t="s">
        <v>337</v>
      </c>
      <c r="I45" s="31" t="s">
        <v>336</v>
      </c>
      <c r="J45" s="31" t="s">
        <v>335</v>
      </c>
      <c r="K45" s="31" t="s">
        <v>334</v>
      </c>
      <c r="L45" s="31" t="s">
        <v>321</v>
      </c>
      <c r="M45" s="85" t="s">
        <v>321</v>
      </c>
      <c r="N45" s="31" t="s">
        <v>338</v>
      </c>
      <c r="O45" s="31" t="s">
        <v>346</v>
      </c>
      <c r="P45" s="31" t="s">
        <v>348</v>
      </c>
      <c r="Q45" s="33" t="s">
        <v>120</v>
      </c>
      <c r="R45" s="88" t="s">
        <v>120</v>
      </c>
      <c r="S45" s="33" t="s">
        <v>121</v>
      </c>
      <c r="T45" s="33" t="s">
        <v>122</v>
      </c>
      <c r="U45" s="33" t="s">
        <v>123</v>
      </c>
      <c r="V45" s="33" t="s">
        <v>124</v>
      </c>
      <c r="W45" s="88" t="s">
        <v>124</v>
      </c>
      <c r="X45" s="33" t="s">
        <v>125</v>
      </c>
      <c r="Y45" s="33" t="s">
        <v>126</v>
      </c>
      <c r="Z45" s="33" t="s">
        <v>127</v>
      </c>
      <c r="AA45" s="33" t="s">
        <v>128</v>
      </c>
      <c r="AB45" s="88" t="s">
        <v>128</v>
      </c>
      <c r="AC45" s="33" t="s">
        <v>248</v>
      </c>
      <c r="AD45" s="33" t="s">
        <v>249</v>
      </c>
      <c r="AE45" s="33" t="s">
        <v>250</v>
      </c>
      <c r="AF45" s="33" t="s">
        <v>251</v>
      </c>
      <c r="AG45" s="88" t="s">
        <v>251</v>
      </c>
      <c r="AH45" s="33" t="s">
        <v>281</v>
      </c>
      <c r="AI45" s="33" t="s">
        <v>282</v>
      </c>
      <c r="AJ45" s="33" t="s">
        <v>283</v>
      </c>
      <c r="AK45" s="33" t="s">
        <v>284</v>
      </c>
      <c r="AL45" s="88" t="s">
        <v>284</v>
      </c>
      <c r="AM45" s="33" t="s">
        <v>352</v>
      </c>
      <c r="AN45" s="33" t="s">
        <v>353</v>
      </c>
      <c r="AO45" s="33" t="s">
        <v>354</v>
      </c>
      <c r="AP45" s="33" t="s">
        <v>355</v>
      </c>
      <c r="AQ45" s="88" t="s">
        <v>355</v>
      </c>
    </row>
    <row r="46" spans="1:43" ht="17.25" x14ac:dyDescent="0.4">
      <c r="A46" s="254"/>
      <c r="B46" s="567"/>
      <c r="C46" s="568"/>
      <c r="D46" s="32" t="s">
        <v>119</v>
      </c>
      <c r="E46" s="32" t="s">
        <v>243</v>
      </c>
      <c r="F46" s="32" t="s">
        <v>247</v>
      </c>
      <c r="G46" s="32" t="s">
        <v>257</v>
      </c>
      <c r="H46" s="86" t="s">
        <v>258</v>
      </c>
      <c r="I46" s="32" t="s">
        <v>259</v>
      </c>
      <c r="J46" s="32" t="s">
        <v>260</v>
      </c>
      <c r="K46" s="32" t="s">
        <v>261</v>
      </c>
      <c r="L46" s="32" t="s">
        <v>322</v>
      </c>
      <c r="M46" s="86" t="s">
        <v>333</v>
      </c>
      <c r="N46" s="32" t="s">
        <v>339</v>
      </c>
      <c r="O46" s="32" t="s">
        <v>347</v>
      </c>
      <c r="P46" s="32" t="s">
        <v>349</v>
      </c>
      <c r="Q46" s="30" t="s">
        <v>129</v>
      </c>
      <c r="R46" s="89" t="s">
        <v>130</v>
      </c>
      <c r="S46" s="30" t="s">
        <v>131</v>
      </c>
      <c r="T46" s="30" t="s">
        <v>132</v>
      </c>
      <c r="U46" s="30" t="s">
        <v>133</v>
      </c>
      <c r="V46" s="30" t="s">
        <v>134</v>
      </c>
      <c r="W46" s="89" t="s">
        <v>135</v>
      </c>
      <c r="X46" s="30" t="s">
        <v>136</v>
      </c>
      <c r="Y46" s="30" t="s">
        <v>137</v>
      </c>
      <c r="Z46" s="30" t="s">
        <v>138</v>
      </c>
      <c r="AA46" s="30" t="s">
        <v>139</v>
      </c>
      <c r="AB46" s="89" t="s">
        <v>140</v>
      </c>
      <c r="AC46" s="30" t="s">
        <v>252</v>
      </c>
      <c r="AD46" s="30" t="s">
        <v>253</v>
      </c>
      <c r="AE46" s="30" t="s">
        <v>254</v>
      </c>
      <c r="AF46" s="30" t="s">
        <v>255</v>
      </c>
      <c r="AG46" s="89" t="s">
        <v>256</v>
      </c>
      <c r="AH46" s="30" t="s">
        <v>285</v>
      </c>
      <c r="AI46" s="30" t="s">
        <v>286</v>
      </c>
      <c r="AJ46" s="30" t="s">
        <v>287</v>
      </c>
      <c r="AK46" s="30" t="s">
        <v>288</v>
      </c>
      <c r="AL46" s="89" t="s">
        <v>289</v>
      </c>
      <c r="AM46" s="30" t="s">
        <v>356</v>
      </c>
      <c r="AN46" s="30" t="s">
        <v>357</v>
      </c>
      <c r="AO46" s="30" t="s">
        <v>358</v>
      </c>
      <c r="AP46" s="30" t="s">
        <v>359</v>
      </c>
      <c r="AQ46" s="89" t="s">
        <v>360</v>
      </c>
    </row>
    <row r="47" spans="1:43" ht="18" x14ac:dyDescent="0.4">
      <c r="A47" s="254"/>
      <c r="B47" s="587" t="s">
        <v>151</v>
      </c>
      <c r="C47" s="588"/>
      <c r="D47" s="32"/>
      <c r="E47" s="32"/>
      <c r="F47" s="32"/>
      <c r="G47" s="32"/>
      <c r="H47" s="86"/>
      <c r="I47" s="32"/>
      <c r="J47" s="32"/>
      <c r="K47" s="32"/>
      <c r="L47" s="32"/>
      <c r="M47" s="86"/>
      <c r="N47" s="32"/>
      <c r="O47" s="32"/>
      <c r="P47" s="32"/>
      <c r="Q47" s="30"/>
      <c r="R47" s="89"/>
      <c r="S47" s="30"/>
      <c r="T47" s="30"/>
      <c r="U47" s="30"/>
      <c r="V47" s="30"/>
      <c r="W47" s="89"/>
      <c r="X47" s="30"/>
      <c r="Y47" s="30"/>
      <c r="Z47" s="30"/>
      <c r="AA47" s="30"/>
      <c r="AB47" s="89"/>
      <c r="AC47" s="30"/>
      <c r="AD47" s="30"/>
      <c r="AE47" s="30"/>
      <c r="AF47" s="30"/>
      <c r="AG47" s="89"/>
      <c r="AH47" s="30"/>
      <c r="AI47" s="30"/>
      <c r="AJ47" s="30"/>
      <c r="AK47" s="30"/>
      <c r="AL47" s="89"/>
      <c r="AM47" s="30"/>
      <c r="AN47" s="30"/>
      <c r="AO47" s="30"/>
      <c r="AP47" s="30"/>
      <c r="AQ47" s="89"/>
    </row>
    <row r="48" spans="1:43" s="20" customFormat="1" outlineLevel="1" x14ac:dyDescent="0.25">
      <c r="A48" s="269"/>
      <c r="B48" s="589" t="s">
        <v>153</v>
      </c>
      <c r="C48" s="590"/>
      <c r="D48" s="41">
        <v>9777</v>
      </c>
      <c r="E48" s="41">
        <v>9776</v>
      </c>
      <c r="F48" s="283">
        <v>9857</v>
      </c>
      <c r="G48" s="41">
        <v>9974</v>
      </c>
      <c r="H48" s="178"/>
      <c r="I48" s="41">
        <v>10020</v>
      </c>
      <c r="J48" s="41">
        <v>10051</v>
      </c>
      <c r="K48" s="41">
        <v>10017</v>
      </c>
      <c r="L48" s="41">
        <v>10109</v>
      </c>
      <c r="M48" s="178"/>
      <c r="N48" s="41">
        <v>10029</v>
      </c>
      <c r="O48" s="41">
        <f>+N48+O49</f>
        <v>9820</v>
      </c>
      <c r="P48" s="41">
        <f t="shared" ref="P48:Q48" si="72">+O48+P49</f>
        <v>9860</v>
      </c>
      <c r="Q48" s="41">
        <f t="shared" si="72"/>
        <v>9985</v>
      </c>
      <c r="R48" s="479">
        <f>Q48</f>
        <v>9985</v>
      </c>
      <c r="S48" s="41">
        <f>+Q48+S49</f>
        <v>9954</v>
      </c>
      <c r="T48" s="41">
        <f>+S48+T49</f>
        <v>9935.25</v>
      </c>
      <c r="U48" s="41">
        <f t="shared" ref="U48:V48" si="73">+T48+U49</f>
        <v>9964.0625</v>
      </c>
      <c r="V48" s="41">
        <f t="shared" si="73"/>
        <v>9990.078125</v>
      </c>
      <c r="W48" s="479">
        <f>V48</f>
        <v>9990.078125</v>
      </c>
      <c r="X48" s="41">
        <f>+V48+X49</f>
        <v>10064.784482421876</v>
      </c>
      <c r="Y48" s="41">
        <f>+X48+Y49</f>
        <v>10139.490839843751</v>
      </c>
      <c r="Z48" s="41">
        <f t="shared" ref="Z48:AA48" si="74">+Y48+Z49</f>
        <v>10214.197197265627</v>
      </c>
      <c r="AA48" s="41">
        <f t="shared" si="74"/>
        <v>10288.903554687502</v>
      </c>
      <c r="AB48" s="479">
        <f>AA48</f>
        <v>10288.903554687502</v>
      </c>
      <c r="AC48" s="41">
        <f>+AA48+AC49</f>
        <v>10365.229884826662</v>
      </c>
      <c r="AD48" s="41">
        <f>+AC48+AD49</f>
        <v>10441.556214965822</v>
      </c>
      <c r="AE48" s="41">
        <f t="shared" ref="AE48:AF48" si="75">+AD48+AE49</f>
        <v>10517.882545104982</v>
      </c>
      <c r="AF48" s="41">
        <f t="shared" si="75"/>
        <v>10594.208875244141</v>
      </c>
      <c r="AG48" s="479">
        <f>AF48</f>
        <v>10594.208875244141</v>
      </c>
      <c r="AH48" s="41">
        <f>+AF48+AH49</f>
        <v>10670.535205383301</v>
      </c>
      <c r="AI48" s="41">
        <f>+AH48+AI49</f>
        <v>10746.861535522461</v>
      </c>
      <c r="AJ48" s="41">
        <f t="shared" ref="AJ48:AK48" si="76">+AI48+AJ49</f>
        <v>10823.187865661621</v>
      </c>
      <c r="AK48" s="41">
        <f t="shared" si="76"/>
        <v>10899.514195800781</v>
      </c>
      <c r="AL48" s="479">
        <f>AK48</f>
        <v>10899.514195800781</v>
      </c>
      <c r="AM48" s="41">
        <f>+AK48+AM49</f>
        <v>10975.840525939941</v>
      </c>
      <c r="AN48" s="41">
        <f>+AM48+AN49</f>
        <v>11052.1668560791</v>
      </c>
      <c r="AO48" s="41">
        <f t="shared" ref="AO48:AP48" si="77">+AN48+AO49</f>
        <v>11128.49318621826</v>
      </c>
      <c r="AP48" s="41">
        <f t="shared" si="77"/>
        <v>11204.81951635742</v>
      </c>
      <c r="AQ48" s="479">
        <f>AP48</f>
        <v>11204.81951635742</v>
      </c>
    </row>
    <row r="49" spans="1:43" outlineLevel="1" x14ac:dyDescent="0.25">
      <c r="A49" s="254"/>
      <c r="B49" s="466" t="s">
        <v>158</v>
      </c>
      <c r="C49" s="556"/>
      <c r="D49" s="256">
        <f>+D48-9690</f>
        <v>87</v>
      </c>
      <c r="E49" s="256">
        <f>E48-D48</f>
        <v>-1</v>
      </c>
      <c r="F49" s="256">
        <f t="shared" ref="F49:G49" si="78">F48-E48</f>
        <v>81</v>
      </c>
      <c r="G49" s="256">
        <f t="shared" si="78"/>
        <v>117</v>
      </c>
      <c r="H49" s="291">
        <f>+SUM(D49:G49)</f>
        <v>284</v>
      </c>
      <c r="I49" s="256">
        <f>I48-G48</f>
        <v>46</v>
      </c>
      <c r="J49" s="256">
        <f t="shared" ref="J49" si="79">J48-I48</f>
        <v>31</v>
      </c>
      <c r="K49" s="256">
        <f>K48-J48</f>
        <v>-34</v>
      </c>
      <c r="L49" s="256">
        <f>L48-K48</f>
        <v>92</v>
      </c>
      <c r="M49" s="291">
        <f>+SUM(I49:L49)</f>
        <v>135</v>
      </c>
      <c r="N49" s="256">
        <v>-80</v>
      </c>
      <c r="O49" s="256">
        <v>-209</v>
      </c>
      <c r="P49" s="256">
        <v>40</v>
      </c>
      <c r="Q49" s="63">
        <v>125</v>
      </c>
      <c r="R49" s="50">
        <f>+SUM(N49:Q49)</f>
        <v>-124</v>
      </c>
      <c r="S49" s="63">
        <f>AVERAGE(N49,O49,P49,Q49)</f>
        <v>-31</v>
      </c>
      <c r="T49" s="63">
        <f>AVERAGE(O49,P49,Q49,S49)</f>
        <v>-18.75</v>
      </c>
      <c r="U49" s="63">
        <f>AVERAGE(P49,Q49,S49,T49)</f>
        <v>28.8125</v>
      </c>
      <c r="V49" s="63">
        <f>AVERAGE(Q49,S49,T49,U49)</f>
        <v>26.015625</v>
      </c>
      <c r="W49" s="50">
        <f>+SUM(S49:V49)</f>
        <v>5.078125</v>
      </c>
      <c r="X49" s="63">
        <f>0.03/4*AVERAGE(S48:V48)</f>
        <v>74.706357421874998</v>
      </c>
      <c r="Y49" s="63">
        <f>0.03/4*AVERAGE(S48:V48)</f>
        <v>74.706357421874998</v>
      </c>
      <c r="Z49" s="63">
        <f>0.03/4*AVERAGE(S48:V48)</f>
        <v>74.706357421874998</v>
      </c>
      <c r="AA49" s="63">
        <f>0.03/4*AVERAGE(S48:V48)</f>
        <v>74.706357421874998</v>
      </c>
      <c r="AB49" s="50">
        <f>+SUM(X49:AA49)</f>
        <v>298.82542968749999</v>
      </c>
      <c r="AC49" s="63">
        <f>0.03/4*AVERAGE(X48:AA48)</f>
        <v>76.326330139160163</v>
      </c>
      <c r="AD49" s="63">
        <f>0.03/4*AVERAGE(X48:AA48)</f>
        <v>76.326330139160163</v>
      </c>
      <c r="AE49" s="63">
        <f>0.03/4*AVERAGE(X48:AA48)</f>
        <v>76.326330139160163</v>
      </c>
      <c r="AF49" s="63">
        <f>0.03/4*AVERAGE(X48:AA48)</f>
        <v>76.326330139160163</v>
      </c>
      <c r="AG49" s="50">
        <f>+SUM(AC49:AF49)</f>
        <v>305.30532055664065</v>
      </c>
      <c r="AH49" s="63">
        <f>AVERAGE(AC49,AD49,AE49,AF49)</f>
        <v>76.326330139160163</v>
      </c>
      <c r="AI49" s="63">
        <f>AVERAGE(AD49,AE49,AF49,AH49)</f>
        <v>76.326330139160163</v>
      </c>
      <c r="AJ49" s="63">
        <f>AVERAGE(AE49,AF49,AH49,AI49)</f>
        <v>76.326330139160163</v>
      </c>
      <c r="AK49" s="63">
        <f>AVERAGE(AF49,AH49,AI49,AJ49)</f>
        <v>76.326330139160163</v>
      </c>
      <c r="AL49" s="50">
        <f>+SUM(AH49:AK49)</f>
        <v>305.30532055664065</v>
      </c>
      <c r="AM49" s="63">
        <f>AVERAGE(AH49,AI49,AJ49,AK49)</f>
        <v>76.326330139160163</v>
      </c>
      <c r="AN49" s="63">
        <f>AVERAGE(AI49,AJ49,AK49,AM49)</f>
        <v>76.326330139160163</v>
      </c>
      <c r="AO49" s="63">
        <f>AVERAGE(AJ49,AK49,AM49,AN49)</f>
        <v>76.326330139160163</v>
      </c>
      <c r="AP49" s="63">
        <f>AVERAGE(AK49,AM49,AN49,AO49)</f>
        <v>76.326330139160163</v>
      </c>
      <c r="AQ49" s="50">
        <f>+SUM(AM49:AP49)</f>
        <v>305.30532055664065</v>
      </c>
    </row>
    <row r="50" spans="1:43" s="186" customFormat="1" outlineLevel="1" x14ac:dyDescent="0.25">
      <c r="A50" s="272"/>
      <c r="B50" s="187" t="s">
        <v>159</v>
      </c>
      <c r="C50" s="188"/>
      <c r="D50" s="190">
        <v>9527</v>
      </c>
      <c r="E50" s="190">
        <v>9499</v>
      </c>
      <c r="F50" s="190">
        <v>9594</v>
      </c>
      <c r="G50" s="190">
        <v>9690</v>
      </c>
      <c r="H50" s="191"/>
      <c r="I50" s="190">
        <f>D48</f>
        <v>9777</v>
      </c>
      <c r="J50" s="190">
        <f>E48</f>
        <v>9776</v>
      </c>
      <c r="K50" s="190">
        <f>F48</f>
        <v>9857</v>
      </c>
      <c r="L50" s="190">
        <f>G48</f>
        <v>9974</v>
      </c>
      <c r="M50" s="316"/>
      <c r="N50" s="190">
        <f>I48</f>
        <v>10020</v>
      </c>
      <c r="O50" s="190">
        <f>J48</f>
        <v>10051</v>
      </c>
      <c r="P50" s="190">
        <f>K48</f>
        <v>10017</v>
      </c>
      <c r="Q50" s="190">
        <f>L48</f>
        <v>10109</v>
      </c>
      <c r="R50" s="191"/>
      <c r="S50" s="190">
        <f>N48</f>
        <v>10029</v>
      </c>
      <c r="T50" s="190">
        <f>O48</f>
        <v>9820</v>
      </c>
      <c r="U50" s="190">
        <f>P48</f>
        <v>9860</v>
      </c>
      <c r="V50" s="190">
        <f>Q48</f>
        <v>9985</v>
      </c>
      <c r="W50" s="191"/>
      <c r="X50" s="190">
        <f>+AVERAGE(X48,V48,U48,T48)</f>
        <v>9988.5437768554693</v>
      </c>
      <c r="Y50" s="190">
        <f>+AVERAGE(Y48,X48,V48,U48)</f>
        <v>10039.603986816406</v>
      </c>
      <c r="Z50" s="190">
        <f>+AVERAGE(Z48,Y48,X48,V48)</f>
        <v>10102.137661132814</v>
      </c>
      <c r="AA50" s="190">
        <f>+AVERAGE(AA48,Z48,Y48,X48)</f>
        <v>10176.844018554688</v>
      </c>
      <c r="AB50" s="191"/>
      <c r="AC50" s="190">
        <f>+AVERAGE(AC48,AA48,Z48,Y48)</f>
        <v>10251.955369155887</v>
      </c>
      <c r="AD50" s="190">
        <f>+AVERAGE(AD48,AC48,AA48,Z48)</f>
        <v>10327.471712936403</v>
      </c>
      <c r="AE50" s="190">
        <f>+AVERAGE(AE48,AD48,AC48,AA48)</f>
        <v>10403.393049896242</v>
      </c>
      <c r="AF50" s="190">
        <f>+AVERAGE(AF48,AE48,AD48,AC48)</f>
        <v>10479.719380035402</v>
      </c>
      <c r="AG50" s="191"/>
      <c r="AH50" s="190">
        <f>+AVERAGE(AH48,AF48,AE48,AD48)</f>
        <v>10556.045710174561</v>
      </c>
      <c r="AI50" s="190">
        <f>+AVERAGE(AI48,AH48,AF48,AE48)</f>
        <v>10632.372040313721</v>
      </c>
      <c r="AJ50" s="190">
        <f>+AVERAGE(AJ48,AI48,AH48,AF48)</f>
        <v>10708.698370452881</v>
      </c>
      <c r="AK50" s="190">
        <f>+AVERAGE(AK48,AJ48,AI48,AH48)</f>
        <v>10785.024700592041</v>
      </c>
      <c r="AL50" s="191"/>
      <c r="AM50" s="190">
        <f>+AVERAGE(AM48,AK48,AJ48,AI48)</f>
        <v>10861.351030731201</v>
      </c>
      <c r="AN50" s="190">
        <f>+AVERAGE(AN48,AM48,AK48,AJ48)</f>
        <v>10937.677360870359</v>
      </c>
      <c r="AO50" s="190">
        <f>+AVERAGE(AO48,AN48,AM48,AK48)</f>
        <v>11014.00369100952</v>
      </c>
      <c r="AP50" s="190">
        <f>+AVERAGE(AP48,AO48,AN48,AM48)</f>
        <v>11090.330021148682</v>
      </c>
      <c r="AQ50" s="191"/>
    </row>
    <row r="51" spans="1:43" s="186" customFormat="1" outlineLevel="1" x14ac:dyDescent="0.25">
      <c r="A51" s="272"/>
      <c r="B51" s="187" t="s">
        <v>160</v>
      </c>
      <c r="C51" s="188"/>
      <c r="D51" s="192">
        <v>0.42069471068107506</v>
      </c>
      <c r="E51" s="192">
        <v>0.39562181698744753</v>
      </c>
      <c r="F51" s="192">
        <v>0.42259741164000009</v>
      </c>
      <c r="G51" s="192">
        <v>0.4146794606933184</v>
      </c>
      <c r="H51" s="345"/>
      <c r="I51" s="192">
        <v>0.44327906252530785</v>
      </c>
      <c r="J51" s="192">
        <v>0.37960289685783705</v>
      </c>
      <c r="K51" s="192">
        <v>0.26042101009888236</v>
      </c>
      <c r="L51" s="192">
        <f>+G51*(1+L54)</f>
        <v>0.37735830923091979</v>
      </c>
      <c r="M51" s="346"/>
      <c r="N51" s="192">
        <f>+I51*(1+N54)</f>
        <v>0.41668231877378936</v>
      </c>
      <c r="O51" s="192">
        <f>+J51*(1+O54)</f>
        <v>0.4137671575750424</v>
      </c>
      <c r="P51" s="192">
        <f t="shared" ref="P51:Q51" si="80">+K51*(1+P54)</f>
        <v>0.47917465858194347</v>
      </c>
      <c r="Q51" s="192">
        <f t="shared" si="80"/>
        <v>0.47169788653864975</v>
      </c>
      <c r="R51" s="191"/>
      <c r="S51" s="192">
        <f>+N51*(1+S54)</f>
        <v>0.47501784340211994</v>
      </c>
      <c r="T51" s="192">
        <f>+O51*(1+T54)</f>
        <v>0.4716945596355484</v>
      </c>
      <c r="U51" s="192">
        <f t="shared" ref="U51:V51" si="81">+P51*(1+U54)</f>
        <v>0.53667561761177673</v>
      </c>
      <c r="V51" s="192">
        <f t="shared" si="81"/>
        <v>0.51415069632712829</v>
      </c>
      <c r="W51" s="191"/>
      <c r="X51" s="192">
        <f>+S51*(1+X54)</f>
        <v>0.49876873557222595</v>
      </c>
      <c r="Y51" s="192">
        <f>+T51*(1+Y54)</f>
        <v>0.49527928761732587</v>
      </c>
      <c r="Z51" s="192">
        <f t="shared" ref="Z51:AA51" si="82">+U51*(1+Z54)</f>
        <v>0.56082602040430662</v>
      </c>
      <c r="AA51" s="192">
        <f t="shared" si="82"/>
        <v>0.53728747766184903</v>
      </c>
      <c r="AB51" s="191"/>
      <c r="AC51" s="192">
        <f>+X51*(1+AC54)</f>
        <v>0.5237071723508373</v>
      </c>
      <c r="AD51" s="192">
        <f>+Y51*(1+AD54)</f>
        <v>0.52004325199819224</v>
      </c>
      <c r="AE51" s="192">
        <f t="shared" ref="AE51:AF51" si="83">+Z51*(1+AE54)</f>
        <v>0.5860631913225004</v>
      </c>
      <c r="AF51" s="192">
        <f t="shared" si="83"/>
        <v>0.558778976768323</v>
      </c>
      <c r="AG51" s="191"/>
      <c r="AH51" s="192">
        <f>+AC51*(1+AH54)</f>
        <v>0.54727399510662489</v>
      </c>
      <c r="AI51" s="192">
        <f>+AD51*(1+AI54)</f>
        <v>0.54344519833811089</v>
      </c>
      <c r="AJ51" s="192">
        <f t="shared" ref="AJ51:AK51" si="84">+AE51*(1+AJ54)</f>
        <v>0.6095057189754004</v>
      </c>
      <c r="AK51" s="192">
        <f t="shared" si="84"/>
        <v>0.58113013583905593</v>
      </c>
      <c r="AL51" s="191"/>
      <c r="AM51" s="192">
        <f>+AH51*(1+AM54)</f>
        <v>0.56916495491088992</v>
      </c>
      <c r="AN51" s="192">
        <f>+AI51*(1+AN54)</f>
        <v>0.56518300627163531</v>
      </c>
      <c r="AO51" s="192">
        <f t="shared" ref="AO51:AP51" si="85">+AJ51*(1+AO54)</f>
        <v>0.63388594773441642</v>
      </c>
      <c r="AP51" s="192">
        <f t="shared" si="85"/>
        <v>0.60437534127261816</v>
      </c>
      <c r="AQ51" s="191"/>
    </row>
    <row r="52" spans="1:43" outlineLevel="1" x14ac:dyDescent="0.25">
      <c r="A52" s="254"/>
      <c r="B52" s="550" t="s">
        <v>156</v>
      </c>
      <c r="C52" s="551"/>
      <c r="D52" s="285">
        <v>0.04</v>
      </c>
      <c r="E52" s="285">
        <v>0</v>
      </c>
      <c r="F52" s="285">
        <v>0.03</v>
      </c>
      <c r="G52" s="285">
        <v>0.03</v>
      </c>
      <c r="H52" s="311"/>
      <c r="I52" s="285">
        <v>0.02</v>
      </c>
      <c r="J52" s="285">
        <v>-7.0000000000000007E-2</v>
      </c>
      <c r="K52" s="285">
        <v>-0.53</v>
      </c>
      <c r="L52" s="56">
        <v>-0.25</v>
      </c>
      <c r="M52" s="311"/>
      <c r="N52" s="285">
        <v>-0.21</v>
      </c>
      <c r="O52" s="285">
        <v>-0.1</v>
      </c>
      <c r="P52" s="285">
        <v>0.82</v>
      </c>
      <c r="Q52" s="56"/>
      <c r="R52" s="54"/>
      <c r="S52" s="56"/>
      <c r="T52" s="56"/>
      <c r="U52" s="56"/>
      <c r="V52" s="56"/>
      <c r="W52" s="54"/>
      <c r="X52" s="56"/>
      <c r="Y52" s="56"/>
      <c r="Z52" s="56"/>
      <c r="AA52" s="56"/>
      <c r="AB52" s="54"/>
      <c r="AC52" s="56"/>
      <c r="AD52" s="56"/>
      <c r="AE52" s="56"/>
      <c r="AF52" s="56"/>
      <c r="AG52" s="54"/>
      <c r="AH52" s="56"/>
      <c r="AI52" s="56"/>
      <c r="AJ52" s="56"/>
      <c r="AK52" s="56"/>
      <c r="AL52" s="54"/>
      <c r="AM52" s="56"/>
      <c r="AN52" s="56"/>
      <c r="AO52" s="56"/>
      <c r="AP52" s="56"/>
      <c r="AQ52" s="54"/>
    </row>
    <row r="53" spans="1:43" outlineLevel="1" x14ac:dyDescent="0.25">
      <c r="A53" s="254"/>
      <c r="B53" s="550" t="s">
        <v>155</v>
      </c>
      <c r="C53" s="551"/>
      <c r="D53" s="359">
        <v>0</v>
      </c>
      <c r="E53" s="359">
        <v>0.04</v>
      </c>
      <c r="F53" s="359">
        <v>0.04</v>
      </c>
      <c r="G53" s="359">
        <v>0.03</v>
      </c>
      <c r="H53" s="347"/>
      <c r="I53" s="359">
        <v>0.03</v>
      </c>
      <c r="J53" s="359">
        <v>0.05</v>
      </c>
      <c r="K53" s="359">
        <v>0.27</v>
      </c>
      <c r="L53" s="180">
        <v>0.21</v>
      </c>
      <c r="M53" s="347"/>
      <c r="N53" s="359">
        <v>0.2</v>
      </c>
      <c r="O53" s="359">
        <v>0.22</v>
      </c>
      <c r="P53" s="359">
        <v>0.01</v>
      </c>
      <c r="Q53" s="180"/>
      <c r="R53" s="181"/>
      <c r="S53" s="180"/>
      <c r="T53" s="180"/>
      <c r="U53" s="180"/>
      <c r="V53" s="180"/>
      <c r="W53" s="181"/>
      <c r="X53" s="180"/>
      <c r="Y53" s="180"/>
      <c r="Z53" s="180"/>
      <c r="AA53" s="180"/>
      <c r="AB53" s="181"/>
      <c r="AC53" s="180"/>
      <c r="AD53" s="180"/>
      <c r="AE53" s="180"/>
      <c r="AF53" s="180"/>
      <c r="AG53" s="181"/>
      <c r="AH53" s="180"/>
      <c r="AI53" s="180"/>
      <c r="AJ53" s="180"/>
      <c r="AK53" s="180"/>
      <c r="AL53" s="181"/>
      <c r="AM53" s="180"/>
      <c r="AN53" s="180"/>
      <c r="AO53" s="180"/>
      <c r="AP53" s="180"/>
      <c r="AQ53" s="181"/>
    </row>
    <row r="54" spans="1:43" s="40" customFormat="1" outlineLevel="1" x14ac:dyDescent="0.25">
      <c r="A54" s="324"/>
      <c r="B54" s="552" t="s">
        <v>157</v>
      </c>
      <c r="C54" s="546"/>
      <c r="D54" s="360">
        <v>0.04</v>
      </c>
      <c r="E54" s="360">
        <v>4.2999999999999997E-2</v>
      </c>
      <c r="F54" s="361">
        <v>7.0000000000000007E-2</v>
      </c>
      <c r="G54" s="360">
        <v>0.06</v>
      </c>
      <c r="H54" s="322"/>
      <c r="I54" s="360">
        <v>0.06</v>
      </c>
      <c r="J54" s="360">
        <v>-0.03</v>
      </c>
      <c r="K54" s="360">
        <v>-0.41</v>
      </c>
      <c r="L54" s="366">
        <v>-0.09</v>
      </c>
      <c r="M54" s="348"/>
      <c r="N54" s="366">
        <v>-0.06</v>
      </c>
      <c r="O54" s="366">
        <v>0.09</v>
      </c>
      <c r="P54" s="360">
        <v>0.84</v>
      </c>
      <c r="Q54" s="492">
        <v>0.25</v>
      </c>
      <c r="R54" s="182"/>
      <c r="S54" s="184">
        <v>0.14000000000000001</v>
      </c>
      <c r="T54" s="184">
        <v>0.14000000000000001</v>
      </c>
      <c r="U54" s="184">
        <v>0.12</v>
      </c>
      <c r="V54" s="184">
        <v>0.09</v>
      </c>
      <c r="W54" s="182"/>
      <c r="X54" s="489">
        <v>0.05</v>
      </c>
      <c r="Y54" s="489">
        <v>0.05</v>
      </c>
      <c r="Z54" s="489">
        <v>4.4999999999999998E-2</v>
      </c>
      <c r="AA54" s="489">
        <v>4.4999999999999998E-2</v>
      </c>
      <c r="AB54" s="182"/>
      <c r="AC54" s="489">
        <v>0.05</v>
      </c>
      <c r="AD54" s="489">
        <v>0.05</v>
      </c>
      <c r="AE54" s="489">
        <v>4.4999999999999998E-2</v>
      </c>
      <c r="AF54" s="489">
        <v>0.04</v>
      </c>
      <c r="AG54" s="182"/>
      <c r="AH54" s="559">
        <v>4.4999999999999998E-2</v>
      </c>
      <c r="AI54" s="559">
        <v>4.4999999999999998E-2</v>
      </c>
      <c r="AJ54" s="184">
        <v>0.04</v>
      </c>
      <c r="AK54" s="184">
        <v>0.04</v>
      </c>
      <c r="AL54" s="182"/>
      <c r="AM54" s="184">
        <v>0.04</v>
      </c>
      <c r="AN54" s="184">
        <v>0.04</v>
      </c>
      <c r="AO54" s="184">
        <v>0.04</v>
      </c>
      <c r="AP54" s="184">
        <v>0.04</v>
      </c>
      <c r="AQ54" s="182"/>
    </row>
    <row r="55" spans="1:43" ht="17.25" outlineLevel="1" x14ac:dyDescent="0.4">
      <c r="A55" s="254"/>
      <c r="B55" s="166" t="s">
        <v>186</v>
      </c>
      <c r="C55" s="551"/>
      <c r="D55" s="61">
        <v>84</v>
      </c>
      <c r="E55" s="61">
        <v>92</v>
      </c>
      <c r="F55" s="61">
        <v>128</v>
      </c>
      <c r="G55" s="61">
        <v>146</v>
      </c>
      <c r="H55" s="18"/>
      <c r="I55" s="61">
        <v>137</v>
      </c>
      <c r="J55" s="61">
        <v>153</v>
      </c>
      <c r="K55" s="61">
        <v>2</v>
      </c>
      <c r="L55" s="61">
        <v>112</v>
      </c>
      <c r="M55" s="18"/>
      <c r="N55" s="61">
        <v>110</v>
      </c>
      <c r="O55" s="61">
        <v>110</v>
      </c>
      <c r="P55" s="61">
        <v>130</v>
      </c>
      <c r="Q55" s="490">
        <f>P55+(500*0.8)</f>
        <v>530</v>
      </c>
      <c r="R55" s="18"/>
      <c r="S55" s="61">
        <v>125</v>
      </c>
      <c r="T55" s="61">
        <v>125</v>
      </c>
      <c r="U55" s="61">
        <v>125</v>
      </c>
      <c r="V55" s="61">
        <v>125</v>
      </c>
      <c r="W55" s="18"/>
      <c r="X55" s="61">
        <v>200</v>
      </c>
      <c r="Y55" s="61">
        <v>200</v>
      </c>
      <c r="Z55" s="61">
        <v>200</v>
      </c>
      <c r="AA55" s="61">
        <v>200</v>
      </c>
      <c r="AB55" s="18"/>
      <c r="AC55" s="61">
        <f>AVERAGE(AA55,Z55,Y55,X55)</f>
        <v>200</v>
      </c>
      <c r="AD55" s="61">
        <f>AVERAGE(AC55,AA55,Z55,Y55)</f>
        <v>200</v>
      </c>
      <c r="AE55" s="61">
        <f>AVERAGE(AD55,AC55,AA55,Z55)</f>
        <v>200</v>
      </c>
      <c r="AF55" s="61">
        <f>AVERAGE(AE55,AD55,AC55,AA55)</f>
        <v>200</v>
      </c>
      <c r="AG55" s="18"/>
      <c r="AH55" s="61">
        <f>AVERAGE(AF55,AE55,AD55,AC55)</f>
        <v>200</v>
      </c>
      <c r="AI55" s="61">
        <f>AVERAGE(AH55,AF55,AE55,AD55)</f>
        <v>200</v>
      </c>
      <c r="AJ55" s="61">
        <f>AVERAGE(AI55,AH55,AF55,AE55)</f>
        <v>200</v>
      </c>
      <c r="AK55" s="61">
        <f>AVERAGE(AJ55,AI55,AH55,AF55)</f>
        <v>200</v>
      </c>
      <c r="AL55" s="18"/>
      <c r="AM55" s="61">
        <f>AVERAGE(AK55,AJ55,AI55,AH55)</f>
        <v>200</v>
      </c>
      <c r="AN55" s="61">
        <f>AVERAGE(AM55,AK55,AJ55,AI55)</f>
        <v>200</v>
      </c>
      <c r="AO55" s="61">
        <f>AVERAGE(AN55,AM55,AK55,AJ55)</f>
        <v>200</v>
      </c>
      <c r="AP55" s="61">
        <f>AVERAGE(AO55,AN55,AM55,AK55)</f>
        <v>200</v>
      </c>
      <c r="AQ55" s="18"/>
    </row>
    <row r="56" spans="1:43" s="20" customFormat="1" outlineLevel="1" x14ac:dyDescent="0.25">
      <c r="A56" s="269"/>
      <c r="B56" s="585" t="s">
        <v>168</v>
      </c>
      <c r="C56" s="586"/>
      <c r="D56" s="171">
        <v>4092.2</v>
      </c>
      <c r="E56" s="171">
        <v>3849.6</v>
      </c>
      <c r="F56" s="171">
        <v>4182.2</v>
      </c>
      <c r="G56" s="171">
        <v>4164.2</v>
      </c>
      <c r="H56" s="239">
        <f>SUM(D56:G56)</f>
        <v>16288.2</v>
      </c>
      <c r="I56" s="171">
        <v>4471</v>
      </c>
      <c r="J56" s="171">
        <v>3863.6</v>
      </c>
      <c r="K56" s="259">
        <v>2568.9</v>
      </c>
      <c r="L56" s="171">
        <v>3875.3</v>
      </c>
      <c r="M56" s="239">
        <f>SUM(I56:L56)</f>
        <v>14778.8</v>
      </c>
      <c r="N56" s="171">
        <v>4284.8</v>
      </c>
      <c r="O56" s="171">
        <v>4268.3999999999996</v>
      </c>
      <c r="P56" s="171">
        <v>4929.8</v>
      </c>
      <c r="Q56" s="171">
        <f t="shared" ref="Q56" si="86">+Q50*Q51+Q55</f>
        <v>5298.3939350192104</v>
      </c>
      <c r="R56" s="239">
        <f>SUM(N56:Q56)</f>
        <v>18781.393935019209</v>
      </c>
      <c r="S56" s="171">
        <f>+S50*S51+S55</f>
        <v>4888.9539514798607</v>
      </c>
      <c r="T56" s="171">
        <f>+T50*T51+T55</f>
        <v>4757.0405756210857</v>
      </c>
      <c r="U56" s="171">
        <f t="shared" ref="U56:V56" si="87">+U50*U51+U55</f>
        <v>5416.6215896521189</v>
      </c>
      <c r="V56" s="171">
        <f t="shared" si="87"/>
        <v>5258.7947028263761</v>
      </c>
      <c r="W56" s="239">
        <f>SUM(S56:V56)</f>
        <v>20321.41081957944</v>
      </c>
      <c r="X56" s="171">
        <f>+X50*X51+X55</f>
        <v>5181.9733497900288</v>
      </c>
      <c r="Y56" s="171">
        <f>+Y50*Y51+Y55</f>
        <v>5172.4079105504943</v>
      </c>
      <c r="Z56" s="171">
        <f t="shared" ref="Z56:AA56" si="88">+Z50*Z51+Z55</f>
        <v>5865.541662069586</v>
      </c>
      <c r="AA56" s="171">
        <f t="shared" si="88"/>
        <v>5667.8908532873238</v>
      </c>
      <c r="AB56" s="239">
        <f>SUM(X56:AA56)</f>
        <v>21887.813775697436</v>
      </c>
      <c r="AC56" s="171">
        <f>+AC50*AC51+AC55</f>
        <v>5569.0225574476135</v>
      </c>
      <c r="AD56" s="171">
        <f>+AD50*AD51+AD55</f>
        <v>5570.7319745147879</v>
      </c>
      <c r="AE56" s="171">
        <f t="shared" ref="AE56:AF56" si="89">+AE50*AE51+AE55</f>
        <v>6297.0457314045125</v>
      </c>
      <c r="AF56" s="171">
        <f t="shared" si="89"/>
        <v>6055.8468719953462</v>
      </c>
      <c r="AG56" s="239">
        <f>SUM(AC56:AF56)</f>
        <v>23492.647135362258</v>
      </c>
      <c r="AH56" s="171">
        <f>+AH50*AH51+AH55</f>
        <v>5977.0493083353813</v>
      </c>
      <c r="AI56" s="171">
        <f>+AI50*AI51+AI55</f>
        <v>5978.1115322528749</v>
      </c>
      <c r="AJ56" s="171">
        <f t="shared" ref="AJ56:AK56" si="90">+AJ50*AJ51+AJ55</f>
        <v>6727.0128995735822</v>
      </c>
      <c r="AK56" s="171">
        <f t="shared" si="90"/>
        <v>6467.5028692826263</v>
      </c>
      <c r="AL56" s="239">
        <f>SUM(AH56:AK56)</f>
        <v>25149.676609444465</v>
      </c>
      <c r="AM56" s="171">
        <f>+AM50*AM51+AM55</f>
        <v>6381.9003696774716</v>
      </c>
      <c r="AN56" s="171">
        <f>+AN50*AN51+AN55</f>
        <v>6381.7893724459154</v>
      </c>
      <c r="AO56" s="171">
        <f t="shared" ref="AO56:AP56" si="91">+AO50*AO51+AO55</f>
        <v>7181.6221680259305</v>
      </c>
      <c r="AP56" s="171">
        <f t="shared" si="91"/>
        <v>6902.7219913576973</v>
      </c>
      <c r="AQ56" s="239">
        <f>SUM(AM56:AP56)</f>
        <v>26848.033901507013</v>
      </c>
    </row>
    <row r="57" spans="1:43" s="20" customFormat="1" outlineLevel="1" x14ac:dyDescent="0.25">
      <c r="A57" s="269"/>
      <c r="B57" s="193" t="s">
        <v>163</v>
      </c>
      <c r="C57" s="546"/>
      <c r="D57" s="197">
        <f>+D56/D48</f>
        <v>0.41855374859363809</v>
      </c>
      <c r="E57" s="197">
        <f t="shared" ref="E57:G57" si="92">+E56/E48</f>
        <v>0.39378068739770866</v>
      </c>
      <c r="F57" s="197">
        <f t="shared" si="92"/>
        <v>0.42428730851171753</v>
      </c>
      <c r="G57" s="197">
        <f t="shared" si="92"/>
        <v>0.4175055143372769</v>
      </c>
      <c r="H57" s="183"/>
      <c r="I57" s="197">
        <f t="shared" ref="I57:L57" si="93">+I56/I48</f>
        <v>0.44620758483033934</v>
      </c>
      <c r="J57" s="197">
        <f t="shared" si="93"/>
        <v>0.38439956223261368</v>
      </c>
      <c r="K57" s="197">
        <f>+K56/K48</f>
        <v>0.25645402815214136</v>
      </c>
      <c r="L57" s="197">
        <f t="shared" si="93"/>
        <v>0.38335146898803046</v>
      </c>
      <c r="M57" s="183"/>
      <c r="N57" s="197">
        <f t="shared" ref="N57:Q57" si="94">+N56/N48</f>
        <v>0.42724100109681923</v>
      </c>
      <c r="O57" s="197">
        <f>+O56/O48</f>
        <v>0.43466395112016287</v>
      </c>
      <c r="P57" s="197">
        <f t="shared" si="94"/>
        <v>0.49997971602434077</v>
      </c>
      <c r="Q57" s="197">
        <f t="shared" si="94"/>
        <v>0.53063534652170363</v>
      </c>
      <c r="R57" s="183"/>
      <c r="S57" s="197">
        <f t="shared" ref="S57:V57" si="95">+S56/S48</f>
        <v>0.49115470679926271</v>
      </c>
      <c r="T57" s="197">
        <f t="shared" si="95"/>
        <v>0.47880431550500346</v>
      </c>
      <c r="U57" s="197">
        <f t="shared" si="95"/>
        <v>0.54361577816800311</v>
      </c>
      <c r="V57" s="197">
        <f t="shared" si="95"/>
        <v>0.52640175952841972</v>
      </c>
      <c r="W57" s="183"/>
      <c r="X57" s="197">
        <f t="shared" ref="X57:AA57" si="96">+X56/X48</f>
        <v>0.51486182926622359</v>
      </c>
      <c r="Y57" s="197">
        <f t="shared" si="96"/>
        <v>0.51012501438683688</v>
      </c>
      <c r="Z57" s="197">
        <f t="shared" si="96"/>
        <v>0.57425381053342206</v>
      </c>
      <c r="AA57" s="197">
        <f t="shared" si="96"/>
        <v>0.55087413572898158</v>
      </c>
      <c r="AB57" s="183"/>
      <c r="AC57" s="197">
        <f t="shared" ref="AC57:AF57" si="97">+AC56/AC48</f>
        <v>0.53727921322805705</v>
      </c>
      <c r="AD57" s="197">
        <f t="shared" si="97"/>
        <v>0.53351548943732063</v>
      </c>
      <c r="AE57" s="197">
        <f t="shared" si="97"/>
        <v>0.59869899710328622</v>
      </c>
      <c r="AF57" s="197">
        <f t="shared" si="97"/>
        <v>0.57161860251276109</v>
      </c>
      <c r="AG57" s="183"/>
      <c r="AH57" s="197">
        <f t="shared" ref="AH57:AK57" si="98">+AH56/AH48</f>
        <v>0.56014522170546333</v>
      </c>
      <c r="AI57" s="197">
        <f t="shared" si="98"/>
        <v>0.55626580025181716</v>
      </c>
      <c r="AJ57" s="197">
        <f t="shared" si="98"/>
        <v>0.62153710931288175</v>
      </c>
      <c r="AK57" s="197">
        <f t="shared" si="98"/>
        <v>0.59337533334965875</v>
      </c>
      <c r="AL57" s="183"/>
      <c r="AM57" s="197">
        <f t="shared" ref="AM57:AP57" si="99">+AM56/AM48</f>
        <v>0.58144980829438053</v>
      </c>
      <c r="AN57" s="197">
        <f t="shared" si="99"/>
        <v>0.5774242694260171</v>
      </c>
      <c r="AO57" s="197">
        <f t="shared" si="99"/>
        <v>0.64533643934111307</v>
      </c>
      <c r="AP57" s="197">
        <f t="shared" si="99"/>
        <v>0.61604936887030792</v>
      </c>
      <c r="AQ57" s="183"/>
    </row>
    <row r="58" spans="1:43" s="186" customFormat="1" outlineLevel="1" x14ac:dyDescent="0.25">
      <c r="A58" s="272"/>
      <c r="B58" s="193" t="s">
        <v>161</v>
      </c>
      <c r="C58" s="194"/>
      <c r="D58" s="189">
        <f>ROUND((+D56-D55-(D50*D51)),0)</f>
        <v>0</v>
      </c>
      <c r="E58" s="195">
        <f>ROUND((+E56-E55-(E50*E51)),0)</f>
        <v>0</v>
      </c>
      <c r="F58" s="275">
        <f>ROUND((+F56-F55-(F50*F51)),0)</f>
        <v>0</v>
      </c>
      <c r="G58" s="195">
        <f>ROUND((+G56-G55-(G50*G51)),0)</f>
        <v>0</v>
      </c>
      <c r="H58" s="196"/>
      <c r="I58" s="195">
        <f>ROUND((+I56-I55-(I50*I51)),0)</f>
        <v>0</v>
      </c>
      <c r="J58" s="195">
        <f>ROUND((+J56-J55-(J50*J51)),0)</f>
        <v>0</v>
      </c>
      <c r="K58" s="195">
        <f>ROUND((+K56-K55-(K50*K51)),0)</f>
        <v>0</v>
      </c>
      <c r="L58" s="195">
        <f>ROUND((+L56-L55-(L50*L51)),0)</f>
        <v>0</v>
      </c>
      <c r="M58" s="196"/>
      <c r="N58" s="195">
        <f>ROUND((+N56-N55-(N50*N51)),0)</f>
        <v>0</v>
      </c>
      <c r="O58" s="195">
        <f>ROUND((+O56-O55-(O50*O51)),0)</f>
        <v>0</v>
      </c>
      <c r="P58" s="195">
        <f>ROUND((+P56-P55-(P50*P51)),0)</f>
        <v>0</v>
      </c>
      <c r="Q58" s="195">
        <f>ROUND((+Q56-Q55-(Q50*Q51)),0)</f>
        <v>0</v>
      </c>
      <c r="R58" s="196"/>
      <c r="S58" s="195">
        <f>ROUND((+S56-S55-(S50*S51)),0)</f>
        <v>0</v>
      </c>
      <c r="T58" s="195">
        <f>ROUND((+T56-T55-(T50*T51)),0)</f>
        <v>0</v>
      </c>
      <c r="U58" s="195">
        <f>ROUND((+U56-U55-(U50*U51)),0)</f>
        <v>0</v>
      </c>
      <c r="V58" s="195">
        <f>ROUND((+V56-V55-(V50*V51)),0)</f>
        <v>0</v>
      </c>
      <c r="W58" s="196"/>
      <c r="X58" s="195">
        <f>ROUND((+X56-X55-(X50*X51)),0)</f>
        <v>0</v>
      </c>
      <c r="Y58" s="195">
        <f>ROUND((+Y56-Y55-(Y50*Y51)),0)</f>
        <v>0</v>
      </c>
      <c r="Z58" s="195">
        <f>ROUND((+Z56-Z55-(Z50*Z51)),0)</f>
        <v>0</v>
      </c>
      <c r="AA58" s="195">
        <f>ROUND((+AA56-AA55-(AA50*AA51)),0)</f>
        <v>0</v>
      </c>
      <c r="AB58" s="196"/>
      <c r="AC58" s="195">
        <f>ROUND((+AC56-AC55-(AC50*AC51)),0)</f>
        <v>0</v>
      </c>
      <c r="AD58" s="195">
        <f>ROUND((+AD56-AD55-(AD50*AD51)),0)</f>
        <v>0</v>
      </c>
      <c r="AE58" s="195">
        <f>ROUND((+AE56-AE55-(AE50*AE51)),0)</f>
        <v>0</v>
      </c>
      <c r="AF58" s="195">
        <f>ROUND((+AF56-AF55-(AF50*AF51)),0)</f>
        <v>0</v>
      </c>
      <c r="AG58" s="196"/>
      <c r="AH58" s="195">
        <f>ROUND((+AH56-AH55-(AH50*AH51)),0)</f>
        <v>0</v>
      </c>
      <c r="AI58" s="195">
        <f>ROUND((+AI56-AI55-(AI50*AI51)),0)</f>
        <v>0</v>
      </c>
      <c r="AJ58" s="195">
        <f>ROUND((+AJ56-AJ55-(AJ50*AJ51)),0)</f>
        <v>0</v>
      </c>
      <c r="AK58" s="195">
        <f>ROUND((+AK56-AK55-(AK50*AK51)),0)</f>
        <v>0</v>
      </c>
      <c r="AL58" s="196"/>
      <c r="AM58" s="195">
        <f>ROUND((+AM56-AM55-(AM50*AM51)),0)</f>
        <v>0</v>
      </c>
      <c r="AN58" s="195">
        <f>ROUND((+AN56-AN55-(AN50*AN51)),0)</f>
        <v>0</v>
      </c>
      <c r="AO58" s="195">
        <f>ROUND((+AO56-AO55-(AO50*AO51)),0)</f>
        <v>0</v>
      </c>
      <c r="AP58" s="195">
        <f>ROUND((+AP56-AP55-(AP50*AP51)),0)</f>
        <v>0</v>
      </c>
      <c r="AQ58" s="196"/>
    </row>
    <row r="59" spans="1:43" s="20" customFormat="1" outlineLevel="1" x14ac:dyDescent="0.25">
      <c r="A59" s="269"/>
      <c r="B59" s="603" t="s">
        <v>154</v>
      </c>
      <c r="C59" s="604"/>
      <c r="D59" s="198">
        <v>7876</v>
      </c>
      <c r="E59" s="198">
        <v>7943</v>
      </c>
      <c r="F59" s="284">
        <v>7996</v>
      </c>
      <c r="G59" s="198">
        <v>8093</v>
      </c>
      <c r="H59" s="199"/>
      <c r="I59" s="198">
        <v>8183</v>
      </c>
      <c r="J59" s="198">
        <v>8220</v>
      </c>
      <c r="K59" s="198">
        <v>8218</v>
      </c>
      <c r="L59" s="198">
        <v>8245</v>
      </c>
      <c r="M59" s="199"/>
      <c r="N59" s="198">
        <v>8279</v>
      </c>
      <c r="O59" s="198">
        <f>+N59+O60</f>
        <v>8300</v>
      </c>
      <c r="P59" s="198">
        <f t="shared" ref="P59:Q59" si="100">+O59+P60</f>
        <v>8315</v>
      </c>
      <c r="Q59" s="198">
        <f t="shared" si="100"/>
        <v>8369</v>
      </c>
      <c r="R59" s="480">
        <f>Q59</f>
        <v>8369</v>
      </c>
      <c r="S59" s="198">
        <f>+Q59+S60</f>
        <v>8400</v>
      </c>
      <c r="T59" s="198">
        <f>+S59+T60</f>
        <v>8430.25</v>
      </c>
      <c r="U59" s="198">
        <f t="shared" ref="U59:V59" si="101">+T59+U60</f>
        <v>8462.8125</v>
      </c>
      <c r="V59" s="198">
        <f t="shared" si="101"/>
        <v>8499.765625</v>
      </c>
      <c r="W59" s="480">
        <f>V59</f>
        <v>8499.765625</v>
      </c>
      <c r="X59" s="198">
        <f>+V59+X60</f>
        <v>8563.1271777343754</v>
      </c>
      <c r="Y59" s="198">
        <f>+X59+Y60</f>
        <v>8626.4887304687509</v>
      </c>
      <c r="Z59" s="198">
        <f t="shared" ref="Z59:AA59" si="102">+Y59+Z60</f>
        <v>8689.8502832031263</v>
      </c>
      <c r="AA59" s="198">
        <f t="shared" si="102"/>
        <v>8753.2118359375017</v>
      </c>
      <c r="AB59" s="480">
        <f>AA59</f>
        <v>8753.2118359375017</v>
      </c>
      <c r="AC59" s="198">
        <f>+AA59+AC60</f>
        <v>8818.1481072387705</v>
      </c>
      <c r="AD59" s="198">
        <f>+AC59+AD60</f>
        <v>8883.0843785400393</v>
      </c>
      <c r="AE59" s="198">
        <f t="shared" ref="AE59:AF59" si="103">+AD59+AE60</f>
        <v>8948.0206498413081</v>
      </c>
      <c r="AF59" s="198">
        <f t="shared" si="103"/>
        <v>9012.9569211425769</v>
      </c>
      <c r="AG59" s="480">
        <f>AF59</f>
        <v>9012.9569211425769</v>
      </c>
      <c r="AH59" s="198">
        <f>+AF59+AH60</f>
        <v>9077.8931924438457</v>
      </c>
      <c r="AI59" s="198">
        <f>+AH59+AI60</f>
        <v>9142.8294637451145</v>
      </c>
      <c r="AJ59" s="198">
        <f t="shared" ref="AJ59:AK59" si="104">+AI59+AJ60</f>
        <v>9207.7657350463833</v>
      </c>
      <c r="AK59" s="198">
        <f t="shared" si="104"/>
        <v>9272.7020063476521</v>
      </c>
      <c r="AL59" s="480">
        <f>AK59</f>
        <v>9272.7020063476521</v>
      </c>
      <c r="AM59" s="198">
        <f>+AK59+AM60</f>
        <v>9337.6382776489208</v>
      </c>
      <c r="AN59" s="198">
        <f>+AM59+AN60</f>
        <v>9402.5745489501896</v>
      </c>
      <c r="AO59" s="198">
        <f t="shared" ref="AO59:AP59" si="105">+AN59+AO60</f>
        <v>9467.5108202514584</v>
      </c>
      <c r="AP59" s="198">
        <f t="shared" si="105"/>
        <v>9532.4470915527272</v>
      </c>
      <c r="AQ59" s="480">
        <f>AP59</f>
        <v>9532.4470915527272</v>
      </c>
    </row>
    <row r="60" spans="1:43" outlineLevel="1" x14ac:dyDescent="0.25">
      <c r="A60" s="254"/>
      <c r="B60" s="466" t="s">
        <v>162</v>
      </c>
      <c r="C60" s="556"/>
      <c r="D60" s="256">
        <f>+D59-7770</f>
        <v>106</v>
      </c>
      <c r="E60" s="256">
        <f>E59-D59</f>
        <v>67</v>
      </c>
      <c r="F60" s="256">
        <f t="shared" ref="F60:G60" si="106">F59-E59</f>
        <v>53</v>
      </c>
      <c r="G60" s="256">
        <f t="shared" si="106"/>
        <v>97</v>
      </c>
      <c r="H60" s="291">
        <f>+SUM(D60:G60)</f>
        <v>323</v>
      </c>
      <c r="I60" s="256">
        <f>I59-G59</f>
        <v>90</v>
      </c>
      <c r="J60" s="256">
        <f t="shared" ref="J60:L60" si="107">J59-I59</f>
        <v>37</v>
      </c>
      <c r="K60" s="256">
        <f t="shared" si="107"/>
        <v>-2</v>
      </c>
      <c r="L60" s="256">
        <f t="shared" si="107"/>
        <v>27</v>
      </c>
      <c r="M60" s="291">
        <f>+SUM(I60:L60)</f>
        <v>152</v>
      </c>
      <c r="N60" s="256">
        <v>34</v>
      </c>
      <c r="O60" s="256">
        <v>21</v>
      </c>
      <c r="P60" s="256">
        <v>15</v>
      </c>
      <c r="Q60" s="63">
        <v>54</v>
      </c>
      <c r="R60" s="50">
        <f>+SUM(N60:Q60)</f>
        <v>124</v>
      </c>
      <c r="S60" s="63">
        <f>AVERAGE(N60,O60,P60,Q60)</f>
        <v>31</v>
      </c>
      <c r="T60" s="63">
        <f>AVERAGE(O60,P60,Q60,S60)</f>
        <v>30.25</v>
      </c>
      <c r="U60" s="63">
        <f>AVERAGE(P60,Q60,S60,T60)</f>
        <v>32.5625</v>
      </c>
      <c r="V60" s="63">
        <f>AVERAGE(Q60,S60,T60,U60)</f>
        <v>36.953125</v>
      </c>
      <c r="W60" s="50">
        <f>+SUM(S60:V60)</f>
        <v>130.765625</v>
      </c>
      <c r="X60" s="63">
        <f>0.03/4*AVERAGE(S59:V59)</f>
        <v>63.361552734374996</v>
      </c>
      <c r="Y60" s="63">
        <f>0.03/4*AVERAGE(S59:V59)</f>
        <v>63.361552734374996</v>
      </c>
      <c r="Z60" s="63">
        <f>0.03/4*AVERAGE(S59:V59)</f>
        <v>63.361552734374996</v>
      </c>
      <c r="AA60" s="63">
        <f>0.03/4*AVERAGE(S59:V59)</f>
        <v>63.361552734374996</v>
      </c>
      <c r="AB60" s="50">
        <f>+SUM(X60:AA60)</f>
        <v>253.44621093749998</v>
      </c>
      <c r="AC60" s="63">
        <f>0.03/4*AVERAGE(X59:AA59)</f>
        <v>64.936271301269542</v>
      </c>
      <c r="AD60" s="63">
        <f>0.03/4*AVERAGE(X59:AA59)</f>
        <v>64.936271301269542</v>
      </c>
      <c r="AE60" s="63">
        <f>0.03/4*AVERAGE(X59:AA59)</f>
        <v>64.936271301269542</v>
      </c>
      <c r="AF60" s="63">
        <f>0.03/4*AVERAGE(X59:AA59)</f>
        <v>64.936271301269542</v>
      </c>
      <c r="AG60" s="50">
        <f>+SUM(AC60:AF60)</f>
        <v>259.74508520507817</v>
      </c>
      <c r="AH60" s="63">
        <f>AVERAGE(AC60,AD60,AE60,AF60)</f>
        <v>64.936271301269542</v>
      </c>
      <c r="AI60" s="63">
        <f>AVERAGE(AD60,AE60,AF60,AH60)</f>
        <v>64.936271301269542</v>
      </c>
      <c r="AJ60" s="63">
        <f>AVERAGE(AE60,AF60,AH60,AI60)</f>
        <v>64.936271301269542</v>
      </c>
      <c r="AK60" s="63">
        <f>AVERAGE(AF60,AH60,AI60,AJ60)</f>
        <v>64.936271301269542</v>
      </c>
      <c r="AL60" s="50">
        <f>+SUM(AH60:AK60)</f>
        <v>259.74508520507817</v>
      </c>
      <c r="AM60" s="63">
        <f>AVERAGE(AH60,AI60,AJ60,AK60)</f>
        <v>64.936271301269542</v>
      </c>
      <c r="AN60" s="63">
        <f>AVERAGE(AI60,AJ60,AK60,AM60)</f>
        <v>64.936271301269542</v>
      </c>
      <c r="AO60" s="63">
        <f>AVERAGE(AJ60,AK60,AM60,AN60)</f>
        <v>64.936271301269542</v>
      </c>
      <c r="AP60" s="63">
        <f>AVERAGE(AK60,AM60,AN60,AO60)</f>
        <v>64.936271301269542</v>
      </c>
      <c r="AQ60" s="50">
        <f>+SUM(AM60:AP60)</f>
        <v>259.74508520507817</v>
      </c>
    </row>
    <row r="61" spans="1:43" outlineLevel="1" x14ac:dyDescent="0.25">
      <c r="A61" s="254"/>
      <c r="B61" s="550" t="s">
        <v>165</v>
      </c>
      <c r="C61" s="540"/>
      <c r="D61" s="34">
        <f>AVERAGE(D59,7770)</f>
        <v>7823</v>
      </c>
      <c r="E61" s="34">
        <f>AVERAGE(E59,D59)</f>
        <v>7909.5</v>
      </c>
      <c r="F61" s="34">
        <f t="shared" ref="F61:G61" si="108">AVERAGE(F59,E59)</f>
        <v>7969.5</v>
      </c>
      <c r="G61" s="34">
        <f t="shared" si="108"/>
        <v>8044.5</v>
      </c>
      <c r="H61" s="50"/>
      <c r="I61" s="34">
        <f>AVERAGE(I59,G59)</f>
        <v>8138</v>
      </c>
      <c r="J61" s="34">
        <f>AVERAGE(J59,I59)</f>
        <v>8201.5</v>
      </c>
      <c r="K61" s="34">
        <f t="shared" ref="K61:L61" si="109">AVERAGE(K59,J59)</f>
        <v>8219</v>
      </c>
      <c r="L61" s="34">
        <f t="shared" si="109"/>
        <v>8231.5</v>
      </c>
      <c r="M61" s="18"/>
      <c r="N61" s="34">
        <f>AVERAGE(N59,L59)</f>
        <v>8262</v>
      </c>
      <c r="O61" s="34">
        <f>AVERAGE(O59,N59)</f>
        <v>8289.5</v>
      </c>
      <c r="P61" s="34">
        <f t="shared" ref="P61:Q61" si="110">AVERAGE(P59,O59)</f>
        <v>8307.5</v>
      </c>
      <c r="Q61" s="34">
        <f t="shared" si="110"/>
        <v>8342</v>
      </c>
      <c r="R61" s="18"/>
      <c r="S61" s="34">
        <f>AVERAGE(S59,Q59)</f>
        <v>8384.5</v>
      </c>
      <c r="T61" s="34">
        <f>AVERAGE(T59,S59)</f>
        <v>8415.125</v>
      </c>
      <c r="U61" s="34">
        <f t="shared" ref="U61:V61" si="111">AVERAGE(U59,T59)</f>
        <v>8446.53125</v>
      </c>
      <c r="V61" s="34">
        <f t="shared" si="111"/>
        <v>8481.2890625</v>
      </c>
      <c r="W61" s="18"/>
      <c r="X61" s="34">
        <f>AVERAGE(X59,V59)</f>
        <v>8531.4464013671877</v>
      </c>
      <c r="Y61" s="34">
        <f>AVERAGE(Y59,X59)</f>
        <v>8594.8079541015632</v>
      </c>
      <c r="Z61" s="34">
        <f t="shared" ref="Z61:AA61" si="112">AVERAGE(Z59,Y59)</f>
        <v>8658.1695068359386</v>
      </c>
      <c r="AA61" s="34">
        <f t="shared" si="112"/>
        <v>8721.531059570314</v>
      </c>
      <c r="AB61" s="18"/>
      <c r="AC61" s="34">
        <f>AVERAGE(AC59,AA59)</f>
        <v>8785.6799715881352</v>
      </c>
      <c r="AD61" s="34">
        <f>AVERAGE(AD59,AC59)</f>
        <v>8850.6162428894058</v>
      </c>
      <c r="AE61" s="34">
        <f t="shared" ref="AE61:AF61" si="113">AVERAGE(AE59,AD59)</f>
        <v>8915.5525141906728</v>
      </c>
      <c r="AF61" s="34">
        <f t="shared" si="113"/>
        <v>8980.4887854919434</v>
      </c>
      <c r="AG61" s="18"/>
      <c r="AH61" s="34">
        <f>AVERAGE(AH59,AF59)</f>
        <v>9045.4250567932104</v>
      </c>
      <c r="AI61" s="34">
        <f>AVERAGE(AI59,AH59)</f>
        <v>9110.361328094481</v>
      </c>
      <c r="AJ61" s="34">
        <f t="shared" ref="AJ61:AK61" si="114">AVERAGE(AJ59,AI59)</f>
        <v>9175.297599395748</v>
      </c>
      <c r="AK61" s="34">
        <f t="shared" si="114"/>
        <v>9240.2338706970186</v>
      </c>
      <c r="AL61" s="18"/>
      <c r="AM61" s="34">
        <f>AVERAGE(AM59,AK59)</f>
        <v>9305.1701419982855</v>
      </c>
      <c r="AN61" s="34">
        <f>AVERAGE(AN59,AM59)</f>
        <v>9370.1064132995562</v>
      </c>
      <c r="AO61" s="34">
        <f t="shared" ref="AO61:AP61" si="115">AVERAGE(AO59,AN59)</f>
        <v>9435.0426846008231</v>
      </c>
      <c r="AP61" s="34">
        <f t="shared" si="115"/>
        <v>9499.9789559020937</v>
      </c>
      <c r="AQ61" s="18"/>
    </row>
    <row r="62" spans="1:43" outlineLevel="1" x14ac:dyDescent="0.25">
      <c r="A62" s="254"/>
      <c r="B62" s="550" t="s">
        <v>164</v>
      </c>
      <c r="C62" s="540"/>
      <c r="D62" s="107">
        <f>+D63/D61</f>
        <v>6.5780391154288645E-2</v>
      </c>
      <c r="E62" s="107">
        <f>+E63/E61</f>
        <v>5.8549845122953414E-2</v>
      </c>
      <c r="F62" s="107">
        <f>+F63/F61</f>
        <v>6.2274923144488362E-2</v>
      </c>
      <c r="G62" s="278">
        <f t="shared" ref="G62:P62" si="116">+G63/G61</f>
        <v>6.016533034992852E-2</v>
      </c>
      <c r="H62" s="310"/>
      <c r="I62" s="278">
        <f t="shared" si="116"/>
        <v>6.6023593020398133E-2</v>
      </c>
      <c r="J62" s="278">
        <f t="shared" si="116"/>
        <v>5.6599402548314331E-2</v>
      </c>
      <c r="K62" s="278">
        <f t="shared" si="116"/>
        <v>2.8653120817617714E-2</v>
      </c>
      <c r="L62" s="278">
        <f t="shared" si="116"/>
        <v>4.3236348174694766E-2</v>
      </c>
      <c r="M62" s="18"/>
      <c r="N62" s="278">
        <f t="shared" si="116"/>
        <v>5.037521181312031E-2</v>
      </c>
      <c r="O62" s="278">
        <f t="shared" si="116"/>
        <v>4.7554134748778572E-2</v>
      </c>
      <c r="P62" s="278">
        <f t="shared" si="116"/>
        <v>5.6394823954258204E-2</v>
      </c>
      <c r="Q62" s="185">
        <v>7.0000000000000007E-2</v>
      </c>
      <c r="R62" s="18"/>
      <c r="S62" s="185">
        <v>6.5000000000000002E-2</v>
      </c>
      <c r="T62" s="185">
        <v>0.06</v>
      </c>
      <c r="U62" s="185">
        <v>0.06</v>
      </c>
      <c r="V62" s="185">
        <v>7.0000000000000007E-2</v>
      </c>
      <c r="W62" s="18"/>
      <c r="X62" s="185">
        <f>+S62*(1+2.25%)</f>
        <v>6.6462499999999994E-2</v>
      </c>
      <c r="Y62" s="185">
        <f>+T62*(1+2.25%)</f>
        <v>6.1349999999999995E-2</v>
      </c>
      <c r="Z62" s="185">
        <f>+U62*(1+2.25%)</f>
        <v>6.1349999999999995E-2</v>
      </c>
      <c r="AA62" s="185">
        <f>+V62*(1+2.25%)</f>
        <v>7.1575E-2</v>
      </c>
      <c r="AB62" s="18"/>
      <c r="AC62" s="185">
        <f>+X62*(1+2.25%)</f>
        <v>6.7957906249999991E-2</v>
      </c>
      <c r="AD62" s="185">
        <f>+Y62*(1+2.25%)</f>
        <v>6.2730374999999991E-2</v>
      </c>
      <c r="AE62" s="185">
        <f>+Z62*(1+2.25%)</f>
        <v>6.2730374999999991E-2</v>
      </c>
      <c r="AF62" s="185">
        <f>+AA62*(1+2.25%)</f>
        <v>7.3185437499999992E-2</v>
      </c>
      <c r="AG62" s="18"/>
      <c r="AH62" s="185">
        <f>+AC62*(1+2.25%)</f>
        <v>6.9486959140624985E-2</v>
      </c>
      <c r="AI62" s="185">
        <f>+AD62*(1+2.25%)</f>
        <v>6.4141808437499989E-2</v>
      </c>
      <c r="AJ62" s="185">
        <f>+AE62*(1+2.25%)</f>
        <v>6.4141808437499989E-2</v>
      </c>
      <c r="AK62" s="185">
        <f>+AF62*(1+2.25%)</f>
        <v>7.4832109843749994E-2</v>
      </c>
      <c r="AL62" s="18"/>
      <c r="AM62" s="185">
        <f>+AH62*(1+2.25%)</f>
        <v>7.1050415721289048E-2</v>
      </c>
      <c r="AN62" s="185">
        <f>+AI62*(1+2.25%)</f>
        <v>6.5584999127343738E-2</v>
      </c>
      <c r="AO62" s="185">
        <f>+AJ62*(1+2.25%)</f>
        <v>6.5584999127343738E-2</v>
      </c>
      <c r="AP62" s="185">
        <f>+AK62*(1+2.25%)</f>
        <v>7.6515832315234372E-2</v>
      </c>
      <c r="AQ62" s="18"/>
    </row>
    <row r="63" spans="1:43" s="20" customFormat="1" outlineLevel="1" x14ac:dyDescent="0.25">
      <c r="A63" s="269"/>
      <c r="B63" s="599" t="s">
        <v>167</v>
      </c>
      <c r="C63" s="600"/>
      <c r="D63" s="279">
        <v>514.6</v>
      </c>
      <c r="E63" s="279">
        <v>463.1</v>
      </c>
      <c r="F63" s="279">
        <v>496.3</v>
      </c>
      <c r="G63" s="279">
        <v>484</v>
      </c>
      <c r="H63" s="362"/>
      <c r="I63" s="279">
        <v>537.29999999999995</v>
      </c>
      <c r="J63" s="279">
        <v>464.2</v>
      </c>
      <c r="K63" s="279">
        <v>235.5</v>
      </c>
      <c r="L63" s="203">
        <v>355.9</v>
      </c>
      <c r="M63" s="204">
        <v>416.2</v>
      </c>
      <c r="N63" s="203">
        <v>416.2</v>
      </c>
      <c r="O63" s="203">
        <v>394.2</v>
      </c>
      <c r="P63" s="203">
        <v>468.5</v>
      </c>
      <c r="Q63" s="203">
        <f t="shared" ref="Q63" si="117">+Q61*Q62</f>
        <v>583.94000000000005</v>
      </c>
      <c r="R63" s="204">
        <f>SUM(N63:Q63)</f>
        <v>1862.8400000000001</v>
      </c>
      <c r="S63" s="203">
        <f>+S61*S62</f>
        <v>544.99250000000006</v>
      </c>
      <c r="T63" s="203">
        <f>+T61*T62</f>
        <v>504.90749999999997</v>
      </c>
      <c r="U63" s="203">
        <f t="shared" ref="U63:V63" si="118">+U61*U62</f>
        <v>506.791875</v>
      </c>
      <c r="V63" s="203">
        <f t="shared" si="118"/>
        <v>593.69023437500005</v>
      </c>
      <c r="W63" s="204">
        <f>SUM(S63:V63)</f>
        <v>2150.3821093750003</v>
      </c>
      <c r="X63" s="203">
        <f>+X61*X62</f>
        <v>567.02125645086664</v>
      </c>
      <c r="Y63" s="203">
        <f>+Y61*Y62</f>
        <v>527.2914679841308</v>
      </c>
      <c r="Z63" s="203">
        <f t="shared" ref="Z63:AA63" si="119">+Z61*Z62</f>
        <v>531.1786992443848</v>
      </c>
      <c r="AA63" s="203">
        <f t="shared" si="119"/>
        <v>624.24358558874519</v>
      </c>
      <c r="AB63" s="204">
        <f>SUM(X63:AA63)</f>
        <v>2249.7350092681277</v>
      </c>
      <c r="AC63" s="203">
        <f>+AC61*AC62</f>
        <v>597.05641585168905</v>
      </c>
      <c r="AD63" s="203">
        <f>+AD61*AD62</f>
        <v>555.20247589754342</v>
      </c>
      <c r="AE63" s="203">
        <f t="shared" ref="AE63:AF63" si="120">+AE61*AE62</f>
        <v>559.27595254737366</v>
      </c>
      <c r="AF63" s="203">
        <f t="shared" si="120"/>
        <v>657.24100073007151</v>
      </c>
      <c r="AG63" s="204">
        <f>SUM(AC63:AF63)</f>
        <v>2368.7758450266779</v>
      </c>
      <c r="AH63" s="203">
        <f>+AH61*AH62</f>
        <v>628.53908133097525</v>
      </c>
      <c r="AI63" s="203">
        <f>+AI61*AI62</f>
        <v>584.35505110304416</v>
      </c>
      <c r="AJ63" s="203">
        <f t="shared" ref="AJ63:AK63" si="121">+AJ61*AJ62</f>
        <v>588.52018097749556</v>
      </c>
      <c r="AK63" s="203">
        <f t="shared" si="121"/>
        <v>691.46619599393853</v>
      </c>
      <c r="AL63" s="204">
        <f>SUM(AH63:AK63)</f>
        <v>2492.8805094054533</v>
      </c>
      <c r="AM63" s="203">
        <f>+AM61*AM62</f>
        <v>661.13620694630447</v>
      </c>
      <c r="AN63" s="203">
        <f>+AN61*AN62</f>
        <v>614.5384209393693</v>
      </c>
      <c r="AO63" s="203">
        <f t="shared" ref="AO63:AP63" si="122">+AO61*AO62</f>
        <v>618.79726623599595</v>
      </c>
      <c r="AP63" s="203">
        <f t="shared" si="122"/>
        <v>726.89879678805994</v>
      </c>
      <c r="AQ63" s="204">
        <f>SUM(AM63:AP63)</f>
        <v>2621.3706909097295</v>
      </c>
    </row>
    <row r="64" spans="1:43" s="20" customFormat="1" outlineLevel="1" x14ac:dyDescent="0.25">
      <c r="A64" s="269"/>
      <c r="B64" s="585" t="s">
        <v>166</v>
      </c>
      <c r="C64" s="586"/>
      <c r="D64" s="259">
        <v>5.7</v>
      </c>
      <c r="E64" s="259">
        <v>1.4</v>
      </c>
      <c r="F64" s="259">
        <v>2.6</v>
      </c>
      <c r="G64" s="259">
        <v>3.2</v>
      </c>
      <c r="H64" s="363"/>
      <c r="I64" s="259">
        <v>2.6</v>
      </c>
      <c r="J64" s="259">
        <v>2.2000000000000002</v>
      </c>
      <c r="K64" s="259">
        <v>1.1000000000000001</v>
      </c>
      <c r="L64" s="171">
        <v>1.7</v>
      </c>
      <c r="M64" s="239">
        <v>2.2000000000000002</v>
      </c>
      <c r="N64" s="171">
        <v>2.2000000000000002</v>
      </c>
      <c r="O64" s="171">
        <v>2</v>
      </c>
      <c r="P64" s="171">
        <v>2</v>
      </c>
      <c r="Q64" s="171">
        <f>+L64*(1+Q65)</f>
        <v>2.5499999999999998</v>
      </c>
      <c r="R64" s="479">
        <f>SUM(N64:Q64)</f>
        <v>8.75</v>
      </c>
      <c r="S64" s="171">
        <f>+N64*(1+S65)</f>
        <v>2.4200000000000004</v>
      </c>
      <c r="T64" s="171">
        <f>+O64*(1+T65)</f>
        <v>2.2000000000000002</v>
      </c>
      <c r="U64" s="171">
        <f>+P64*(1+U65)</f>
        <v>2.2000000000000002</v>
      </c>
      <c r="V64" s="171">
        <f t="shared" ref="V64" si="123">+Q64*(1+V65)</f>
        <v>2.8050000000000002</v>
      </c>
      <c r="W64" s="479">
        <f>SUM(S64:V64)</f>
        <v>9.6250000000000018</v>
      </c>
      <c r="X64" s="171">
        <f>+S64*(1+X65)</f>
        <v>2.6620000000000008</v>
      </c>
      <c r="Y64" s="171">
        <f>+T64*(1+Y65)</f>
        <v>2.4200000000000004</v>
      </c>
      <c r="Z64" s="171">
        <f>+U64*(1+Z65)</f>
        <v>2.4200000000000004</v>
      </c>
      <c r="AA64" s="171">
        <f t="shared" ref="AA64" si="124">+V64*(1+AA65)</f>
        <v>3.0855000000000006</v>
      </c>
      <c r="AB64" s="479">
        <f>SUM(X64:AA64)</f>
        <v>10.587500000000002</v>
      </c>
      <c r="AC64" s="171">
        <f>+X64*(1+AC65)</f>
        <v>2.9282000000000012</v>
      </c>
      <c r="AD64" s="171">
        <f>+Y64*(1+AD65)</f>
        <v>2.6620000000000008</v>
      </c>
      <c r="AE64" s="171">
        <f>+Z64*(1+AE65)</f>
        <v>2.6620000000000008</v>
      </c>
      <c r="AF64" s="171">
        <f t="shared" ref="AF64" si="125">+AA64*(1+AF65)</f>
        <v>3.3940500000000009</v>
      </c>
      <c r="AG64" s="479">
        <f>SUM(AC64:AF64)</f>
        <v>11.646250000000002</v>
      </c>
      <c r="AH64" s="171">
        <f>+AC64*(1+AH65)</f>
        <v>3.2210200000000015</v>
      </c>
      <c r="AI64" s="171">
        <f>+AD64*(1+AI65)</f>
        <v>2.9282000000000012</v>
      </c>
      <c r="AJ64" s="171">
        <f>+AE64*(1+AJ65)</f>
        <v>2.9282000000000012</v>
      </c>
      <c r="AK64" s="171">
        <f t="shared" ref="AK64" si="126">+AF64*(1+AK65)</f>
        <v>3.7334550000000011</v>
      </c>
      <c r="AL64" s="479">
        <f>SUM(AH64:AK64)</f>
        <v>12.810875000000005</v>
      </c>
      <c r="AM64" s="171">
        <f>+AH64*(1+AM65)</f>
        <v>3.5431220000000021</v>
      </c>
      <c r="AN64" s="171">
        <f>+AI64*(1+AN65)</f>
        <v>3.2210200000000015</v>
      </c>
      <c r="AO64" s="171">
        <f>+AJ64*(1+AO65)</f>
        <v>3.2210200000000015</v>
      </c>
      <c r="AP64" s="171">
        <f t="shared" ref="AP64" si="127">+AK64*(1+AP65)</f>
        <v>4.1068005000000012</v>
      </c>
      <c r="AQ64" s="479">
        <f>SUM(AM64:AP64)</f>
        <v>14.091962500000005</v>
      </c>
    </row>
    <row r="65" spans="1:43" outlineLevel="1" x14ac:dyDescent="0.25">
      <c r="A65" s="254"/>
      <c r="B65" s="200" t="s">
        <v>169</v>
      </c>
      <c r="C65" s="201"/>
      <c r="D65" s="289"/>
      <c r="E65" s="289"/>
      <c r="F65" s="289"/>
      <c r="G65" s="289"/>
      <c r="H65" s="364"/>
      <c r="I65" s="289">
        <f>I64/D64-1</f>
        <v>-0.54385964912280704</v>
      </c>
      <c r="J65" s="289">
        <f t="shared" ref="J65" si="128">J64/E64-1</f>
        <v>0.57142857142857162</v>
      </c>
      <c r="K65" s="289">
        <f>K64/F64-1</f>
        <v>-0.57692307692307687</v>
      </c>
      <c r="L65" s="289">
        <f>L64/G64-1</f>
        <v>-0.46875</v>
      </c>
      <c r="M65" s="179"/>
      <c r="N65" s="289">
        <f>N64/I64-1</f>
        <v>-0.15384615384615385</v>
      </c>
      <c r="O65" s="289">
        <f t="shared" ref="O65" si="129">O64/J64-1</f>
        <v>-9.0909090909090939E-2</v>
      </c>
      <c r="P65" s="289">
        <f>P64/K64-1</f>
        <v>0.81818181818181812</v>
      </c>
      <c r="Q65" s="202">
        <v>0.5</v>
      </c>
      <c r="R65" s="179"/>
      <c r="S65" s="202">
        <v>0.1</v>
      </c>
      <c r="T65" s="202">
        <v>0.1</v>
      </c>
      <c r="U65" s="202">
        <v>0.1</v>
      </c>
      <c r="V65" s="202">
        <v>0.1</v>
      </c>
      <c r="W65" s="179"/>
      <c r="X65" s="202">
        <v>0.1</v>
      </c>
      <c r="Y65" s="202">
        <v>0.1</v>
      </c>
      <c r="Z65" s="202">
        <v>0.1</v>
      </c>
      <c r="AA65" s="202">
        <v>0.1</v>
      </c>
      <c r="AB65" s="179"/>
      <c r="AC65" s="202">
        <v>0.1</v>
      </c>
      <c r="AD65" s="202">
        <v>0.1</v>
      </c>
      <c r="AE65" s="202">
        <v>0.1</v>
      </c>
      <c r="AF65" s="202">
        <v>0.1</v>
      </c>
      <c r="AG65" s="179"/>
      <c r="AH65" s="202">
        <v>0.1</v>
      </c>
      <c r="AI65" s="202">
        <v>0.1</v>
      </c>
      <c r="AJ65" s="202">
        <v>0.1</v>
      </c>
      <c r="AK65" s="202">
        <v>0.1</v>
      </c>
      <c r="AL65" s="179"/>
      <c r="AM65" s="202">
        <v>0.1</v>
      </c>
      <c r="AN65" s="202">
        <v>0.1</v>
      </c>
      <c r="AO65" s="202">
        <v>0.1</v>
      </c>
      <c r="AP65" s="202">
        <v>0.1</v>
      </c>
      <c r="AQ65" s="179"/>
    </row>
    <row r="66" spans="1:43" outlineLevel="1" x14ac:dyDescent="0.25">
      <c r="A66" s="254"/>
      <c r="B66" s="550" t="s">
        <v>171</v>
      </c>
      <c r="C66" s="551"/>
      <c r="D66" s="256">
        <f t="shared" ref="D66:G67" si="130">+D59+D48</f>
        <v>17653</v>
      </c>
      <c r="E66" s="256">
        <f>+E59+E48</f>
        <v>17719</v>
      </c>
      <c r="F66" s="256">
        <f t="shared" si="130"/>
        <v>17853</v>
      </c>
      <c r="G66" s="256">
        <f t="shared" si="130"/>
        <v>18067</v>
      </c>
      <c r="H66" s="291"/>
      <c r="I66" s="256">
        <f>+I59+I48</f>
        <v>18203</v>
      </c>
      <c r="J66" s="256">
        <f t="shared" ref="J66:L67" si="131">+J59+J48</f>
        <v>18271</v>
      </c>
      <c r="K66" s="256">
        <f t="shared" si="131"/>
        <v>18235</v>
      </c>
      <c r="L66" s="34">
        <f t="shared" si="131"/>
        <v>18354</v>
      </c>
      <c r="M66" s="18"/>
      <c r="N66" s="34">
        <f>+N59+N48</f>
        <v>18308</v>
      </c>
      <c r="O66" s="34">
        <f t="shared" ref="O66:Q67" si="132">+O59+O48</f>
        <v>18120</v>
      </c>
      <c r="P66" s="34">
        <f t="shared" si="132"/>
        <v>18175</v>
      </c>
      <c r="Q66" s="34">
        <f t="shared" si="132"/>
        <v>18354</v>
      </c>
      <c r="R66" s="18"/>
      <c r="S66" s="34">
        <f>+S59+S48</f>
        <v>18354</v>
      </c>
      <c r="T66" s="34">
        <f t="shared" ref="T66:V67" si="133">+T59+T48</f>
        <v>18365.5</v>
      </c>
      <c r="U66" s="34">
        <f t="shared" si="133"/>
        <v>18426.875</v>
      </c>
      <c r="V66" s="34">
        <f t="shared" si="133"/>
        <v>18489.84375</v>
      </c>
      <c r="W66" s="499">
        <f>W67/(AVERAGE(N66:Q66))</f>
        <v>7.4478802582343025E-3</v>
      </c>
      <c r="X66" s="34">
        <f>+X59+X48</f>
        <v>18627.911660156249</v>
      </c>
      <c r="Y66" s="34">
        <f t="shared" ref="Y66:AA67" si="134">+Y59+Y48</f>
        <v>18765.979570312502</v>
      </c>
      <c r="Z66" s="34">
        <f t="shared" si="134"/>
        <v>18904.047480468755</v>
      </c>
      <c r="AA66" s="34">
        <f t="shared" si="134"/>
        <v>19042.115390625004</v>
      </c>
      <c r="AB66" s="500">
        <f>AB67/(AVERAGE(S66:V66))</f>
        <v>2.9999999999999995E-2</v>
      </c>
      <c r="AC66" s="34">
        <f>+AC59+AC48</f>
        <v>19183.377992065434</v>
      </c>
      <c r="AD66" s="34">
        <f t="shared" ref="AD66:AF67" si="135">+AD59+AD48</f>
        <v>19324.640593505861</v>
      </c>
      <c r="AE66" s="34">
        <f t="shared" si="135"/>
        <v>19465.903194946288</v>
      </c>
      <c r="AF66" s="34">
        <f t="shared" si="135"/>
        <v>19607.165796386718</v>
      </c>
      <c r="AG66" s="500">
        <f>AG67/(AVERAGE(X66:AA66))</f>
        <v>3.0000000000000002E-2</v>
      </c>
      <c r="AH66" s="34">
        <f>+AH59+AH48</f>
        <v>19748.428397827149</v>
      </c>
      <c r="AI66" s="34">
        <f t="shared" ref="AI66:AK67" si="136">+AI59+AI48</f>
        <v>19889.690999267576</v>
      </c>
      <c r="AJ66" s="34">
        <f t="shared" si="136"/>
        <v>20030.953600708002</v>
      </c>
      <c r="AK66" s="34">
        <f t="shared" si="136"/>
        <v>20172.216202148433</v>
      </c>
      <c r="AL66" s="499">
        <f>AL67/(AVERAGE(AC66:AF66))</f>
        <v>2.9133409876555168E-2</v>
      </c>
      <c r="AM66" s="34">
        <f>+AM59+AM48</f>
        <v>20313.478803588863</v>
      </c>
      <c r="AN66" s="34">
        <f t="shared" ref="AN66:AP67" si="137">+AN59+AN48</f>
        <v>20454.74140502929</v>
      </c>
      <c r="AO66" s="34">
        <f t="shared" si="137"/>
        <v>20596.004006469717</v>
      </c>
      <c r="AP66" s="34">
        <f t="shared" si="137"/>
        <v>20737.266607910147</v>
      </c>
      <c r="AQ66" s="499">
        <f>AQ67/(AVERAGE(AH66:AK66))</f>
        <v>2.8308681456614779E-2</v>
      </c>
    </row>
    <row r="67" spans="1:43" outlineLevel="1" x14ac:dyDescent="0.25">
      <c r="A67" s="254"/>
      <c r="B67" s="550" t="s">
        <v>172</v>
      </c>
      <c r="C67" s="551"/>
      <c r="D67" s="256">
        <f t="shared" si="130"/>
        <v>193</v>
      </c>
      <c r="E67" s="256">
        <f>+E60+E49</f>
        <v>66</v>
      </c>
      <c r="F67" s="256">
        <f t="shared" si="130"/>
        <v>134</v>
      </c>
      <c r="G67" s="256">
        <f t="shared" si="130"/>
        <v>214</v>
      </c>
      <c r="H67" s="291">
        <f>+H60+H49</f>
        <v>607</v>
      </c>
      <c r="I67" s="256">
        <f>+I60+I49</f>
        <v>136</v>
      </c>
      <c r="J67" s="256">
        <f t="shared" si="131"/>
        <v>68</v>
      </c>
      <c r="K67" s="256">
        <f t="shared" si="131"/>
        <v>-36</v>
      </c>
      <c r="L67" s="34">
        <f t="shared" si="131"/>
        <v>119</v>
      </c>
      <c r="M67" s="291">
        <f>+M60+M49</f>
        <v>287</v>
      </c>
      <c r="N67" s="34">
        <f>+N60+N49</f>
        <v>-46</v>
      </c>
      <c r="O67" s="34">
        <f t="shared" si="132"/>
        <v>-188</v>
      </c>
      <c r="P67" s="34">
        <f t="shared" si="132"/>
        <v>55</v>
      </c>
      <c r="Q67" s="34">
        <f t="shared" si="132"/>
        <v>179</v>
      </c>
      <c r="R67" s="349">
        <f>+R60+R49</f>
        <v>0</v>
      </c>
      <c r="S67" s="34">
        <f>+S60+S49</f>
        <v>0</v>
      </c>
      <c r="T67" s="34">
        <f t="shared" si="133"/>
        <v>11.5</v>
      </c>
      <c r="U67" s="34">
        <f t="shared" si="133"/>
        <v>61.375</v>
      </c>
      <c r="V67" s="34">
        <f t="shared" si="133"/>
        <v>62.96875</v>
      </c>
      <c r="W67" s="291">
        <f>+W60+W49</f>
        <v>135.84375</v>
      </c>
      <c r="X67" s="34">
        <f>+X60+X49</f>
        <v>138.06791015624998</v>
      </c>
      <c r="Y67" s="34">
        <f t="shared" si="134"/>
        <v>138.06791015624998</v>
      </c>
      <c r="Z67" s="34">
        <f t="shared" si="134"/>
        <v>138.06791015624998</v>
      </c>
      <c r="AA67" s="34">
        <f t="shared" si="134"/>
        <v>138.06791015624998</v>
      </c>
      <c r="AB67" s="291">
        <f>+AB60+AB49</f>
        <v>552.27164062499992</v>
      </c>
      <c r="AC67" s="34">
        <f>+AC60+AC49</f>
        <v>141.26260144042971</v>
      </c>
      <c r="AD67" s="34">
        <f t="shared" si="135"/>
        <v>141.26260144042971</v>
      </c>
      <c r="AE67" s="34">
        <f t="shared" si="135"/>
        <v>141.26260144042971</v>
      </c>
      <c r="AF67" s="34">
        <f t="shared" si="135"/>
        <v>141.26260144042971</v>
      </c>
      <c r="AG67" s="291">
        <f>+AG60+AG49</f>
        <v>565.05040576171882</v>
      </c>
      <c r="AH67" s="34">
        <f>+AH60+AH49</f>
        <v>141.26260144042971</v>
      </c>
      <c r="AI67" s="34">
        <f t="shared" si="136"/>
        <v>141.26260144042971</v>
      </c>
      <c r="AJ67" s="34">
        <f t="shared" si="136"/>
        <v>141.26260144042971</v>
      </c>
      <c r="AK67" s="34">
        <f t="shared" si="136"/>
        <v>141.26260144042971</v>
      </c>
      <c r="AL67" s="291">
        <f>+AL60+AL49</f>
        <v>565.05040576171882</v>
      </c>
      <c r="AM67" s="34">
        <f>+AM60+AM49</f>
        <v>141.26260144042971</v>
      </c>
      <c r="AN67" s="34">
        <f t="shared" si="137"/>
        <v>141.26260144042971</v>
      </c>
      <c r="AO67" s="34">
        <f t="shared" si="137"/>
        <v>141.26260144042971</v>
      </c>
      <c r="AP67" s="34">
        <f t="shared" si="137"/>
        <v>141.26260144042971</v>
      </c>
      <c r="AQ67" s="291">
        <f>+AQ60+AQ49</f>
        <v>565.05040576171882</v>
      </c>
    </row>
    <row r="68" spans="1:43" outlineLevel="1" x14ac:dyDescent="0.25">
      <c r="A68" s="254"/>
      <c r="B68" s="601" t="s">
        <v>170</v>
      </c>
      <c r="C68" s="602"/>
      <c r="D68" s="279">
        <f t="shared" ref="D68:G68" si="138">+D64+D63+D56</f>
        <v>4612.5</v>
      </c>
      <c r="E68" s="279">
        <f t="shared" si="138"/>
        <v>4314.1000000000004</v>
      </c>
      <c r="F68" s="279">
        <f t="shared" si="138"/>
        <v>4681.0999999999995</v>
      </c>
      <c r="G68" s="279">
        <f t="shared" si="138"/>
        <v>4651.3999999999996</v>
      </c>
      <c r="H68" s="320">
        <f>SUM(D68:G68)</f>
        <v>18259.099999999999</v>
      </c>
      <c r="I68" s="279">
        <f>+I64+I63+I56</f>
        <v>5010.8999999999996</v>
      </c>
      <c r="J68" s="279">
        <f t="shared" ref="J68:L68" si="139">+J64+J63+J56</f>
        <v>4330</v>
      </c>
      <c r="K68" s="279">
        <f t="shared" si="139"/>
        <v>2805.5</v>
      </c>
      <c r="L68" s="203">
        <f t="shared" si="139"/>
        <v>4232.9000000000005</v>
      </c>
      <c r="M68" s="239">
        <f>SUM(I68:L68)</f>
        <v>16379.3</v>
      </c>
      <c r="N68" s="203">
        <f>+N64+N63+N56</f>
        <v>4703.2</v>
      </c>
      <c r="O68" s="203">
        <f t="shared" ref="O68:Q68" si="140">+O64+O63+O56</f>
        <v>4664.5999999999995</v>
      </c>
      <c r="P68" s="203">
        <f t="shared" si="140"/>
        <v>5400.3</v>
      </c>
      <c r="Q68" s="203">
        <f t="shared" si="140"/>
        <v>5884.8839350192102</v>
      </c>
      <c r="R68" s="239">
        <f>SUM(N68:Q68)</f>
        <v>20652.983935019209</v>
      </c>
      <c r="S68" s="203">
        <f>+S64+S63+S56</f>
        <v>5436.3664514798611</v>
      </c>
      <c r="T68" s="203">
        <f t="shared" ref="T68:V68" si="141">+T64+T63+T56</f>
        <v>5264.1480756210858</v>
      </c>
      <c r="U68" s="203">
        <f t="shared" si="141"/>
        <v>5925.6134646521186</v>
      </c>
      <c r="V68" s="203">
        <f t="shared" si="141"/>
        <v>5855.2899372013762</v>
      </c>
      <c r="W68" s="239">
        <f>SUM(S68:V68)</f>
        <v>22481.417928954441</v>
      </c>
      <c r="X68" s="203">
        <f>+X64+X63+X56</f>
        <v>5751.6566062408956</v>
      </c>
      <c r="Y68" s="203">
        <f t="shared" ref="Y68:AA68" si="142">+Y64+Y63+Y56</f>
        <v>5702.119378534625</v>
      </c>
      <c r="Z68" s="203">
        <f t="shared" si="142"/>
        <v>6399.140361313971</v>
      </c>
      <c r="AA68" s="203">
        <f t="shared" si="142"/>
        <v>6295.2199388760691</v>
      </c>
      <c r="AB68" s="239">
        <f>SUM(X68:AA68)</f>
        <v>24148.136284965563</v>
      </c>
      <c r="AC68" s="203">
        <f>+AC64+AC63+AC56</f>
        <v>6169.0071732993028</v>
      </c>
      <c r="AD68" s="203">
        <f t="shared" ref="AD68:AF68" si="143">+AD64+AD63+AD56</f>
        <v>6128.5964504123313</v>
      </c>
      <c r="AE68" s="203">
        <f t="shared" si="143"/>
        <v>6858.9836839518866</v>
      </c>
      <c r="AF68" s="203">
        <f t="shared" si="143"/>
        <v>6716.4819227254175</v>
      </c>
      <c r="AG68" s="239">
        <f>SUM(AC68:AF68)</f>
        <v>25873.069230388937</v>
      </c>
      <c r="AH68" s="203">
        <f>+AH64+AH63+AH56</f>
        <v>6608.8094096663563</v>
      </c>
      <c r="AI68" s="203">
        <f t="shared" ref="AI68:AK68" si="144">+AI64+AI63+AI56</f>
        <v>6565.3947833559187</v>
      </c>
      <c r="AJ68" s="203">
        <f t="shared" si="144"/>
        <v>7318.4612805510778</v>
      </c>
      <c r="AK68" s="203">
        <f t="shared" si="144"/>
        <v>7162.7025202765653</v>
      </c>
      <c r="AL68" s="239">
        <f>SUM(AH68:AK68)</f>
        <v>27655.367993849919</v>
      </c>
      <c r="AM68" s="203">
        <f>+AM64+AM63+AM56</f>
        <v>7046.5796986237765</v>
      </c>
      <c r="AN68" s="203">
        <f t="shared" ref="AN68:AP68" si="145">+AN64+AN63+AN56</f>
        <v>6999.548813385285</v>
      </c>
      <c r="AO68" s="203">
        <f t="shared" si="145"/>
        <v>7803.6404542619266</v>
      </c>
      <c r="AP68" s="203">
        <f t="shared" si="145"/>
        <v>7633.7275886457574</v>
      </c>
      <c r="AQ68" s="239">
        <f>SUM(AM68:AP68)</f>
        <v>29483.496554916746</v>
      </c>
    </row>
    <row r="69" spans="1:43" outlineLevel="1" x14ac:dyDescent="0.25">
      <c r="A69" s="254"/>
      <c r="B69" s="605" t="s">
        <v>262</v>
      </c>
      <c r="C69" s="606"/>
      <c r="D69" s="261">
        <v>1351.3</v>
      </c>
      <c r="E69" s="261">
        <v>1220.5</v>
      </c>
      <c r="F69" s="261">
        <v>1324</v>
      </c>
      <c r="G69" s="261">
        <v>1278.9000000000001</v>
      </c>
      <c r="H69" s="317"/>
      <c r="I69" s="261">
        <v>1388.4</v>
      </c>
      <c r="J69" s="261">
        <v>1248.2</v>
      </c>
      <c r="K69" s="261">
        <v>805.6</v>
      </c>
      <c r="L69" s="169">
        <v>1169.4000000000001</v>
      </c>
      <c r="M69" s="209"/>
      <c r="N69" s="169">
        <v>1276.2</v>
      </c>
      <c r="O69" s="169">
        <v>1227.5999999999999</v>
      </c>
      <c r="P69" s="169">
        <v>1416.2</v>
      </c>
      <c r="Q69" s="169">
        <f t="shared" ref="Q69:AK69" si="146">Q70*Q68</f>
        <v>1588.9186624551869</v>
      </c>
      <c r="R69" s="209">
        <f>SUM(N69:Q69)</f>
        <v>5508.9186624551867</v>
      </c>
      <c r="S69" s="169">
        <f>S70*S68</f>
        <v>1467.8189418995626</v>
      </c>
      <c r="T69" s="169">
        <f t="shared" si="146"/>
        <v>1473.9614611739041</v>
      </c>
      <c r="U69" s="169">
        <f t="shared" si="146"/>
        <v>1599.9156354560721</v>
      </c>
      <c r="V69" s="169">
        <f t="shared" si="146"/>
        <v>1610.2047327303785</v>
      </c>
      <c r="W69" s="209">
        <f>SUM(S69:V69)</f>
        <v>6151.9007712599177</v>
      </c>
      <c r="X69" s="169">
        <f t="shared" si="146"/>
        <v>1552.9472836850418</v>
      </c>
      <c r="Y69" s="169">
        <f t="shared" si="146"/>
        <v>1596.5934259896951</v>
      </c>
      <c r="Z69" s="169">
        <f t="shared" si="146"/>
        <v>1791.7593011679121</v>
      </c>
      <c r="AA69" s="169">
        <f t="shared" si="146"/>
        <v>1699.7093834965387</v>
      </c>
      <c r="AB69" s="209">
        <f>SUM(X69:AA69)</f>
        <v>6641.0093943391876</v>
      </c>
      <c r="AC69" s="169">
        <f t="shared" si="146"/>
        <v>1676.1413311462998</v>
      </c>
      <c r="AD69" s="169">
        <f t="shared" si="146"/>
        <v>1726.4475575905424</v>
      </c>
      <c r="AE69" s="169">
        <f t="shared" si="146"/>
        <v>1932.2002557233816</v>
      </c>
      <c r="AF69" s="169">
        <f t="shared" si="146"/>
        <v>1824.8921802689636</v>
      </c>
      <c r="AG69" s="209">
        <f>SUM(AC69:AF69)</f>
        <v>7159.6813247291875</v>
      </c>
      <c r="AH69" s="169">
        <f t="shared" si="146"/>
        <v>1786.2929628003997</v>
      </c>
      <c r="AI69" s="169">
        <f t="shared" si="146"/>
        <v>1840.2123852975928</v>
      </c>
      <c r="AJ69" s="169">
        <f t="shared" si="146"/>
        <v>2051.2891507960494</v>
      </c>
      <c r="AK69" s="169">
        <f t="shared" si="146"/>
        <v>1936.0045529363588</v>
      </c>
      <c r="AL69" s="209">
        <f>SUM(AH69:AK69)</f>
        <v>7613.7990518304005</v>
      </c>
      <c r="AM69" s="169">
        <f t="shared" ref="AM69:AP69" si="147">AM70*AM68</f>
        <v>1910.3916737382813</v>
      </c>
      <c r="AN69" s="169">
        <f t="shared" si="147"/>
        <v>1967.6366622807222</v>
      </c>
      <c r="AO69" s="169">
        <f t="shared" si="147"/>
        <v>2193.6741162087196</v>
      </c>
      <c r="AP69" s="169">
        <f t="shared" si="147"/>
        <v>2069.5727925681813</v>
      </c>
      <c r="AQ69" s="209">
        <f>SUM(AM69:AP69)</f>
        <v>8141.2752447959037</v>
      </c>
    </row>
    <row r="70" spans="1:43" s="473" customFormat="1" outlineLevel="1" x14ac:dyDescent="0.25">
      <c r="A70" s="471"/>
      <c r="B70" s="467" t="s">
        <v>341</v>
      </c>
      <c r="C70" s="472"/>
      <c r="D70" s="415">
        <f>D69/D68</f>
        <v>0.29296476964769647</v>
      </c>
      <c r="E70" s="415">
        <f t="shared" ref="E70:P70" si="148">E69/E68</f>
        <v>0.28290952921814511</v>
      </c>
      <c r="F70" s="415">
        <f t="shared" si="148"/>
        <v>0.28283950353549381</v>
      </c>
      <c r="G70" s="415">
        <f t="shared" si="148"/>
        <v>0.27494947757664362</v>
      </c>
      <c r="H70" s="474"/>
      <c r="I70" s="415">
        <f t="shared" si="148"/>
        <v>0.27707597437586068</v>
      </c>
      <c r="J70" s="415">
        <f t="shared" si="148"/>
        <v>0.28826789838337186</v>
      </c>
      <c r="K70" s="415">
        <f t="shared" si="148"/>
        <v>0.28715024059882377</v>
      </c>
      <c r="L70" s="475">
        <f t="shared" si="148"/>
        <v>0.27626449951569843</v>
      </c>
      <c r="M70" s="476"/>
      <c r="N70" s="475">
        <f t="shared" si="148"/>
        <v>0.27134716788569485</v>
      </c>
      <c r="O70" s="415">
        <f t="shared" si="148"/>
        <v>0.26317369120610556</v>
      </c>
      <c r="P70" s="415">
        <f t="shared" si="148"/>
        <v>0.26224469010980872</v>
      </c>
      <c r="Q70" s="477">
        <v>0.27</v>
      </c>
      <c r="R70" s="476">
        <f t="shared" ref="R70" si="149">R69/R68</f>
        <v>0.26673717850108147</v>
      </c>
      <c r="S70" s="477">
        <v>0.27</v>
      </c>
      <c r="T70" s="477">
        <v>0.28000000000000003</v>
      </c>
      <c r="U70" s="477">
        <v>0.27</v>
      </c>
      <c r="V70" s="477">
        <v>0.27500000000000002</v>
      </c>
      <c r="W70" s="476">
        <f t="shared" ref="W70" si="150">W69/W68</f>
        <v>0.27364380621814405</v>
      </c>
      <c r="X70" s="477">
        <v>0.27</v>
      </c>
      <c r="Y70" s="477">
        <v>0.28000000000000003</v>
      </c>
      <c r="Z70" s="477">
        <v>0.28000000000000003</v>
      </c>
      <c r="AA70" s="477">
        <v>0.27</v>
      </c>
      <c r="AB70" s="476">
        <f t="shared" ref="AB70" si="151">AB69/AB68</f>
        <v>0.27501126032959433</v>
      </c>
      <c r="AC70" s="477">
        <f>AVERAGE(N70:Z70)+0.5%-0.5%</f>
        <v>0.2717035795323719</v>
      </c>
      <c r="AD70" s="477">
        <f>AVERAGE(N70:Z70)+0.5%+0.5%</f>
        <v>0.28170357953237191</v>
      </c>
      <c r="AE70" s="477">
        <f>AVERAGE(N70:Z70)+0.5%+0.5%</f>
        <v>0.28170357953237191</v>
      </c>
      <c r="AF70" s="477">
        <f>AVERAGE(N70:Z70)+0.5%-0.5%</f>
        <v>0.2717035795323719</v>
      </c>
      <c r="AG70" s="476">
        <f t="shared" ref="AG70" si="152">AG69/AG68</f>
        <v>0.27672330874142526</v>
      </c>
      <c r="AH70" s="477">
        <f>AVERAGE(S70:AE70)-0.5%</f>
        <v>0.27028967731883496</v>
      </c>
      <c r="AI70" s="477">
        <f>AVERAGE(S70:AE70)+0.5%</f>
        <v>0.28028967731883497</v>
      </c>
      <c r="AJ70" s="477">
        <f>AVERAGE(S70:AE70)+0.5%</f>
        <v>0.28028967731883497</v>
      </c>
      <c r="AK70" s="477">
        <f>AVERAGE(S70:AE70)-0.5%</f>
        <v>0.27028967731883496</v>
      </c>
      <c r="AL70" s="476">
        <f t="shared" ref="AL70" si="153">AL69/AL68</f>
        <v>0.27530998877048313</v>
      </c>
      <c r="AM70" s="477">
        <f>AVERAGE(X70:AJ70)-0.5%</f>
        <v>0.27110907070438556</v>
      </c>
      <c r="AN70" s="477">
        <f>AVERAGE(X70:AJ70)+0.5%</f>
        <v>0.28110907070438557</v>
      </c>
      <c r="AO70" s="477">
        <f>AVERAGE(X70:AJ70)+0.5%</f>
        <v>0.28110907070438557</v>
      </c>
      <c r="AP70" s="477">
        <f>AVERAGE(X70:AJ70)-0.5%</f>
        <v>0.27110907070438556</v>
      </c>
      <c r="AQ70" s="476">
        <f t="shared" ref="AQ70" si="154">AQ69/AQ68</f>
        <v>0.27612990981689528</v>
      </c>
    </row>
    <row r="71" spans="1:43" s="43" customFormat="1" outlineLevel="1" x14ac:dyDescent="0.25">
      <c r="A71" s="307"/>
      <c r="B71" s="550" t="s">
        <v>141</v>
      </c>
      <c r="C71" s="144"/>
      <c r="D71" s="169">
        <v>1983.1</v>
      </c>
      <c r="E71" s="169">
        <v>1935.7</v>
      </c>
      <c r="F71" s="169">
        <v>2034</v>
      </c>
      <c r="G71" s="169">
        <v>2112.1</v>
      </c>
      <c r="H71" s="170"/>
      <c r="I71" s="169">
        <v>2214.4</v>
      </c>
      <c r="J71" s="169">
        <v>2158.6</v>
      </c>
      <c r="K71" s="169">
        <v>2054.4</v>
      </c>
      <c r="L71" s="169">
        <v>2060.6</v>
      </c>
      <c r="M71" s="385"/>
      <c r="N71" s="169">
        <v>2238.8000000000002</v>
      </c>
      <c r="O71" s="169">
        <v>2203.1</v>
      </c>
      <c r="P71" s="169">
        <v>2346.8000000000002</v>
      </c>
      <c r="Q71" s="169">
        <f t="shared" ref="Q71" si="155">Q72*Q56</f>
        <v>2596.2130281594132</v>
      </c>
      <c r="R71" s="170">
        <f>SUM(N71:Q71)</f>
        <v>9384.9130281594134</v>
      </c>
      <c r="S71" s="169">
        <f>S72*S56</f>
        <v>2395.5874362251316</v>
      </c>
      <c r="T71" s="169">
        <f>T72*T56</f>
        <v>2330.9498820543322</v>
      </c>
      <c r="U71" s="169">
        <f t="shared" ref="U71:V71" si="156">U72*U56</f>
        <v>2545.8121471364957</v>
      </c>
      <c r="V71" s="169">
        <f t="shared" si="156"/>
        <v>2524.2214573566603</v>
      </c>
      <c r="W71" s="170">
        <f>SUM(S71:V71)</f>
        <v>9796.5709227726202</v>
      </c>
      <c r="X71" s="169">
        <f>X72*X56</f>
        <v>2487.3472078992136</v>
      </c>
      <c r="Y71" s="169">
        <f>Y72*Y56</f>
        <v>2482.755797064237</v>
      </c>
      <c r="Z71" s="169">
        <f t="shared" ref="Z71:AA71" si="157">Z72*Z56</f>
        <v>2815.4599977934013</v>
      </c>
      <c r="AA71" s="169">
        <f t="shared" si="157"/>
        <v>2720.5876095779154</v>
      </c>
      <c r="AB71" s="170">
        <f>SUM(X71:AA71)</f>
        <v>10506.150612334766</v>
      </c>
      <c r="AC71" s="169">
        <f>AC72*AC56</f>
        <v>2673.1308275748543</v>
      </c>
      <c r="AD71" s="169">
        <f>AD72*AD56</f>
        <v>2673.951347767098</v>
      </c>
      <c r="AE71" s="169">
        <f t="shared" ref="AE71:AF71" si="158">AE72*AE56</f>
        <v>3022.5819510741658</v>
      </c>
      <c r="AF71" s="169">
        <f t="shared" si="158"/>
        <v>2906.8064985577662</v>
      </c>
      <c r="AG71" s="170">
        <f>SUM(AC71:AF71)</f>
        <v>11276.470624973885</v>
      </c>
      <c r="AH71" s="169">
        <f>AH72*AH56</f>
        <v>2868.983668000983</v>
      </c>
      <c r="AI71" s="169">
        <f>AI72*AI56</f>
        <v>2869.4935354813797</v>
      </c>
      <c r="AJ71" s="169">
        <f t="shared" ref="AJ71:AK71" si="159">AJ72*AJ56</f>
        <v>3228.9661917953194</v>
      </c>
      <c r="AK71" s="169">
        <f t="shared" si="159"/>
        <v>3104.4013772556605</v>
      </c>
      <c r="AL71" s="170">
        <f>SUM(AH71:AK71)</f>
        <v>12071.844772533343</v>
      </c>
      <c r="AM71" s="169">
        <f>AM72*AM56</f>
        <v>3063.3121774451861</v>
      </c>
      <c r="AN71" s="169">
        <f>AN72*AN56</f>
        <v>3063.2588987740392</v>
      </c>
      <c r="AO71" s="169">
        <f t="shared" ref="AO71:AP71" si="160">AO72*AO56</f>
        <v>3447.1786406524466</v>
      </c>
      <c r="AP71" s="169">
        <f t="shared" si="160"/>
        <v>3313.3065558516946</v>
      </c>
      <c r="AQ71" s="170">
        <f>SUM(AM71:AP71)</f>
        <v>12887.056272723366</v>
      </c>
    </row>
    <row r="72" spans="1:43" s="562" customFormat="1" outlineLevel="1" x14ac:dyDescent="0.25">
      <c r="A72" s="560"/>
      <c r="B72" s="467" t="s">
        <v>340</v>
      </c>
      <c r="C72" s="561"/>
      <c r="D72" s="475">
        <f>D71/D56</f>
        <v>0.48460485802257952</v>
      </c>
      <c r="E72" s="475">
        <f t="shared" ref="E72:P72" si="161">E71/E56</f>
        <v>0.50283146300914383</v>
      </c>
      <c r="F72" s="475">
        <f t="shared" si="161"/>
        <v>0.48634689876141746</v>
      </c>
      <c r="G72" s="475">
        <f>G71/G56</f>
        <v>0.5072042649248355</v>
      </c>
      <c r="H72" s="476"/>
      <c r="I72" s="475">
        <f t="shared" si="161"/>
        <v>0.49528069783046302</v>
      </c>
      <c r="J72" s="475">
        <f t="shared" si="161"/>
        <v>0.55870172895744896</v>
      </c>
      <c r="K72" s="475">
        <f t="shared" si="161"/>
        <v>0.79971972439565575</v>
      </c>
      <c r="L72" s="475">
        <f t="shared" si="161"/>
        <v>0.53172657600701878</v>
      </c>
      <c r="M72" s="476"/>
      <c r="N72" s="475">
        <f t="shared" si="161"/>
        <v>0.52249813293502612</v>
      </c>
      <c r="O72" s="475">
        <f t="shared" si="161"/>
        <v>0.51614187986130633</v>
      </c>
      <c r="P72" s="475">
        <f t="shared" si="161"/>
        <v>0.47604365288652684</v>
      </c>
      <c r="Q72" s="477">
        <v>0.49</v>
      </c>
      <c r="R72" s="476">
        <f t="shared" ref="R72" si="162">R71/R56</f>
        <v>0.49969203886728525</v>
      </c>
      <c r="S72" s="477">
        <v>0.49</v>
      </c>
      <c r="T72" s="477">
        <v>0.49</v>
      </c>
      <c r="U72" s="477">
        <v>0.47</v>
      </c>
      <c r="V72" s="477">
        <v>0.48</v>
      </c>
      <c r="W72" s="476">
        <f t="shared" ref="W72" si="163">W71/W56</f>
        <v>0.48208123981892731</v>
      </c>
      <c r="X72" s="477">
        <f>V72</f>
        <v>0.48</v>
      </c>
      <c r="Y72" s="477">
        <f>X72</f>
        <v>0.48</v>
      </c>
      <c r="Z72" s="477">
        <f>Y72</f>
        <v>0.48</v>
      </c>
      <c r="AA72" s="477">
        <f>Z72</f>
        <v>0.48</v>
      </c>
      <c r="AB72" s="476">
        <f t="shared" ref="AB72" si="164">AB71/AB56</f>
        <v>0.47999999999999987</v>
      </c>
      <c r="AC72" s="477">
        <f>AA72</f>
        <v>0.48</v>
      </c>
      <c r="AD72" s="477">
        <f>AC72</f>
        <v>0.48</v>
      </c>
      <c r="AE72" s="477">
        <f>AD72</f>
        <v>0.48</v>
      </c>
      <c r="AF72" s="477">
        <f>AE72</f>
        <v>0.48</v>
      </c>
      <c r="AG72" s="476">
        <f t="shared" ref="AG72" si="165">AG71/AG56</f>
        <v>0.48000000000000004</v>
      </c>
      <c r="AH72" s="477">
        <f>AF72</f>
        <v>0.48</v>
      </c>
      <c r="AI72" s="477">
        <f>AH72</f>
        <v>0.48</v>
      </c>
      <c r="AJ72" s="477">
        <f>AI72</f>
        <v>0.48</v>
      </c>
      <c r="AK72" s="477">
        <f>AJ72</f>
        <v>0.48</v>
      </c>
      <c r="AL72" s="476">
        <f t="shared" ref="AL72" si="166">AL71/AL56</f>
        <v>0.48</v>
      </c>
      <c r="AM72" s="477">
        <f>AK72</f>
        <v>0.48</v>
      </c>
      <c r="AN72" s="477">
        <f>AM72</f>
        <v>0.48</v>
      </c>
      <c r="AO72" s="477">
        <f>AN72</f>
        <v>0.48</v>
      </c>
      <c r="AP72" s="477">
        <f>AO72</f>
        <v>0.48</v>
      </c>
      <c r="AQ72" s="476">
        <f t="shared" ref="AQ72" si="167">AQ71/AQ56</f>
        <v>0.48</v>
      </c>
    </row>
    <row r="73" spans="1:43" outlineLevel="1" x14ac:dyDescent="0.25">
      <c r="A73" s="254"/>
      <c r="B73" s="550" t="s">
        <v>142</v>
      </c>
      <c r="C73" s="36"/>
      <c r="D73" s="169">
        <v>44.5</v>
      </c>
      <c r="E73" s="169">
        <v>39.4</v>
      </c>
      <c r="F73" s="169">
        <v>41.7</v>
      </c>
      <c r="G73" s="169">
        <v>34.200000000000003</v>
      </c>
      <c r="H73" s="170"/>
      <c r="I73" s="169">
        <v>42.5</v>
      </c>
      <c r="J73" s="169">
        <v>41.8</v>
      </c>
      <c r="K73" s="169">
        <v>40.700000000000003</v>
      </c>
      <c r="L73" s="169">
        <v>41.8</v>
      </c>
      <c r="M73" s="170"/>
      <c r="N73" s="169">
        <v>42.8</v>
      </c>
      <c r="O73" s="169">
        <v>41.9</v>
      </c>
      <c r="P73" s="169">
        <v>39.700000000000003</v>
      </c>
      <c r="Q73" s="169">
        <f t="shared" ref="Q73" si="168">Q68*Q74</f>
        <v>43.262391389415889</v>
      </c>
      <c r="R73" s="170">
        <f>SUM(N73:Q73)</f>
        <v>167.66239138941589</v>
      </c>
      <c r="S73" s="169">
        <f>S68*S74</f>
        <v>39.965140478075384</v>
      </c>
      <c r="T73" s="169">
        <f>T68*T74</f>
        <v>38.699086828908968</v>
      </c>
      <c r="U73" s="169">
        <f t="shared" ref="U73:V73" si="169">U68*U74</f>
        <v>43.561812222781903</v>
      </c>
      <c r="V73" s="169">
        <f t="shared" si="169"/>
        <v>43.044832788344095</v>
      </c>
      <c r="W73" s="170">
        <f>SUM(S73:V73)</f>
        <v>165.27087231811032</v>
      </c>
      <c r="X73" s="169">
        <f>X68*X74</f>
        <v>42.282978217462649</v>
      </c>
      <c r="Y73" s="169">
        <f>Y68*Y74</f>
        <v>41.918808089888451</v>
      </c>
      <c r="Z73" s="169">
        <f t="shared" ref="Z73:AA73" si="170">Z68*Z74</f>
        <v>47.042918420118262</v>
      </c>
      <c r="AA73" s="169">
        <f t="shared" si="170"/>
        <v>46.278953312478926</v>
      </c>
      <c r="AB73" s="170">
        <f>SUM(X73:AA73)</f>
        <v>177.52365803994829</v>
      </c>
      <c r="AC73" s="169">
        <f>AC68*AC74</f>
        <v>45.351107305146442</v>
      </c>
      <c r="AD73" s="169">
        <f>AD68*AD74</f>
        <v>45.054030161540943</v>
      </c>
      <c r="AE73" s="169">
        <f t="shared" ref="AE73:AF73" si="171">AE68*AE74</f>
        <v>50.423430596983479</v>
      </c>
      <c r="AF73" s="169">
        <f t="shared" si="171"/>
        <v>49.37583695946504</v>
      </c>
      <c r="AG73" s="170">
        <f>SUM(AC73:AF73)</f>
        <v>190.20440502313591</v>
      </c>
      <c r="AH73" s="169">
        <f>AH68*AH74</f>
        <v>48.584288569848773</v>
      </c>
      <c r="AI73" s="169">
        <f>AI68*AI74</f>
        <v>48.265128400131466</v>
      </c>
      <c r="AJ73" s="169">
        <f t="shared" ref="AJ73:AK73" si="172">AJ68*AJ74</f>
        <v>53.801254159561097</v>
      </c>
      <c r="AK73" s="169">
        <f t="shared" si="172"/>
        <v>52.656202443379001</v>
      </c>
      <c r="AL73" s="170">
        <f>SUM(AH73:AK73)</f>
        <v>203.30687357292032</v>
      </c>
      <c r="AM73" s="169">
        <f>AM68*AM74</f>
        <v>51.802532088099532</v>
      </c>
      <c r="AN73" s="169">
        <f>AN68*AN74</f>
        <v>51.456787195414293</v>
      </c>
      <c r="AO73" s="169">
        <f t="shared" ref="AO73:AP73" si="173">AO68*AO74</f>
        <v>57.368021412550874</v>
      </c>
      <c r="AP73" s="169">
        <f t="shared" si="173"/>
        <v>56.118916591529462</v>
      </c>
      <c r="AQ73" s="170">
        <f>SUM(AM73:AP73)</f>
        <v>216.74625728759418</v>
      </c>
    </row>
    <row r="74" spans="1:43" s="473" customFormat="1" outlineLevel="1" x14ac:dyDescent="0.25">
      <c r="A74" s="471"/>
      <c r="B74" s="467" t="s">
        <v>342</v>
      </c>
      <c r="C74" s="478"/>
      <c r="D74" s="475">
        <f>D73/D68</f>
        <v>9.6476964769647705E-3</v>
      </c>
      <c r="E74" s="475">
        <f t="shared" ref="E74:P74" si="174">E73/E68</f>
        <v>9.1328434667717479E-3</v>
      </c>
      <c r="F74" s="475">
        <f t="shared" si="174"/>
        <v>8.908162611352034E-3</v>
      </c>
      <c r="G74" s="475">
        <f t="shared" si="174"/>
        <v>7.352625016124179E-3</v>
      </c>
      <c r="H74" s="476"/>
      <c r="I74" s="475">
        <f t="shared" si="174"/>
        <v>8.4815103075295863E-3</v>
      </c>
      <c r="J74" s="475">
        <f t="shared" si="174"/>
        <v>9.6535796766743648E-3</v>
      </c>
      <c r="K74" s="475">
        <f t="shared" si="174"/>
        <v>1.4507217964712174E-2</v>
      </c>
      <c r="L74" s="475">
        <f t="shared" si="174"/>
        <v>9.8750265775236819E-3</v>
      </c>
      <c r="M74" s="476"/>
      <c r="N74" s="475">
        <f t="shared" si="174"/>
        <v>9.1001871066507915E-3</v>
      </c>
      <c r="O74" s="475">
        <f t="shared" si="174"/>
        <v>8.982549414740814E-3</v>
      </c>
      <c r="P74" s="475">
        <f t="shared" si="174"/>
        <v>7.3514434383275002E-3</v>
      </c>
      <c r="Q74" s="477">
        <f>P74</f>
        <v>7.3514434383275002E-3</v>
      </c>
      <c r="R74" s="476">
        <f t="shared" ref="R74" si="175">R73/R68</f>
        <v>8.1180710698722548E-3</v>
      </c>
      <c r="S74" s="477">
        <f>Q74</f>
        <v>7.3514434383275002E-3</v>
      </c>
      <c r="T74" s="477">
        <f>S74</f>
        <v>7.3514434383275002E-3</v>
      </c>
      <c r="U74" s="477">
        <f>T74</f>
        <v>7.3514434383275002E-3</v>
      </c>
      <c r="V74" s="477">
        <f>U74</f>
        <v>7.3514434383275002E-3</v>
      </c>
      <c r="W74" s="476">
        <f t="shared" ref="W74" si="176">W73/W68</f>
        <v>7.3514434383274993E-3</v>
      </c>
      <c r="X74" s="477">
        <f>V74</f>
        <v>7.3514434383275002E-3</v>
      </c>
      <c r="Y74" s="477">
        <f>X74</f>
        <v>7.3514434383275002E-3</v>
      </c>
      <c r="Z74" s="477">
        <f>Y74</f>
        <v>7.3514434383275002E-3</v>
      </c>
      <c r="AA74" s="477">
        <f>Z74</f>
        <v>7.3514434383275002E-3</v>
      </c>
      <c r="AB74" s="476">
        <f t="shared" ref="AB74" si="177">AB73/AB68</f>
        <v>7.3514434383274993E-3</v>
      </c>
      <c r="AC74" s="477">
        <f>AA74</f>
        <v>7.3514434383275002E-3</v>
      </c>
      <c r="AD74" s="477">
        <f>AC74</f>
        <v>7.3514434383275002E-3</v>
      </c>
      <c r="AE74" s="477">
        <f>AD74</f>
        <v>7.3514434383275002E-3</v>
      </c>
      <c r="AF74" s="477">
        <f>AE74</f>
        <v>7.3514434383275002E-3</v>
      </c>
      <c r="AG74" s="476">
        <f t="shared" ref="AG74" si="178">AG73/AG68</f>
        <v>7.3514434383275002E-3</v>
      </c>
      <c r="AH74" s="477">
        <f>AF74</f>
        <v>7.3514434383275002E-3</v>
      </c>
      <c r="AI74" s="477">
        <f>AH74</f>
        <v>7.3514434383275002E-3</v>
      </c>
      <c r="AJ74" s="477">
        <f>AI74</f>
        <v>7.3514434383275002E-3</v>
      </c>
      <c r="AK74" s="477">
        <f>AJ74</f>
        <v>7.3514434383275002E-3</v>
      </c>
      <c r="AL74" s="476">
        <f t="shared" ref="AL74" si="179">AL73/AL68</f>
        <v>7.3514434383274993E-3</v>
      </c>
      <c r="AM74" s="477">
        <f>AK74</f>
        <v>7.3514434383275002E-3</v>
      </c>
      <c r="AN74" s="477">
        <f>AM74</f>
        <v>7.3514434383275002E-3</v>
      </c>
      <c r="AO74" s="477">
        <f>AN74</f>
        <v>7.3514434383275002E-3</v>
      </c>
      <c r="AP74" s="477">
        <f>AO74</f>
        <v>7.3514434383275002E-3</v>
      </c>
      <c r="AQ74" s="476">
        <f t="shared" ref="AQ74" si="180">AQ73/AQ68</f>
        <v>7.3514434383275002E-3</v>
      </c>
    </row>
    <row r="75" spans="1:43" outlineLevel="1" x14ac:dyDescent="0.25">
      <c r="A75" s="254"/>
      <c r="B75" s="550" t="s">
        <v>143</v>
      </c>
      <c r="C75" s="36"/>
      <c r="D75" s="205">
        <v>166.9</v>
      </c>
      <c r="E75" s="205">
        <v>173</v>
      </c>
      <c r="F75" s="205">
        <v>175.6</v>
      </c>
      <c r="G75" s="205">
        <v>180.6</v>
      </c>
      <c r="H75" s="18"/>
      <c r="I75" s="205">
        <v>189.2</v>
      </c>
      <c r="J75" s="205">
        <v>191.5</v>
      </c>
      <c r="K75" s="205">
        <v>191.3</v>
      </c>
      <c r="L75" s="205">
        <v>190</v>
      </c>
      <c r="M75" s="386"/>
      <c r="N75" s="205">
        <v>188.9</v>
      </c>
      <c r="O75" s="205">
        <v>186</v>
      </c>
      <c r="P75" s="205">
        <v>188.9</v>
      </c>
      <c r="Q75" s="205">
        <f>(P75/(P75+P110+P125+P138))*Q245</f>
        <v>202.01447557891524</v>
      </c>
      <c r="R75" s="170">
        <f t="shared" ref="R75:R76" si="181">SUM(N75:Q75)</f>
        <v>765.81447557891522</v>
      </c>
      <c r="S75" s="205">
        <f>(Q75/(Q75+Q110+Q125+Q138))*S245</f>
        <v>213.98238429310106</v>
      </c>
      <c r="T75" s="205">
        <f>(S75/(S75+S110+S125+S138))*T245</f>
        <v>216.36156205413081</v>
      </c>
      <c r="U75" s="205">
        <f>(T75/(T75+T110+T125+T138))*U245</f>
        <v>217.88202133276766</v>
      </c>
      <c r="V75" s="205">
        <f>(U75/(U75+U110+U125+U138))*V245</f>
        <v>222.18026416648755</v>
      </c>
      <c r="W75" s="170">
        <f t="shared" ref="W75:W76" si="182">SUM(S75:V75)</f>
        <v>870.406231846487</v>
      </c>
      <c r="X75" s="205">
        <f>(V75/(V75+V110+V125+V138))*X245</f>
        <v>225.31459992444303</v>
      </c>
      <c r="Y75" s="205">
        <f>(X75/(X75+X110+X125+X138))*Y245</f>
        <v>227.32323687952191</v>
      </c>
      <c r="Z75" s="205">
        <f>(Y75/(Y75+Y110+Y125+Y138))*Z245</f>
        <v>228.98381839737326</v>
      </c>
      <c r="AA75" s="205">
        <f>(Z75/(Z75+Z110+Z125+Z138))*AA245</f>
        <v>232.18296733137447</v>
      </c>
      <c r="AB75" s="170">
        <f t="shared" ref="AB75:AB76" si="183">SUM(X75:AA75)</f>
        <v>913.80462253271264</v>
      </c>
      <c r="AC75" s="205">
        <f>(AA75/(AA75+AA110+AA125+AA138))*AC245</f>
        <v>234.53365198673677</v>
      </c>
      <c r="AD75" s="205">
        <f>(AC75/(AC75+AC110+AC125+AC138))*AD245</f>
        <v>235.86025304136342</v>
      </c>
      <c r="AE75" s="205">
        <f>(AD75/(AD75+AD110+AD125+AD138))*AE245</f>
        <v>236.86793347167367</v>
      </c>
      <c r="AF75" s="205">
        <f>(AE75/(AE75+AE110+AE125+AE138))*AF245</f>
        <v>239.26517032627157</v>
      </c>
      <c r="AG75" s="170">
        <f t="shared" ref="AG75:AG76" si="184">SUM(AC75:AF75)</f>
        <v>946.5270088260454</v>
      </c>
      <c r="AH75" s="205">
        <f>(AF75/(AF75+AF110+AF125+AF138))*AH245</f>
        <v>241.87354777811086</v>
      </c>
      <c r="AI75" s="205">
        <f>(AH75/(AH75+AH110+AH125+AH138))*AI245</f>
        <v>244.15306919396684</v>
      </c>
      <c r="AJ75" s="205">
        <f>(AI75/(AI75+AI110+AI125+AI138))*AJ245</f>
        <v>246.00951211800242</v>
      </c>
      <c r="AK75" s="205">
        <f>(AJ75/(AJ75+AJ110+AJ125+AJ138))*AK245</f>
        <v>249.25481353148763</v>
      </c>
      <c r="AL75" s="170">
        <f t="shared" ref="AL75:AL76" si="185">SUM(AH75:AK75)</f>
        <v>981.29094262156764</v>
      </c>
      <c r="AM75" s="205">
        <f>(AK75/(AK75+AK110+AK125+AK138))*AM245</f>
        <v>252.52868272080698</v>
      </c>
      <c r="AN75" s="205">
        <f>(AM75/(AM75+AM110+AM125+AM138))*AN245</f>
        <v>255.56286223793799</v>
      </c>
      <c r="AO75" s="205">
        <f>(AN75/(AN75+AN110+AN125+AN138))*AO245</f>
        <v>258.07874562262765</v>
      </c>
      <c r="AP75" s="205">
        <f>(AO75/(AO75+AO110+AO125+AO138))*AP245</f>
        <v>262.01868873182747</v>
      </c>
      <c r="AQ75" s="170">
        <f t="shared" ref="AQ75:AQ76" si="186">SUM(AM75:AP75)</f>
        <v>1028.1889793132002</v>
      </c>
    </row>
    <row r="76" spans="1:43" outlineLevel="1" x14ac:dyDescent="0.25">
      <c r="A76" s="254"/>
      <c r="B76" s="550" t="s">
        <v>144</v>
      </c>
      <c r="C76" s="36"/>
      <c r="D76" s="169">
        <v>75.099999999999994</v>
      </c>
      <c r="E76" s="169">
        <v>70.900000000000006</v>
      </c>
      <c r="F76" s="169">
        <v>72</v>
      </c>
      <c r="G76" s="169">
        <v>106</v>
      </c>
      <c r="H76" s="170"/>
      <c r="I76" s="169">
        <v>72.400000000000006</v>
      </c>
      <c r="J76" s="169">
        <v>68.2</v>
      </c>
      <c r="K76" s="169">
        <v>62.2</v>
      </c>
      <c r="L76" s="169">
        <v>65.2</v>
      </c>
      <c r="M76" s="385"/>
      <c r="N76" s="169">
        <v>70.8</v>
      </c>
      <c r="O76" s="169">
        <v>77.7</v>
      </c>
      <c r="P76" s="169">
        <v>73.2</v>
      </c>
      <c r="Q76" s="169">
        <f t="shared" ref="Q76" si="187">Q77*Q68</f>
        <v>86.628107696432707</v>
      </c>
      <c r="R76" s="170">
        <f t="shared" si="181"/>
        <v>308.32810769643271</v>
      </c>
      <c r="S76" s="169">
        <f>S77*S68</f>
        <v>80.025730946643364</v>
      </c>
      <c r="T76" s="169">
        <f>T77*T68</f>
        <v>98.547192195408797</v>
      </c>
      <c r="U76" s="169">
        <f t="shared" ref="U76:V76" si="188">U77*U68</f>
        <v>110.93011833788081</v>
      </c>
      <c r="V76" s="169">
        <f t="shared" si="188"/>
        <v>86.192470892302111</v>
      </c>
      <c r="W76" s="170">
        <f t="shared" si="182"/>
        <v>375.69551237223504</v>
      </c>
      <c r="X76" s="169">
        <f>X77*X68</f>
        <v>81.888967107587732</v>
      </c>
      <c r="Y76" s="169">
        <f>Y77*Y68</f>
        <v>103.9921604422364</v>
      </c>
      <c r="Z76" s="169">
        <f t="shared" ref="Z76:AA76" si="189">Z77*Z68</f>
        <v>116.70405106761693</v>
      </c>
      <c r="AA76" s="169">
        <f t="shared" si="189"/>
        <v>89.627927013287675</v>
      </c>
      <c r="AB76" s="170">
        <f t="shared" si="183"/>
        <v>392.21310563072871</v>
      </c>
      <c r="AC76" s="169">
        <f>AC77*AC68</f>
        <v>86.945380279489143</v>
      </c>
      <c r="AD76" s="169">
        <f>AD77*AD68</f>
        <v>110.89022132781349</v>
      </c>
      <c r="AE76" s="169">
        <f t="shared" ref="AE76:AF76" si="190">AE77*AE68</f>
        <v>124.1057760861565</v>
      </c>
      <c r="AF76" s="169">
        <f t="shared" si="190"/>
        <v>94.661435544961293</v>
      </c>
      <c r="AG76" s="170">
        <f t="shared" si="184"/>
        <v>416.60281323842042</v>
      </c>
      <c r="AH76" s="169">
        <f>AH77*AH68</f>
        <v>96.115806846483693</v>
      </c>
      <c r="AI76" s="169">
        <f>AI77*AI68</f>
        <v>121.74598150474384</v>
      </c>
      <c r="AJ76" s="169">
        <f t="shared" ref="AJ76:AK76" si="191">AJ77*AJ68</f>
        <v>135.71053700592881</v>
      </c>
      <c r="AK76" s="169">
        <f t="shared" si="191"/>
        <v>104.17140051440528</v>
      </c>
      <c r="AL76" s="170">
        <f t="shared" si="185"/>
        <v>457.74372587156159</v>
      </c>
      <c r="AM76" s="169">
        <f>AM77*AM68</f>
        <v>101.52492966653558</v>
      </c>
      <c r="AN76" s="169">
        <f>AN77*AN68</f>
        <v>128.845518546459</v>
      </c>
      <c r="AO76" s="169">
        <f t="shared" ref="AO76:AP76" si="192">AO77*AO68</f>
        <v>143.64698749678652</v>
      </c>
      <c r="AP76" s="169">
        <f t="shared" si="192"/>
        <v>109.98437393422456</v>
      </c>
      <c r="AQ76" s="170">
        <f t="shared" si="186"/>
        <v>484.00180964400568</v>
      </c>
    </row>
    <row r="77" spans="1:43" s="473" customFormat="1" outlineLevel="1" x14ac:dyDescent="0.25">
      <c r="A77" s="471"/>
      <c r="B77" s="467" t="s">
        <v>343</v>
      </c>
      <c r="C77" s="478"/>
      <c r="D77" s="475">
        <f>D76/D68</f>
        <v>1.6281842818428184E-2</v>
      </c>
      <c r="E77" s="475">
        <f t="shared" ref="E77:P77" si="193">E76/E68</f>
        <v>1.6434482279038501E-2</v>
      </c>
      <c r="F77" s="475">
        <f t="shared" si="193"/>
        <v>1.5381000192262503E-2</v>
      </c>
      <c r="G77" s="475">
        <f t="shared" si="193"/>
        <v>2.2788837769273769E-2</v>
      </c>
      <c r="H77" s="476"/>
      <c r="I77" s="475">
        <f t="shared" si="193"/>
        <v>1.4448502265062167E-2</v>
      </c>
      <c r="J77" s="475">
        <f t="shared" si="193"/>
        <v>1.5750577367205542E-2</v>
      </c>
      <c r="K77" s="475">
        <f t="shared" si="193"/>
        <v>2.2170736054179293E-2</v>
      </c>
      <c r="L77" s="475">
        <f t="shared" si="193"/>
        <v>1.5403151503697228E-2</v>
      </c>
      <c r="M77" s="476"/>
      <c r="N77" s="475">
        <f t="shared" si="193"/>
        <v>1.5053580540908319E-2</v>
      </c>
      <c r="O77" s="475">
        <f t="shared" si="193"/>
        <v>1.6657376838314114E-2</v>
      </c>
      <c r="P77" s="475">
        <f t="shared" si="193"/>
        <v>1.3554802510971613E-2</v>
      </c>
      <c r="Q77" s="477">
        <f>AVERAGE(D77:P77)-0.2%</f>
        <v>1.4720444558121932E-2</v>
      </c>
      <c r="R77" s="476">
        <f t="shared" ref="R77" si="194">R76/R68</f>
        <v>1.4928985984133336E-2</v>
      </c>
      <c r="S77" s="477">
        <f>AVERAGE(D77:P77)-0.2%</f>
        <v>1.4720444558121932E-2</v>
      </c>
      <c r="T77" s="477">
        <f>AVERAGE(D77:P77)+0.2%</f>
        <v>1.8720444558121933E-2</v>
      </c>
      <c r="U77" s="477">
        <f>AVERAGE(D77:P77)+0.2%</f>
        <v>1.8720444558121933E-2</v>
      </c>
      <c r="V77" s="477">
        <f>AVERAGE(D77:P77)-0.2%</f>
        <v>1.4720444558121932E-2</v>
      </c>
      <c r="W77" s="476">
        <f t="shared" ref="W77" si="195">W76/W68</f>
        <v>1.671137975191353E-2</v>
      </c>
      <c r="X77" s="477">
        <f>AVERAGE(I77:U77)-0.2%</f>
        <v>1.4237457608079948E-2</v>
      </c>
      <c r="Y77" s="477">
        <f>AVERAGE(I77:U77)+0.2%</f>
        <v>1.8237457608079946E-2</v>
      </c>
      <c r="Z77" s="477">
        <f>AVERAGE(I77:U77)+0.2%</f>
        <v>1.8237457608079946E-2</v>
      </c>
      <c r="AA77" s="477">
        <f>AVERAGE(I77:U77)-0.2%</f>
        <v>1.4237457608079948E-2</v>
      </c>
      <c r="AB77" s="476">
        <f t="shared" ref="AB77" si="196">AB76/AB68</f>
        <v>1.6241961739917685E-2</v>
      </c>
      <c r="AC77" s="477">
        <f>AVERAGE(N77:Z77)-0.2%</f>
        <v>1.4093901633930034E-2</v>
      </c>
      <c r="AD77" s="477">
        <f>AVERAGE(N77:Z77)+0.2%</f>
        <v>1.8093901633930036E-2</v>
      </c>
      <c r="AE77" s="477">
        <f>AVERAGE(N77:Z77)+0.2%</f>
        <v>1.8093901633930036E-2</v>
      </c>
      <c r="AF77" s="477">
        <f>AVERAGE(N77:Z77)-0.2%</f>
        <v>1.4093901633930034E-2</v>
      </c>
      <c r="AG77" s="476">
        <f t="shared" ref="AG77" si="197">AG76/AG68</f>
        <v>1.6101793317551363E-2</v>
      </c>
      <c r="AH77" s="477">
        <f>AVERAGE(S77:AE77)-0.2%</f>
        <v>1.4543588850648376E-2</v>
      </c>
      <c r="AI77" s="477">
        <f>AVERAGE(S77:AE77)+0.2%</f>
        <v>1.8543588850648378E-2</v>
      </c>
      <c r="AJ77" s="477">
        <f>AVERAGE(S77:AE77)+0.2%</f>
        <v>1.8543588850648378E-2</v>
      </c>
      <c r="AK77" s="477">
        <f>AVERAGE(S77:AE77)-0.2%</f>
        <v>1.4543588850648376E-2</v>
      </c>
      <c r="AL77" s="476">
        <f t="shared" ref="AL77" si="198">AL76/AL68</f>
        <v>1.6551713431307655E-2</v>
      </c>
      <c r="AM77" s="477">
        <f>AVERAGE(X77:AJ77)-0.2%</f>
        <v>1.4407689121342626E-2</v>
      </c>
      <c r="AN77" s="477">
        <f>AVERAGE(X77:AJ77)+0.2%</f>
        <v>1.8407689121342628E-2</v>
      </c>
      <c r="AO77" s="477">
        <f>AVERAGE(X77:AJ77)+0.2%</f>
        <v>1.8407689121342628E-2</v>
      </c>
      <c r="AP77" s="477">
        <f>AVERAGE(X77:AJ77)-0.2%</f>
        <v>1.4407689121342626E-2</v>
      </c>
      <c r="AQ77" s="476">
        <f t="shared" ref="AQ77" si="199">AQ76/AQ68</f>
        <v>1.6416024766346522E-2</v>
      </c>
    </row>
    <row r="78" spans="1:43" ht="17.25" outlineLevel="1" x14ac:dyDescent="0.4">
      <c r="A78" s="254"/>
      <c r="B78" s="550" t="s">
        <v>152</v>
      </c>
      <c r="C78" s="36"/>
      <c r="D78" s="288">
        <v>22.9</v>
      </c>
      <c r="E78" s="288">
        <v>18.2</v>
      </c>
      <c r="F78" s="288">
        <v>15.1</v>
      </c>
      <c r="G78" s="288">
        <v>0.7</v>
      </c>
      <c r="H78" s="319"/>
      <c r="I78" s="288">
        <v>5.2</v>
      </c>
      <c r="J78" s="288">
        <v>0.5</v>
      </c>
      <c r="K78" s="288">
        <v>56.2</v>
      </c>
      <c r="L78" s="206">
        <v>195.6</v>
      </c>
      <c r="M78" s="384"/>
      <c r="N78" s="206">
        <v>72.2</v>
      </c>
      <c r="O78" s="288">
        <v>23</v>
      </c>
      <c r="P78" s="288">
        <v>19.8</v>
      </c>
      <c r="Q78" s="292">
        <v>5</v>
      </c>
      <c r="R78" s="174">
        <f>SUM(N78:Q78)</f>
        <v>120</v>
      </c>
      <c r="S78" s="292">
        <v>0</v>
      </c>
      <c r="T78" s="292">
        <v>0</v>
      </c>
      <c r="U78" s="292">
        <v>0</v>
      </c>
      <c r="V78" s="292">
        <v>0</v>
      </c>
      <c r="W78" s="174">
        <f>SUM(S78:V78)</f>
        <v>0</v>
      </c>
      <c r="X78" s="292">
        <v>0</v>
      </c>
      <c r="Y78" s="292">
        <v>0</v>
      </c>
      <c r="Z78" s="292">
        <v>0</v>
      </c>
      <c r="AA78" s="292">
        <v>0</v>
      </c>
      <c r="AB78" s="174">
        <f>SUM(X78:AA78)</f>
        <v>0</v>
      </c>
      <c r="AC78" s="292">
        <v>0</v>
      </c>
      <c r="AD78" s="292">
        <v>0</v>
      </c>
      <c r="AE78" s="292">
        <v>0</v>
      </c>
      <c r="AF78" s="292">
        <v>0</v>
      </c>
      <c r="AG78" s="174">
        <f>SUM(AC78:AF78)</f>
        <v>0</v>
      </c>
      <c r="AH78" s="292">
        <v>0</v>
      </c>
      <c r="AI78" s="292">
        <v>0</v>
      </c>
      <c r="AJ78" s="292">
        <v>0</v>
      </c>
      <c r="AK78" s="292">
        <v>0</v>
      </c>
      <c r="AL78" s="174">
        <f>SUM(AH78:AK78)</f>
        <v>0</v>
      </c>
      <c r="AM78" s="292">
        <v>0</v>
      </c>
      <c r="AN78" s="292">
        <v>0</v>
      </c>
      <c r="AO78" s="292">
        <v>0</v>
      </c>
      <c r="AP78" s="292">
        <v>0</v>
      </c>
      <c r="AQ78" s="174">
        <f>SUM(AM78:AP78)</f>
        <v>0</v>
      </c>
    </row>
    <row r="79" spans="1:43" outlineLevel="1" x14ac:dyDescent="0.25">
      <c r="A79" s="254"/>
      <c r="B79" s="167" t="s">
        <v>238</v>
      </c>
      <c r="C79" s="39"/>
      <c r="D79" s="259">
        <f>+D69+D71+D73+D75+D76+D78</f>
        <v>3643.7999999999997</v>
      </c>
      <c r="E79" s="259">
        <f t="shared" ref="E79:G79" si="200">+E69+E71+E73+E75+E76+E78</f>
        <v>3457.7</v>
      </c>
      <c r="F79" s="259">
        <f t="shared" si="200"/>
        <v>3662.3999999999996</v>
      </c>
      <c r="G79" s="259">
        <f t="shared" si="200"/>
        <v>3712.4999999999995</v>
      </c>
      <c r="H79" s="414">
        <f>+H69+H71+H73+H75+H76+H78</f>
        <v>0</v>
      </c>
      <c r="I79" s="259">
        <f t="shared" ref="I79:L79" si="201">+I69+I71+I73+I75+I76+I78</f>
        <v>3912.1</v>
      </c>
      <c r="J79" s="259">
        <f t="shared" si="201"/>
        <v>3708.8</v>
      </c>
      <c r="K79" s="259">
        <f t="shared" si="201"/>
        <v>3210.3999999999996</v>
      </c>
      <c r="L79" s="171">
        <f t="shared" si="201"/>
        <v>3722.6</v>
      </c>
      <c r="M79" s="479">
        <f>+M69+M71+M73+M75+M76+M78</f>
        <v>0</v>
      </c>
      <c r="N79" s="171">
        <f t="shared" ref="N79:Q79" si="202">+N69+N71+N73+N75+N76+N78</f>
        <v>3889.7000000000003</v>
      </c>
      <c r="O79" s="171">
        <f t="shared" si="202"/>
        <v>3759.2999999999997</v>
      </c>
      <c r="P79" s="171">
        <f t="shared" si="202"/>
        <v>4084.6</v>
      </c>
      <c r="Q79" s="171">
        <f t="shared" si="202"/>
        <v>4522.0366652793637</v>
      </c>
      <c r="R79" s="479">
        <f>+R69+R71+R73+R75+R76+R78</f>
        <v>16255.636665279362</v>
      </c>
      <c r="S79" s="171">
        <f t="shared" ref="S79:AK79" si="203">+S69+S71+S73+S75+S76+S78</f>
        <v>4197.3796338425136</v>
      </c>
      <c r="T79" s="171">
        <f t="shared" si="203"/>
        <v>4158.519184306685</v>
      </c>
      <c r="U79" s="171">
        <f t="shared" si="203"/>
        <v>4518.1017344859983</v>
      </c>
      <c r="V79" s="171">
        <f t="shared" si="203"/>
        <v>4485.8437579341726</v>
      </c>
      <c r="W79" s="479">
        <f>+W69+W71+W73+W75+W76+W78</f>
        <v>17359.84431056937</v>
      </c>
      <c r="X79" s="171">
        <f t="shared" si="203"/>
        <v>4389.7810368337487</v>
      </c>
      <c r="Y79" s="171">
        <f t="shared" si="203"/>
        <v>4452.5834284655784</v>
      </c>
      <c r="Z79" s="171">
        <f t="shared" si="203"/>
        <v>4999.950086846422</v>
      </c>
      <c r="AA79" s="171">
        <f t="shared" si="203"/>
        <v>4788.386840731594</v>
      </c>
      <c r="AB79" s="479">
        <f>+AB69+AB71+AB73+AB75+AB76+AB78</f>
        <v>18630.701392877345</v>
      </c>
      <c r="AC79" s="171">
        <f t="shared" si="203"/>
        <v>4716.1022982925269</v>
      </c>
      <c r="AD79" s="171">
        <f t="shared" si="203"/>
        <v>4792.2034098883587</v>
      </c>
      <c r="AE79" s="171">
        <f t="shared" si="203"/>
        <v>5366.1793469523609</v>
      </c>
      <c r="AF79" s="171">
        <f t="shared" si="203"/>
        <v>5115.0011216574276</v>
      </c>
      <c r="AG79" s="479">
        <f>+AG69+AG71+AG73+AG75+AG76+AG78</f>
        <v>19989.48617679067</v>
      </c>
      <c r="AH79" s="171">
        <f t="shared" si="203"/>
        <v>5041.8502739958258</v>
      </c>
      <c r="AI79" s="171">
        <f t="shared" si="203"/>
        <v>5123.8700998778149</v>
      </c>
      <c r="AJ79" s="171">
        <f t="shared" si="203"/>
        <v>5715.7766458748602</v>
      </c>
      <c r="AK79" s="171">
        <f t="shared" si="203"/>
        <v>5446.4883466812898</v>
      </c>
      <c r="AL79" s="479">
        <f>+AL69+AL71+AL73+AL75+AL76+AL78</f>
        <v>21327.985366429792</v>
      </c>
      <c r="AM79" s="171">
        <f t="shared" ref="AM79:AP79" si="204">+AM69+AM71+AM73+AM75+AM76+AM78</f>
        <v>5379.5599956589094</v>
      </c>
      <c r="AN79" s="171">
        <f t="shared" si="204"/>
        <v>5466.7607290345732</v>
      </c>
      <c r="AO79" s="171">
        <f t="shared" si="204"/>
        <v>6099.946511393131</v>
      </c>
      <c r="AP79" s="171">
        <f t="shared" si="204"/>
        <v>5811.001327677458</v>
      </c>
      <c r="AQ79" s="479">
        <f>+AQ69+AQ71+AQ73+AQ75+AQ76+AQ78</f>
        <v>22757.268563764072</v>
      </c>
    </row>
    <row r="80" spans="1:43" outlineLevel="1" x14ac:dyDescent="0.25">
      <c r="A80" s="254"/>
      <c r="B80" s="167" t="s">
        <v>239</v>
      </c>
      <c r="C80" s="144"/>
      <c r="D80" s="365">
        <f t="shared" ref="D80:G80" si="205">+D68-D79</f>
        <v>968.70000000000027</v>
      </c>
      <c r="E80" s="365">
        <f t="shared" si="205"/>
        <v>856.40000000000055</v>
      </c>
      <c r="F80" s="365">
        <f t="shared" si="205"/>
        <v>1018.6999999999998</v>
      </c>
      <c r="G80" s="365">
        <f t="shared" si="205"/>
        <v>938.90000000000009</v>
      </c>
      <c r="H80" s="320">
        <f>SUM(D80:G80)</f>
        <v>3782.7000000000007</v>
      </c>
      <c r="I80" s="365">
        <f t="shared" ref="I80:L80" si="206">+I68-I79</f>
        <v>1098.7999999999997</v>
      </c>
      <c r="J80" s="365">
        <f t="shared" si="206"/>
        <v>621.19999999999982</v>
      </c>
      <c r="K80" s="365">
        <f t="shared" si="206"/>
        <v>-404.89999999999964</v>
      </c>
      <c r="L80" s="207">
        <f t="shared" si="206"/>
        <v>510.30000000000064</v>
      </c>
      <c r="M80" s="239">
        <f>SUM(I80:L80)</f>
        <v>1825.4000000000005</v>
      </c>
      <c r="N80" s="207">
        <f>+N68-N79</f>
        <v>813.49999999999955</v>
      </c>
      <c r="O80" s="207">
        <f t="shared" ref="O80:Q80" si="207">+O68-O79</f>
        <v>905.29999999999973</v>
      </c>
      <c r="P80" s="207">
        <f t="shared" si="207"/>
        <v>1315.7000000000003</v>
      </c>
      <c r="Q80" s="207">
        <f t="shared" si="207"/>
        <v>1362.8472697398465</v>
      </c>
      <c r="R80" s="239">
        <f>SUM(N80:Q80)</f>
        <v>4397.3472697398465</v>
      </c>
      <c r="S80" s="207">
        <f t="shared" ref="S80:V80" si="208">+S68-S79</f>
        <v>1238.9868176373475</v>
      </c>
      <c r="T80" s="207">
        <f t="shared" si="208"/>
        <v>1105.6288913144008</v>
      </c>
      <c r="U80" s="207">
        <f t="shared" si="208"/>
        <v>1407.5117301661203</v>
      </c>
      <c r="V80" s="207">
        <f t="shared" si="208"/>
        <v>1369.4461792672037</v>
      </c>
      <c r="W80" s="239">
        <f>SUM(S80:V80)</f>
        <v>5121.5736183850722</v>
      </c>
      <c r="X80" s="207">
        <f t="shared" ref="X80:AA80" si="209">+X68-X79</f>
        <v>1361.8755694071469</v>
      </c>
      <c r="Y80" s="207">
        <f t="shared" si="209"/>
        <v>1249.5359500690465</v>
      </c>
      <c r="Z80" s="207">
        <f t="shared" si="209"/>
        <v>1399.190274467549</v>
      </c>
      <c r="AA80" s="207">
        <f t="shared" si="209"/>
        <v>1506.8330981444751</v>
      </c>
      <c r="AB80" s="239">
        <f>SUM(X80:AA80)</f>
        <v>5517.4348920882176</v>
      </c>
      <c r="AC80" s="207">
        <f t="shared" ref="AC80:AF80" si="210">+AC68-AC79</f>
        <v>1452.9048750067759</v>
      </c>
      <c r="AD80" s="207">
        <f t="shared" si="210"/>
        <v>1336.3930405239726</v>
      </c>
      <c r="AE80" s="207">
        <f t="shared" si="210"/>
        <v>1492.8043369995257</v>
      </c>
      <c r="AF80" s="207">
        <f t="shared" si="210"/>
        <v>1601.4808010679899</v>
      </c>
      <c r="AG80" s="239">
        <f>SUM(AC80:AF80)</f>
        <v>5883.5830535982641</v>
      </c>
      <c r="AH80" s="207">
        <f t="shared" ref="AH80:AK80" si="211">+AH68-AH79</f>
        <v>1566.9591356705305</v>
      </c>
      <c r="AI80" s="207">
        <f t="shared" si="211"/>
        <v>1441.5246834781037</v>
      </c>
      <c r="AJ80" s="207">
        <f t="shared" si="211"/>
        <v>1602.6846346762177</v>
      </c>
      <c r="AK80" s="207">
        <f t="shared" si="211"/>
        <v>1716.2141735952755</v>
      </c>
      <c r="AL80" s="239">
        <f>SUM(AH80:AK80)</f>
        <v>6327.3826274201274</v>
      </c>
      <c r="AM80" s="207">
        <f t="shared" ref="AM80:AP80" si="212">+AM68-AM79</f>
        <v>1667.0197029648671</v>
      </c>
      <c r="AN80" s="207">
        <f t="shared" si="212"/>
        <v>1532.7880843507119</v>
      </c>
      <c r="AO80" s="207">
        <f t="shared" si="212"/>
        <v>1703.6939428687956</v>
      </c>
      <c r="AP80" s="207">
        <f t="shared" si="212"/>
        <v>1822.7262609682994</v>
      </c>
      <c r="AQ80" s="239">
        <f>SUM(AM80:AP80)</f>
        <v>6726.2279911526739</v>
      </c>
    </row>
    <row r="81" spans="1:43" outlineLevel="1" x14ac:dyDescent="0.25">
      <c r="A81" s="254"/>
      <c r="B81" s="167" t="s">
        <v>240</v>
      </c>
      <c r="C81" s="144"/>
      <c r="D81" s="366">
        <f t="shared" ref="D81:G81" si="213">+D80/D68</f>
        <v>0.21001626016260169</v>
      </c>
      <c r="E81" s="366">
        <f t="shared" si="213"/>
        <v>0.19851185647064287</v>
      </c>
      <c r="F81" s="366">
        <f t="shared" si="213"/>
        <v>0.21761979022024736</v>
      </c>
      <c r="G81" s="366">
        <f t="shared" si="213"/>
        <v>0.20185320548652022</v>
      </c>
      <c r="H81" s="321">
        <f>H80/H68</f>
        <v>0.20716793270205</v>
      </c>
      <c r="I81" s="366">
        <f t="shared" ref="I81:L81" si="214">+I80/I68</f>
        <v>0.21928196531561192</v>
      </c>
      <c r="J81" s="366">
        <f t="shared" si="214"/>
        <v>0.14346420323325632</v>
      </c>
      <c r="K81" s="366">
        <f t="shared" si="214"/>
        <v>-0.14432364997326666</v>
      </c>
      <c r="L81" s="208">
        <f t="shared" si="214"/>
        <v>0.12055564742847706</v>
      </c>
      <c r="M81" s="240">
        <f>M80/M68</f>
        <v>0.11144554407086998</v>
      </c>
      <c r="N81" s="208">
        <f>+N80/N68</f>
        <v>0.17296734138458913</v>
      </c>
      <c r="O81" s="208">
        <f t="shared" ref="O81:Q81" si="215">+O80/O68</f>
        <v>0.19407880632851687</v>
      </c>
      <c r="P81" s="208">
        <f t="shared" si="215"/>
        <v>0.24363461289187641</v>
      </c>
      <c r="Q81" s="208">
        <f t="shared" si="215"/>
        <v>0.23158439228171418</v>
      </c>
      <c r="R81" s="240">
        <f>R80/R68</f>
        <v>0.21291583257776628</v>
      </c>
      <c r="S81" s="208">
        <f t="shared" ref="S81:V81" si="216">+S80/S68</f>
        <v>0.22790715613000601</v>
      </c>
      <c r="T81" s="208">
        <f t="shared" si="216"/>
        <v>0.2100299754930344</v>
      </c>
      <c r="U81" s="208">
        <f t="shared" si="216"/>
        <v>0.23753012891615477</v>
      </c>
      <c r="V81" s="208">
        <f t="shared" si="216"/>
        <v>0.23388187330681545</v>
      </c>
      <c r="W81" s="240">
        <f>W80/W68</f>
        <v>0.22781363856008635</v>
      </c>
      <c r="X81" s="208">
        <f t="shared" ref="X81:AA81" si="217">+X80/X68</f>
        <v>0.23677970759405725</v>
      </c>
      <c r="Y81" s="208">
        <f t="shared" si="217"/>
        <v>0.21913535426369168</v>
      </c>
      <c r="Z81" s="208">
        <f t="shared" si="217"/>
        <v>0.21865284951809458</v>
      </c>
      <c r="AA81" s="208">
        <f t="shared" si="217"/>
        <v>0.23936146993674393</v>
      </c>
      <c r="AB81" s="240">
        <f>AB80/AB68</f>
        <v>0.22848284550734993</v>
      </c>
      <c r="AC81" s="208">
        <f t="shared" ref="AC81:AF81" si="218">+AC80/AC68</f>
        <v>0.23551680751730017</v>
      </c>
      <c r="AD81" s="208">
        <f t="shared" si="218"/>
        <v>0.21805858018830074</v>
      </c>
      <c r="AE81" s="208">
        <f t="shared" si="218"/>
        <v>0.21764220557810518</v>
      </c>
      <c r="AF81" s="208">
        <f t="shared" si="218"/>
        <v>0.23844042453971798</v>
      </c>
      <c r="AG81" s="240">
        <f>AG80/AG68</f>
        <v>0.22740182083568827</v>
      </c>
      <c r="AH81" s="208">
        <f t="shared" ref="AH81:AK81" si="219">+AH80/AH68</f>
        <v>0.23710157738527338</v>
      </c>
      <c r="AI81" s="208">
        <f t="shared" si="219"/>
        <v>0.21956405228403716</v>
      </c>
      <c r="AJ81" s="208">
        <f t="shared" si="219"/>
        <v>0.21899202212565863</v>
      </c>
      <c r="AK81" s="208">
        <f t="shared" si="219"/>
        <v>0.23960427907440296</v>
      </c>
      <c r="AL81" s="240">
        <f>AL80/AL68</f>
        <v>0.22879401311265246</v>
      </c>
      <c r="AM81" s="208">
        <f t="shared" ref="AM81:AP81" si="220">+AM80/AM68</f>
        <v>0.23657146789816941</v>
      </c>
      <c r="AN81" s="208">
        <f t="shared" si="220"/>
        <v>0.21898384098980075</v>
      </c>
      <c r="AO81" s="208">
        <f t="shared" si="220"/>
        <v>0.21832040479752371</v>
      </c>
      <c r="AP81" s="208">
        <f t="shared" si="220"/>
        <v>0.2387727672755029</v>
      </c>
      <c r="AQ81" s="240">
        <f>AQ80/AQ68</f>
        <v>0.22813535628734613</v>
      </c>
    </row>
    <row r="82" spans="1:43" ht="18" x14ac:dyDescent="0.4">
      <c r="A82" s="254"/>
      <c r="B82" s="565" t="s">
        <v>290</v>
      </c>
      <c r="C82" s="566"/>
      <c r="D82" s="32" t="s">
        <v>119</v>
      </c>
      <c r="E82" s="32" t="s">
        <v>243</v>
      </c>
      <c r="F82" s="32" t="s">
        <v>247</v>
      </c>
      <c r="G82" s="32" t="s">
        <v>257</v>
      </c>
      <c r="H82" s="86" t="s">
        <v>258</v>
      </c>
      <c r="I82" s="32" t="s">
        <v>259</v>
      </c>
      <c r="J82" s="32" t="s">
        <v>260</v>
      </c>
      <c r="K82" s="32" t="s">
        <v>261</v>
      </c>
      <c r="L82" s="32" t="s">
        <v>322</v>
      </c>
      <c r="M82" s="86" t="s">
        <v>333</v>
      </c>
      <c r="N82" s="32" t="s">
        <v>339</v>
      </c>
      <c r="O82" s="32" t="s">
        <v>347</v>
      </c>
      <c r="P82" s="32" t="s">
        <v>349</v>
      </c>
      <c r="Q82" s="30" t="s">
        <v>129</v>
      </c>
      <c r="R82" s="89" t="s">
        <v>130</v>
      </c>
      <c r="S82" s="30" t="s">
        <v>131</v>
      </c>
      <c r="T82" s="30" t="s">
        <v>132</v>
      </c>
      <c r="U82" s="30" t="s">
        <v>133</v>
      </c>
      <c r="V82" s="30" t="s">
        <v>134</v>
      </c>
      <c r="W82" s="89" t="s">
        <v>135</v>
      </c>
      <c r="X82" s="30" t="s">
        <v>136</v>
      </c>
      <c r="Y82" s="30" t="s">
        <v>137</v>
      </c>
      <c r="Z82" s="30" t="s">
        <v>138</v>
      </c>
      <c r="AA82" s="30" t="s">
        <v>139</v>
      </c>
      <c r="AB82" s="89" t="s">
        <v>140</v>
      </c>
      <c r="AC82" s="30" t="s">
        <v>252</v>
      </c>
      <c r="AD82" s="30" t="s">
        <v>253</v>
      </c>
      <c r="AE82" s="30" t="s">
        <v>254</v>
      </c>
      <c r="AF82" s="30" t="s">
        <v>255</v>
      </c>
      <c r="AG82" s="89" t="s">
        <v>256</v>
      </c>
      <c r="AH82" s="30" t="s">
        <v>285</v>
      </c>
      <c r="AI82" s="30" t="s">
        <v>286</v>
      </c>
      <c r="AJ82" s="30" t="s">
        <v>287</v>
      </c>
      <c r="AK82" s="30" t="s">
        <v>288</v>
      </c>
      <c r="AL82" s="89" t="s">
        <v>289</v>
      </c>
      <c r="AM82" s="30" t="s">
        <v>356</v>
      </c>
      <c r="AN82" s="30" t="s">
        <v>357</v>
      </c>
      <c r="AO82" s="30" t="s">
        <v>358</v>
      </c>
      <c r="AP82" s="30" t="s">
        <v>359</v>
      </c>
      <c r="AQ82" s="89" t="s">
        <v>360</v>
      </c>
    </row>
    <row r="83" spans="1:43" s="20" customFormat="1" outlineLevel="1" x14ac:dyDescent="0.25">
      <c r="A83" s="269"/>
      <c r="B83" s="589" t="s">
        <v>291</v>
      </c>
      <c r="C83" s="590"/>
      <c r="D83" s="41">
        <v>5839</v>
      </c>
      <c r="E83" s="41">
        <v>5879</v>
      </c>
      <c r="F83" s="283">
        <v>5646</v>
      </c>
      <c r="G83" s="41">
        <v>5860</v>
      </c>
      <c r="H83" s="479">
        <f>G83</f>
        <v>5860</v>
      </c>
      <c r="I83" s="41">
        <v>6059</v>
      </c>
      <c r="J83" s="41">
        <v>6137</v>
      </c>
      <c r="K83" s="41">
        <v>6254</v>
      </c>
      <c r="L83" s="41">
        <v>6528</v>
      </c>
      <c r="M83" s="479">
        <f>L83</f>
        <v>6528</v>
      </c>
      <c r="N83" s="41">
        <v>6713</v>
      </c>
      <c r="O83" s="41">
        <f>+N83+O84</f>
        <v>6836</v>
      </c>
      <c r="P83" s="41">
        <f t="shared" ref="P83:Q83" si="221">+O83+P84</f>
        <v>7013</v>
      </c>
      <c r="Q83" s="41">
        <f t="shared" si="221"/>
        <v>7158</v>
      </c>
      <c r="R83" s="479">
        <f>Q83</f>
        <v>7158</v>
      </c>
      <c r="S83" s="41">
        <f>+Q83+S84</f>
        <v>7233</v>
      </c>
      <c r="T83" s="41">
        <f>+S83+T84</f>
        <v>7308</v>
      </c>
      <c r="U83" s="41">
        <f t="shared" ref="U83:V83" si="222">+T83+U84</f>
        <v>7383</v>
      </c>
      <c r="V83" s="41">
        <f t="shared" si="222"/>
        <v>7458</v>
      </c>
      <c r="W83" s="479">
        <f>V83</f>
        <v>7458</v>
      </c>
      <c r="X83" s="41">
        <f>+V83+X84</f>
        <v>7623.2737500000003</v>
      </c>
      <c r="Y83" s="41">
        <f>+X83+Y84</f>
        <v>7788.5475000000006</v>
      </c>
      <c r="Z83" s="41">
        <f t="shared" ref="Z83:AA83" si="223">+Y83+Z84</f>
        <v>7953.8212500000009</v>
      </c>
      <c r="AA83" s="41">
        <f t="shared" si="223"/>
        <v>8119.0950000000012</v>
      </c>
      <c r="AB83" s="479">
        <f>AA83</f>
        <v>8119.0950000000012</v>
      </c>
      <c r="AC83" s="41">
        <f>+AA83+AC84</f>
        <v>8296.1966484375007</v>
      </c>
      <c r="AD83" s="41">
        <f>+AC83+AD84</f>
        <v>8473.2982968750002</v>
      </c>
      <c r="AE83" s="41">
        <f t="shared" ref="AE83:AF83" si="224">+AD83+AE84</f>
        <v>8650.3999453124998</v>
      </c>
      <c r="AF83" s="41">
        <f t="shared" si="224"/>
        <v>8827.5015937499993</v>
      </c>
      <c r="AG83" s="479">
        <f>AF83</f>
        <v>8827.5015937499993</v>
      </c>
      <c r="AH83" s="41">
        <f>+AF83+AH84</f>
        <v>9004.6032421874988</v>
      </c>
      <c r="AI83" s="41">
        <f>+AH83+AI84</f>
        <v>9181.7048906249984</v>
      </c>
      <c r="AJ83" s="41">
        <f t="shared" ref="AJ83:AK83" si="225">+AI83+AJ84</f>
        <v>9358.8065390624979</v>
      </c>
      <c r="AK83" s="41">
        <f t="shared" si="225"/>
        <v>9535.9081874999974</v>
      </c>
      <c r="AL83" s="479">
        <f>AK83</f>
        <v>9535.9081874999974</v>
      </c>
      <c r="AM83" s="41">
        <f>+AK83+AM84</f>
        <v>9713.009835937497</v>
      </c>
      <c r="AN83" s="41">
        <f>+AM83+AN84</f>
        <v>9890.1114843749965</v>
      </c>
      <c r="AO83" s="41">
        <f t="shared" ref="AO83:AP83" si="226">+AN83+AO84</f>
        <v>10067.213132812496</v>
      </c>
      <c r="AP83" s="41">
        <f t="shared" si="226"/>
        <v>10244.314781249996</v>
      </c>
      <c r="AQ83" s="479">
        <f>AP83</f>
        <v>10244.314781249996</v>
      </c>
    </row>
    <row r="84" spans="1:43" outlineLevel="1" x14ac:dyDescent="0.25">
      <c r="A84" s="254"/>
      <c r="B84" s="466" t="s">
        <v>158</v>
      </c>
      <c r="C84" s="556"/>
      <c r="D84" s="256">
        <f>+D83-5651</f>
        <v>188</v>
      </c>
      <c r="E84" s="256">
        <f>+E83-D83</f>
        <v>40</v>
      </c>
      <c r="F84" s="256">
        <f t="shared" ref="F84:G84" si="227">+F83-E83</f>
        <v>-233</v>
      </c>
      <c r="G84" s="256">
        <f t="shared" si="227"/>
        <v>214</v>
      </c>
      <c r="H84" s="50">
        <f>+SUM(D84:G84)</f>
        <v>209</v>
      </c>
      <c r="I84" s="256">
        <f>+I83-G83</f>
        <v>199</v>
      </c>
      <c r="J84" s="256">
        <f t="shared" ref="J84:L84" si="228">+J83-I83</f>
        <v>78</v>
      </c>
      <c r="K84" s="256">
        <f t="shared" si="228"/>
        <v>117</v>
      </c>
      <c r="L84" s="256">
        <f t="shared" si="228"/>
        <v>274</v>
      </c>
      <c r="M84" s="50">
        <f>+SUM(I84:L84)</f>
        <v>668</v>
      </c>
      <c r="N84" s="256">
        <v>185</v>
      </c>
      <c r="O84" s="256">
        <v>123</v>
      </c>
      <c r="P84" s="256">
        <v>177</v>
      </c>
      <c r="Q84" s="63">
        <v>145</v>
      </c>
      <c r="R84" s="50">
        <f>+SUM(N84:Q84)</f>
        <v>630</v>
      </c>
      <c r="S84" s="63">
        <v>75</v>
      </c>
      <c r="T84" s="63">
        <v>75</v>
      </c>
      <c r="U84" s="63">
        <v>75</v>
      </c>
      <c r="V84" s="63">
        <v>75</v>
      </c>
      <c r="W84" s="50">
        <f>+SUM(S84:V84)</f>
        <v>300</v>
      </c>
      <c r="X84" s="63">
        <f>0.09/4*AVERAGE(S83:V83)</f>
        <v>165.27375000000001</v>
      </c>
      <c r="Y84" s="63">
        <f>0.09/4*AVERAGE(S83:V83)</f>
        <v>165.27375000000001</v>
      </c>
      <c r="Z84" s="63">
        <f>0.09/4*AVERAGE(S83:V83)</f>
        <v>165.27375000000001</v>
      </c>
      <c r="AA84" s="63">
        <f>0.09/4*AVERAGE(S83:V83)</f>
        <v>165.27375000000001</v>
      </c>
      <c r="AB84" s="50">
        <f>+SUM(X84:AA84)</f>
        <v>661.09500000000003</v>
      </c>
      <c r="AC84" s="63">
        <f>0.09/4*AVERAGE(X83:AA83)</f>
        <v>177.10164843750002</v>
      </c>
      <c r="AD84" s="63">
        <f>0.09/4*AVERAGE(X83:AA83)</f>
        <v>177.10164843750002</v>
      </c>
      <c r="AE84" s="63">
        <f>0.09/4*AVERAGE(X83:AA83)</f>
        <v>177.10164843750002</v>
      </c>
      <c r="AF84" s="63">
        <f>0.09/4*AVERAGE(X83:AA83)</f>
        <v>177.10164843750002</v>
      </c>
      <c r="AG84" s="50">
        <f>+SUM(AC84:AF84)</f>
        <v>708.40659375000007</v>
      </c>
      <c r="AH84" s="63">
        <f>AVERAGE(AC84,AD84,AE84,AF84)</f>
        <v>177.10164843750002</v>
      </c>
      <c r="AI84" s="63">
        <f>AVERAGE(AD84,AE84,AF84,AH84)</f>
        <v>177.10164843750002</v>
      </c>
      <c r="AJ84" s="63">
        <f>AVERAGE(AE84,AF84,AH84,AI84)</f>
        <v>177.10164843750002</v>
      </c>
      <c r="AK84" s="63">
        <f>AVERAGE(AF84,AH84,AI84,AJ84)</f>
        <v>177.10164843750002</v>
      </c>
      <c r="AL84" s="50">
        <f>+SUM(AH84:AK84)</f>
        <v>708.40659375000007</v>
      </c>
      <c r="AM84" s="63">
        <f>AVERAGE(AH84,AI84,AJ84,AK84)</f>
        <v>177.10164843750002</v>
      </c>
      <c r="AN84" s="63">
        <f>AVERAGE(AI84,AJ84,AK84,AM84)</f>
        <v>177.10164843750002</v>
      </c>
      <c r="AO84" s="63">
        <f>AVERAGE(AJ84,AK84,AM84,AN84)</f>
        <v>177.10164843750002</v>
      </c>
      <c r="AP84" s="63">
        <f>AVERAGE(AK84,AM84,AN84,AO84)</f>
        <v>177.10164843750002</v>
      </c>
      <c r="AQ84" s="50">
        <f>+SUM(AM84:AP84)</f>
        <v>708.40659375000007</v>
      </c>
    </row>
    <row r="85" spans="1:43" s="186" customFormat="1" outlineLevel="1" x14ac:dyDescent="0.25">
      <c r="A85" s="272"/>
      <c r="B85" s="187" t="s">
        <v>159</v>
      </c>
      <c r="C85" s="188"/>
      <c r="D85" s="190">
        <v>5186</v>
      </c>
      <c r="E85" s="190">
        <v>5313</v>
      </c>
      <c r="F85" s="190">
        <v>5476</v>
      </c>
      <c r="G85" s="190">
        <v>5651</v>
      </c>
      <c r="H85" s="191"/>
      <c r="I85" s="190">
        <f>D83</f>
        <v>5839</v>
      </c>
      <c r="J85" s="190">
        <f>E83</f>
        <v>5879</v>
      </c>
      <c r="K85" s="190">
        <f>F83</f>
        <v>5646</v>
      </c>
      <c r="L85" s="190">
        <f>G83</f>
        <v>5860</v>
      </c>
      <c r="M85" s="191"/>
      <c r="N85" s="190">
        <f>I83</f>
        <v>6059</v>
      </c>
      <c r="O85" s="190">
        <f>J83</f>
        <v>6137</v>
      </c>
      <c r="P85" s="190">
        <f>K83</f>
        <v>6254</v>
      </c>
      <c r="Q85" s="190">
        <f>L83</f>
        <v>6528</v>
      </c>
      <c r="R85" s="191"/>
      <c r="S85" s="190">
        <f>N83</f>
        <v>6713</v>
      </c>
      <c r="T85" s="190">
        <f>O83</f>
        <v>6836</v>
      </c>
      <c r="U85" s="190">
        <f>P83</f>
        <v>7013</v>
      </c>
      <c r="V85" s="190">
        <f>Q83</f>
        <v>7158</v>
      </c>
      <c r="W85" s="191"/>
      <c r="X85" s="190">
        <f>S83</f>
        <v>7233</v>
      </c>
      <c r="Y85" s="190">
        <f>T83</f>
        <v>7308</v>
      </c>
      <c r="Z85" s="190">
        <f>U83</f>
        <v>7383</v>
      </c>
      <c r="AA85" s="190">
        <f>V83</f>
        <v>7458</v>
      </c>
      <c r="AB85" s="191"/>
      <c r="AC85" s="190">
        <f>X83</f>
        <v>7623.2737500000003</v>
      </c>
      <c r="AD85" s="190">
        <f>Y83</f>
        <v>7788.5475000000006</v>
      </c>
      <c r="AE85" s="190">
        <f>Z83</f>
        <v>7953.8212500000009</v>
      </c>
      <c r="AF85" s="190">
        <f>AA83</f>
        <v>8119.0950000000012</v>
      </c>
      <c r="AG85" s="191"/>
      <c r="AH85" s="190">
        <f>AC83</f>
        <v>8296.1966484375007</v>
      </c>
      <c r="AI85" s="190">
        <f>AD83</f>
        <v>8473.2982968750002</v>
      </c>
      <c r="AJ85" s="190">
        <f>AE83</f>
        <v>8650.3999453124998</v>
      </c>
      <c r="AK85" s="190">
        <f>AF83</f>
        <v>8827.5015937499993</v>
      </c>
      <c r="AL85" s="191"/>
      <c r="AM85" s="190">
        <f>AH83</f>
        <v>9004.6032421874988</v>
      </c>
      <c r="AN85" s="190">
        <f>AI83</f>
        <v>9181.7048906249984</v>
      </c>
      <c r="AO85" s="190">
        <f>AJ83</f>
        <v>9358.8065390624979</v>
      </c>
      <c r="AP85" s="190">
        <f>AK83</f>
        <v>9535.9081874999974</v>
      </c>
      <c r="AQ85" s="191"/>
    </row>
    <row r="86" spans="1:43" s="186" customFormat="1" outlineLevel="1" x14ac:dyDescent="0.25">
      <c r="A86" s="272"/>
      <c r="B86" s="187" t="s">
        <v>160</v>
      </c>
      <c r="C86" s="188"/>
      <c r="D86" s="192">
        <v>0.17928494231648628</v>
      </c>
      <c r="E86" s="192">
        <v>0.13619630348516218</v>
      </c>
      <c r="F86" s="192">
        <v>0.14772468750000003</v>
      </c>
      <c r="G86" s="192">
        <v>0.22237475090342945</v>
      </c>
      <c r="H86" s="191"/>
      <c r="I86" s="192">
        <v>0.20115786000293356</v>
      </c>
      <c r="J86" s="192">
        <v>0.15201018776253211</v>
      </c>
      <c r="K86" s="192">
        <v>0.14831357488131156</v>
      </c>
      <c r="L86" s="192">
        <f t="shared" ref="L86" si="229">+G86*(1+L89)</f>
        <v>0.20013727581308652</v>
      </c>
      <c r="M86" s="191"/>
      <c r="N86" s="192">
        <f>+I86*(1+N89)</f>
        <v>0.21725048880316827</v>
      </c>
      <c r="O86" s="192">
        <f>+J86*(1+O89)</f>
        <v>0.20521375347941836</v>
      </c>
      <c r="P86" s="192">
        <f t="shared" ref="P86:Q86" si="230">+K86*(1+P89)</f>
        <v>0.20912214058264927</v>
      </c>
      <c r="Q86" s="192">
        <f t="shared" si="230"/>
        <v>0.21814963063626433</v>
      </c>
      <c r="R86" s="191"/>
      <c r="S86" s="192">
        <f>+N86*(1+S89)</f>
        <v>0.23463052790742175</v>
      </c>
      <c r="T86" s="192">
        <f>+O86*(1+T89)</f>
        <v>0.21547444115338929</v>
      </c>
      <c r="U86" s="192">
        <f t="shared" ref="U86:V86" si="231">+P86*(1+U89)</f>
        <v>0.21957824761178174</v>
      </c>
      <c r="V86" s="192">
        <f t="shared" si="231"/>
        <v>0.23560160108716549</v>
      </c>
      <c r="W86" s="191"/>
      <c r="X86" s="192">
        <f>+S86*(1+X89)</f>
        <v>0.24518890166325572</v>
      </c>
      <c r="Y86" s="192">
        <f>+T86*(1+Y89)</f>
        <v>0.2251707910052918</v>
      </c>
      <c r="Z86" s="192">
        <f t="shared" ref="Z86:AA86" si="232">+U86*(1+Z89)</f>
        <v>0.22945926875431191</v>
      </c>
      <c r="AA86" s="192">
        <f t="shared" si="232"/>
        <v>0.24620367313608793</v>
      </c>
      <c r="AB86" s="191"/>
      <c r="AC86" s="192">
        <f>+X86*(1+AC89)</f>
        <v>0.25622240223810222</v>
      </c>
      <c r="AD86" s="192">
        <f>+Y86*(1+AD89)</f>
        <v>0.23530347660052991</v>
      </c>
      <c r="AE86" s="192">
        <f t="shared" ref="AE86:AF86" si="233">+Z86*(1+AE89)</f>
        <v>0.23978493584825594</v>
      </c>
      <c r="AF86" s="192">
        <f t="shared" si="233"/>
        <v>0.25728283842721189</v>
      </c>
      <c r="AG86" s="191"/>
      <c r="AH86" s="192">
        <f>+AC86*(1+AH89)</f>
        <v>0.26647129832762634</v>
      </c>
      <c r="AI86" s="192">
        <f>+AD86*(1+AI89)</f>
        <v>0.24471561566455113</v>
      </c>
      <c r="AJ86" s="192">
        <f t="shared" ref="AJ86:AK86" si="234">+AE86*(1+AJ89)</f>
        <v>0.2493763332821862</v>
      </c>
      <c r="AK86" s="192">
        <f t="shared" si="234"/>
        <v>0.2675741519643004</v>
      </c>
      <c r="AL86" s="191"/>
      <c r="AM86" s="192">
        <f>+AH86*(1+AM89)</f>
        <v>0.2771301502607314</v>
      </c>
      <c r="AN86" s="192">
        <f>+AI86*(1+AN89)</f>
        <v>0.25450424029113317</v>
      </c>
      <c r="AO86" s="192">
        <f t="shared" ref="AO86:AP86" si="235">+AJ86*(1+AO89)</f>
        <v>0.25935138661347368</v>
      </c>
      <c r="AP86" s="192">
        <f t="shared" si="235"/>
        <v>0.27827711804287242</v>
      </c>
      <c r="AQ86" s="191"/>
    </row>
    <row r="87" spans="1:43" outlineLevel="1" x14ac:dyDescent="0.25">
      <c r="A87" s="254"/>
      <c r="B87" s="550" t="s">
        <v>156</v>
      </c>
      <c r="C87" s="551"/>
      <c r="D87" s="285">
        <v>0.01</v>
      </c>
      <c r="E87" s="285">
        <v>0</v>
      </c>
      <c r="F87" s="285">
        <v>0.01</v>
      </c>
      <c r="G87" s="285">
        <v>0.01</v>
      </c>
      <c r="H87" s="54"/>
      <c r="I87" s="285">
        <v>-0.01</v>
      </c>
      <c r="J87" s="285">
        <v>-0.32</v>
      </c>
      <c r="K87" s="285">
        <v>-0.44</v>
      </c>
      <c r="L87" s="56">
        <v>-0.15</v>
      </c>
      <c r="M87" s="54"/>
      <c r="N87" s="285">
        <v>-0.03</v>
      </c>
      <c r="O87" s="56">
        <v>0.26</v>
      </c>
      <c r="P87" s="56">
        <v>0.55000000000000004</v>
      </c>
      <c r="Q87" s="56"/>
      <c r="R87" s="54"/>
      <c r="S87" s="56"/>
      <c r="T87" s="56"/>
      <c r="U87" s="56"/>
      <c r="V87" s="56"/>
      <c r="W87" s="54"/>
      <c r="X87" s="56"/>
      <c r="Y87" s="56"/>
      <c r="Z87" s="56"/>
      <c r="AA87" s="56"/>
      <c r="AB87" s="54"/>
      <c r="AC87" s="56"/>
      <c r="AD87" s="56"/>
      <c r="AE87" s="56"/>
      <c r="AF87" s="56"/>
      <c r="AG87" s="54"/>
      <c r="AH87" s="56"/>
      <c r="AI87" s="56"/>
      <c r="AJ87" s="56"/>
      <c r="AK87" s="56"/>
      <c r="AL87" s="54"/>
      <c r="AM87" s="56"/>
      <c r="AN87" s="56"/>
      <c r="AO87" s="56"/>
      <c r="AP87" s="56"/>
      <c r="AQ87" s="54"/>
    </row>
    <row r="88" spans="1:43" outlineLevel="1" x14ac:dyDescent="0.25">
      <c r="A88" s="254"/>
      <c r="B88" s="550" t="s">
        <v>155</v>
      </c>
      <c r="C88" s="551"/>
      <c r="D88" s="359">
        <v>0.01</v>
      </c>
      <c r="E88" s="359">
        <v>0.02</v>
      </c>
      <c r="F88" s="359">
        <v>0.03</v>
      </c>
      <c r="G88" s="359">
        <v>0.03</v>
      </c>
      <c r="H88" s="181"/>
      <c r="I88" s="359">
        <v>0.02</v>
      </c>
      <c r="J88" s="359">
        <v>0.01</v>
      </c>
      <c r="K88" s="359">
        <v>0.13</v>
      </c>
      <c r="L88" s="180">
        <v>7.0000000000000007E-2</v>
      </c>
      <c r="M88" s="181"/>
      <c r="N88" s="359">
        <v>-0.1</v>
      </c>
      <c r="O88" s="180">
        <v>7.0000000000000007E-2</v>
      </c>
      <c r="P88" s="180">
        <v>-0.09</v>
      </c>
      <c r="Q88" s="180"/>
      <c r="R88" s="181"/>
      <c r="S88" s="180"/>
      <c r="T88" s="180"/>
      <c r="U88" s="180"/>
      <c r="V88" s="180"/>
      <c r="W88" s="181"/>
      <c r="X88" s="180"/>
      <c r="Y88" s="180"/>
      <c r="Z88" s="180"/>
      <c r="AA88" s="180"/>
      <c r="AB88" s="181"/>
      <c r="AC88" s="180"/>
      <c r="AD88" s="180"/>
      <c r="AE88" s="180"/>
      <c r="AF88" s="180"/>
      <c r="AG88" s="181"/>
      <c r="AH88" s="180"/>
      <c r="AI88" s="180"/>
      <c r="AJ88" s="180"/>
      <c r="AK88" s="180"/>
      <c r="AL88" s="181"/>
      <c r="AM88" s="180"/>
      <c r="AN88" s="180"/>
      <c r="AO88" s="180"/>
      <c r="AP88" s="180"/>
      <c r="AQ88" s="181"/>
    </row>
    <row r="89" spans="1:43" s="20" customFormat="1" outlineLevel="1" x14ac:dyDescent="0.25">
      <c r="A89" s="269"/>
      <c r="B89" s="552" t="s">
        <v>157</v>
      </c>
      <c r="C89" s="546"/>
      <c r="D89" s="360">
        <v>0.02</v>
      </c>
      <c r="E89" s="360">
        <v>0.02</v>
      </c>
      <c r="F89" s="361">
        <v>0.05</v>
      </c>
      <c r="G89" s="360">
        <v>0.03</v>
      </c>
      <c r="H89" s="182"/>
      <c r="I89" s="360">
        <v>0.01</v>
      </c>
      <c r="J89" s="360">
        <v>-0.31</v>
      </c>
      <c r="K89" s="360">
        <v>-0.37</v>
      </c>
      <c r="L89" s="366">
        <v>-0.1</v>
      </c>
      <c r="M89" s="182"/>
      <c r="N89" s="360">
        <v>0.08</v>
      </c>
      <c r="O89" s="360">
        <v>0.35</v>
      </c>
      <c r="P89" s="360">
        <v>0.41</v>
      </c>
      <c r="Q89" s="488">
        <v>0.09</v>
      </c>
      <c r="R89" s="182"/>
      <c r="S89" s="184">
        <v>0.08</v>
      </c>
      <c r="T89" s="184">
        <v>0.05</v>
      </c>
      <c r="U89" s="184">
        <v>0.05</v>
      </c>
      <c r="V89" s="184">
        <v>0.08</v>
      </c>
      <c r="W89" s="182"/>
      <c r="X89" s="489">
        <v>4.4999999999999998E-2</v>
      </c>
      <c r="Y89" s="489">
        <v>4.4999999999999998E-2</v>
      </c>
      <c r="Z89" s="489">
        <v>4.4999999999999998E-2</v>
      </c>
      <c r="AA89" s="489">
        <v>4.4999999999999998E-2</v>
      </c>
      <c r="AB89" s="182"/>
      <c r="AC89" s="489">
        <v>4.4999999999999998E-2</v>
      </c>
      <c r="AD89" s="489">
        <v>4.4999999999999998E-2</v>
      </c>
      <c r="AE89" s="489">
        <v>4.4999999999999998E-2</v>
      </c>
      <c r="AF89" s="489">
        <v>4.4999999999999998E-2</v>
      </c>
      <c r="AG89" s="182"/>
      <c r="AH89" s="184">
        <v>0.04</v>
      </c>
      <c r="AI89" s="184">
        <v>0.04</v>
      </c>
      <c r="AJ89" s="184">
        <v>0.04</v>
      </c>
      <c r="AK89" s="184">
        <v>0.04</v>
      </c>
      <c r="AL89" s="182"/>
      <c r="AM89" s="184">
        <v>0.04</v>
      </c>
      <c r="AN89" s="184">
        <v>0.04</v>
      </c>
      <c r="AO89" s="184">
        <v>0.04</v>
      </c>
      <c r="AP89" s="184">
        <v>0.04</v>
      </c>
      <c r="AQ89" s="182"/>
    </row>
    <row r="90" spans="1:43" ht="17.25" outlineLevel="1" x14ac:dyDescent="0.4">
      <c r="A90" s="254"/>
      <c r="B90" s="166" t="s">
        <v>187</v>
      </c>
      <c r="C90" s="551"/>
      <c r="D90" s="61">
        <v>348</v>
      </c>
      <c r="E90" s="61">
        <v>586</v>
      </c>
      <c r="F90" s="61">
        <v>544</v>
      </c>
      <c r="G90" s="61">
        <v>59</v>
      </c>
      <c r="H90" s="18"/>
      <c r="I90" s="61">
        <v>135</v>
      </c>
      <c r="J90" s="61">
        <v>9</v>
      </c>
      <c r="K90" s="61">
        <v>38</v>
      </c>
      <c r="L90" s="61">
        <v>125</v>
      </c>
      <c r="M90" s="18"/>
      <c r="N90" s="61">
        <v>125</v>
      </c>
      <c r="O90" s="61">
        <v>125</v>
      </c>
      <c r="P90" s="61">
        <v>125</v>
      </c>
      <c r="Q90" s="490">
        <f>P90+(500*0.2)</f>
        <v>225</v>
      </c>
      <c r="R90" s="18"/>
      <c r="S90" s="61">
        <v>125</v>
      </c>
      <c r="T90" s="61">
        <v>125</v>
      </c>
      <c r="U90" s="61">
        <v>125</v>
      </c>
      <c r="V90" s="61">
        <v>125</v>
      </c>
      <c r="W90" s="18"/>
      <c r="X90" s="61">
        <v>200</v>
      </c>
      <c r="Y90" s="61">
        <v>200</v>
      </c>
      <c r="Z90" s="61">
        <v>200</v>
      </c>
      <c r="AA90" s="61">
        <v>200</v>
      </c>
      <c r="AB90" s="18"/>
      <c r="AC90" s="61">
        <f>AVERAGE(AA90,Z90,Y90,X90)</f>
        <v>200</v>
      </c>
      <c r="AD90" s="61">
        <f>AVERAGE(AC90,AA90,Z90,Y90)</f>
        <v>200</v>
      </c>
      <c r="AE90" s="61">
        <f>AVERAGE(AD90,AC90,AA90,Z90)</f>
        <v>200</v>
      </c>
      <c r="AF90" s="61">
        <f>AVERAGE(AE90,AD90,AC90,AA90)</f>
        <v>200</v>
      </c>
      <c r="AG90" s="18"/>
      <c r="AH90" s="61">
        <f>AVERAGE(AF90,AE90,AD90,AC90)</f>
        <v>200</v>
      </c>
      <c r="AI90" s="61">
        <f>AVERAGE(AH90,AF90,AE90,AD90)</f>
        <v>200</v>
      </c>
      <c r="AJ90" s="61">
        <f>AVERAGE(AI90,AH90,AF90,AE90)</f>
        <v>200</v>
      </c>
      <c r="AK90" s="61">
        <f>AVERAGE(AJ90,AI90,AH90,AF90)</f>
        <v>200</v>
      </c>
      <c r="AL90" s="18"/>
      <c r="AM90" s="61">
        <f>AVERAGE(AK90,AJ90,AI90,AH90)</f>
        <v>200</v>
      </c>
      <c r="AN90" s="61">
        <f>AVERAGE(AM90,AK90,AJ90,AI90)</f>
        <v>200</v>
      </c>
      <c r="AO90" s="61">
        <f>AVERAGE(AN90,AM90,AK90,AJ90)</f>
        <v>200</v>
      </c>
      <c r="AP90" s="61">
        <f>AVERAGE(AO90,AN90,AM90,AK90)</f>
        <v>200</v>
      </c>
      <c r="AQ90" s="18"/>
    </row>
    <row r="91" spans="1:43" s="20" customFormat="1" outlineLevel="1" x14ac:dyDescent="0.25">
      <c r="A91" s="269"/>
      <c r="B91" s="585" t="s">
        <v>292</v>
      </c>
      <c r="C91" s="586"/>
      <c r="D91" s="171">
        <v>1278.0999999999999</v>
      </c>
      <c r="E91" s="171">
        <v>1309.4000000000001</v>
      </c>
      <c r="F91" s="259">
        <v>1352.8</v>
      </c>
      <c r="G91" s="171">
        <v>1315.9</v>
      </c>
      <c r="H91" s="239">
        <f>SUM(D91:G91)</f>
        <v>5256.2000000000007</v>
      </c>
      <c r="I91" s="171">
        <v>1309.7</v>
      </c>
      <c r="J91" s="171">
        <v>902.4</v>
      </c>
      <c r="K91" s="259">
        <v>875.5</v>
      </c>
      <c r="L91" s="171">
        <v>1298.3</v>
      </c>
      <c r="M91" s="239">
        <f>SUM(I91:L91)</f>
        <v>4385.8999999999996</v>
      </c>
      <c r="N91" s="171">
        <v>1441.7</v>
      </c>
      <c r="O91" s="171">
        <v>1384.7</v>
      </c>
      <c r="P91" s="171">
        <v>1433.3</v>
      </c>
      <c r="Q91" s="171">
        <f t="shared" ref="Q91" si="236">+Q85*Q86+Q90</f>
        <v>1649.0807887935337</v>
      </c>
      <c r="R91" s="239">
        <f>SUM(N91:Q91)</f>
        <v>5908.7807887935332</v>
      </c>
      <c r="S91" s="171">
        <f>+S85*S86+S90</f>
        <v>1700.0747338425222</v>
      </c>
      <c r="T91" s="171">
        <f>+T85*T86+T90</f>
        <v>1597.9832797245692</v>
      </c>
      <c r="U91" s="171">
        <f t="shared" ref="U91:V91" si="237">+U85*U86+U90</f>
        <v>1664.9022505014254</v>
      </c>
      <c r="V91" s="171">
        <f t="shared" si="237"/>
        <v>1811.4362605819306</v>
      </c>
      <c r="W91" s="239">
        <f>SUM(S91:V91)</f>
        <v>6774.3965246504476</v>
      </c>
      <c r="X91" s="171">
        <f>+X85*X86+X90</f>
        <v>1973.4513257303286</v>
      </c>
      <c r="Y91" s="171">
        <f>+Y85*Y86+Y90</f>
        <v>1845.5481406666725</v>
      </c>
      <c r="Z91" s="171">
        <f t="shared" ref="Z91:AA91" si="238">+Z85*Z86+Z90</f>
        <v>1894.0977812130848</v>
      </c>
      <c r="AA91" s="171">
        <f t="shared" si="238"/>
        <v>2036.1869942489438</v>
      </c>
      <c r="AB91" s="239">
        <f>SUM(X91:AA91)</f>
        <v>7749.2842418590299</v>
      </c>
      <c r="AC91" s="171">
        <f>+AC85*AC86+AC90</f>
        <v>2153.2535131436662</v>
      </c>
      <c r="AD91" s="171">
        <f>+AD85*AD86+AD90</f>
        <v>2032.6723044183659</v>
      </c>
      <c r="AE91" s="171">
        <f t="shared" ref="AE91:AF91" si="239">+AE85*AE86+AE90</f>
        <v>2107.2065181797452</v>
      </c>
      <c r="AF91" s="171">
        <f t="shared" si="239"/>
        <v>2288.9038070601841</v>
      </c>
      <c r="AG91" s="239">
        <f>SUM(AC91:AF91)</f>
        <v>8582.0361428019623</v>
      </c>
      <c r="AH91" s="171">
        <f>+AH85*AH86+AH90</f>
        <v>2410.6982920904429</v>
      </c>
      <c r="AI91" s="171">
        <f>+AI85*AI86+AI90</f>
        <v>2273.5484094291583</v>
      </c>
      <c r="AJ91" s="171">
        <f t="shared" ref="AJ91:AK91" si="240">+AJ85*AJ86+AJ90</f>
        <v>2357.2050197864551</v>
      </c>
      <c r="AK91" s="171">
        <f t="shared" si="240"/>
        <v>2562.0112529111661</v>
      </c>
      <c r="AL91" s="239">
        <f>SUM(AH91:AK91)</f>
        <v>9603.4629742172237</v>
      </c>
      <c r="AM91" s="171">
        <f>+AM85*AM86+AM90</f>
        <v>2695.4470495456908</v>
      </c>
      <c r="AN91" s="171">
        <f>+AN85*AN86+AN90</f>
        <v>2536.7828277658973</v>
      </c>
      <c r="AO91" s="171">
        <f t="shared" ref="AO91:AP91" si="241">+AO85*AO86+AO90</f>
        <v>2627.2194529531034</v>
      </c>
      <c r="AP91" s="171">
        <f t="shared" si="241"/>
        <v>2853.6250483389304</v>
      </c>
      <c r="AQ91" s="239">
        <f>SUM(AM91:AP91)</f>
        <v>10713.074378603622</v>
      </c>
    </row>
    <row r="92" spans="1:43" s="20" customFormat="1" outlineLevel="1" x14ac:dyDescent="0.25">
      <c r="A92" s="269"/>
      <c r="B92" s="193" t="s">
        <v>163</v>
      </c>
      <c r="C92" s="546"/>
      <c r="D92" s="197">
        <f t="shared" ref="D92:G92" si="242">+D91/D83</f>
        <v>0.21889022092824112</v>
      </c>
      <c r="E92" s="197">
        <f t="shared" si="242"/>
        <v>0.22272495322333732</v>
      </c>
      <c r="F92" s="286">
        <f t="shared" si="242"/>
        <v>0.23960325894438539</v>
      </c>
      <c r="G92" s="197">
        <f t="shared" si="242"/>
        <v>0.22455631399317408</v>
      </c>
      <c r="H92" s="183"/>
      <c r="I92" s="197">
        <f t="shared" ref="I92:L92" si="243">+I91/I83</f>
        <v>0.21615778181218023</v>
      </c>
      <c r="J92" s="197">
        <f t="shared" si="243"/>
        <v>0.14704252892292652</v>
      </c>
      <c r="K92" s="197">
        <f t="shared" si="243"/>
        <v>0.13999040614007036</v>
      </c>
      <c r="L92" s="197">
        <f t="shared" si="243"/>
        <v>0.19888174019607843</v>
      </c>
      <c r="M92" s="183"/>
      <c r="N92" s="197">
        <f t="shared" ref="N92:Q92" si="244">+N91/N83</f>
        <v>0.21476240131088933</v>
      </c>
      <c r="O92" s="197">
        <f t="shared" si="244"/>
        <v>0.2025599765944997</v>
      </c>
      <c r="P92" s="197">
        <f t="shared" si="244"/>
        <v>0.20437758448595464</v>
      </c>
      <c r="Q92" s="197">
        <f t="shared" si="244"/>
        <v>0.23038289868588063</v>
      </c>
      <c r="R92" s="183"/>
      <c r="S92" s="197">
        <f t="shared" ref="S92:V92" si="245">+S91/S83</f>
        <v>0.23504420487246264</v>
      </c>
      <c r="T92" s="197">
        <f t="shared" si="245"/>
        <v>0.21866218934381079</v>
      </c>
      <c r="U92" s="197">
        <f t="shared" si="245"/>
        <v>0.2255048422729819</v>
      </c>
      <c r="V92" s="197">
        <f t="shared" si="245"/>
        <v>0.24288499069213335</v>
      </c>
      <c r="W92" s="183"/>
      <c r="X92" s="197">
        <f t="shared" ref="X92:AA92" si="246">+X91/X83</f>
        <v>0.25887189551999606</v>
      </c>
      <c r="Y92" s="197">
        <f t="shared" si="246"/>
        <v>0.23695665214427625</v>
      </c>
      <c r="Z92" s="197">
        <f t="shared" si="246"/>
        <v>0.2381368302956374</v>
      </c>
      <c r="AA92" s="197">
        <f t="shared" si="246"/>
        <v>0.25078989644152994</v>
      </c>
      <c r="AB92" s="183"/>
      <c r="AC92" s="197">
        <f t="shared" ref="AC92:AF92" si="247">+AC91/AC83</f>
        <v>0.2595470676974862</v>
      </c>
      <c r="AD92" s="197">
        <f t="shared" si="247"/>
        <v>0.23989150779313728</v>
      </c>
      <c r="AE92" s="197">
        <f t="shared" si="247"/>
        <v>0.24359642692839925</v>
      </c>
      <c r="AF92" s="197">
        <f t="shared" si="247"/>
        <v>0.2592923697324237</v>
      </c>
      <c r="AG92" s="183"/>
      <c r="AH92" s="197">
        <f t="shared" ref="AH92:AK92" si="248">+AH91/AH83</f>
        <v>0.26771843547709817</v>
      </c>
      <c r="AI92" s="197">
        <f t="shared" si="248"/>
        <v>0.24761723846630818</v>
      </c>
      <c r="AJ92" s="197">
        <f t="shared" si="248"/>
        <v>0.25187025823728415</v>
      </c>
      <c r="AK92" s="197">
        <f t="shared" si="248"/>
        <v>0.26866987417827076</v>
      </c>
      <c r="AL92" s="183"/>
      <c r="AM92" s="197">
        <f t="shared" ref="AM92:AP92" si="249">+AM91/AM83</f>
        <v>0.27750893853445036</v>
      </c>
      <c r="AN92" s="197">
        <f t="shared" si="249"/>
        <v>0.25649688901623224</v>
      </c>
      <c r="AO92" s="197">
        <f t="shared" si="249"/>
        <v>0.26096789829452355</v>
      </c>
      <c r="AP92" s="197">
        <f t="shared" si="249"/>
        <v>0.27855694687963656</v>
      </c>
      <c r="AQ92" s="183"/>
    </row>
    <row r="93" spans="1:43" s="186" customFormat="1" outlineLevel="1" x14ac:dyDescent="0.25">
      <c r="A93" s="272"/>
      <c r="B93" s="193" t="s">
        <v>161</v>
      </c>
      <c r="C93" s="194"/>
      <c r="D93" s="189">
        <f>ROUND((+D91-D90-(D85*D86)),0)</f>
        <v>0</v>
      </c>
      <c r="E93" s="195">
        <f>ROUND((+E91-E90-(E85*E86)),0)</f>
        <v>0</v>
      </c>
      <c r="F93" s="275">
        <f>ROUND((+F91-F90-(F85*F86)),0)</f>
        <v>0</v>
      </c>
      <c r="G93" s="195">
        <f>ROUND((+G91-G90-(G85*G86)),0)</f>
        <v>0</v>
      </c>
      <c r="H93" s="196"/>
      <c r="I93" s="195">
        <f>ROUND((+I91-I90-(I85*I86)),0)</f>
        <v>0</v>
      </c>
      <c r="J93" s="195">
        <f>ROUND((+J91-J90-(J85*J86)),0)</f>
        <v>0</v>
      </c>
      <c r="K93" s="195">
        <f>ROUND((+K91-K90-(K85*K86)),0)</f>
        <v>0</v>
      </c>
      <c r="L93" s="195">
        <f>ROUND((+L91-L90-(L85*L86)),0)</f>
        <v>0</v>
      </c>
      <c r="M93" s="196"/>
      <c r="N93" s="195">
        <f>ROUND((+N91-N90-(N85*N86)),0)</f>
        <v>0</v>
      </c>
      <c r="O93" s="195">
        <f>ROUND((+O91-O90-(O85*O86)),0)</f>
        <v>0</v>
      </c>
      <c r="P93" s="195">
        <f>ROUND((+P91-P90-(P85*P86)),0)</f>
        <v>0</v>
      </c>
      <c r="Q93" s="195">
        <f>ROUND((+Q91-Q90-(Q85*Q86)),0)</f>
        <v>0</v>
      </c>
      <c r="R93" s="196"/>
      <c r="S93" s="195">
        <f>ROUND((+S91-S90-(S85*S86)),0)</f>
        <v>0</v>
      </c>
      <c r="T93" s="195">
        <f>ROUND((+T91-T90-(T85*T86)),0)</f>
        <v>0</v>
      </c>
      <c r="U93" s="195">
        <f>ROUND((+U91-U90-(U85*U86)),0)</f>
        <v>0</v>
      </c>
      <c r="V93" s="195">
        <f>ROUND((+V91-V90-(V85*V86)),0)</f>
        <v>0</v>
      </c>
      <c r="W93" s="196"/>
      <c r="X93" s="195">
        <f>ROUND((+X91-X90-(X85*X86)),0)</f>
        <v>0</v>
      </c>
      <c r="Y93" s="195">
        <f>ROUND((+Y91-Y90-(Y85*Y86)),0)</f>
        <v>0</v>
      </c>
      <c r="Z93" s="195">
        <f>ROUND((+Z91-Z90-(Z85*Z86)),0)</f>
        <v>0</v>
      </c>
      <c r="AA93" s="195">
        <f>ROUND((+AA91-AA90-(AA85*AA86)),0)</f>
        <v>0</v>
      </c>
      <c r="AB93" s="196"/>
      <c r="AC93" s="195">
        <f>ROUND((+AC91-AC90-(AC85*AC86)),0)</f>
        <v>0</v>
      </c>
      <c r="AD93" s="195">
        <f>ROUND((+AD91-AD90-(AD85*AD86)),0)</f>
        <v>0</v>
      </c>
      <c r="AE93" s="195">
        <f>ROUND((+AE91-AE90-(AE85*AE86)),0)</f>
        <v>0</v>
      </c>
      <c r="AF93" s="195">
        <f>ROUND((+AF91-AF90-(AF85*AF86)),0)</f>
        <v>0</v>
      </c>
      <c r="AG93" s="196"/>
      <c r="AH93" s="195">
        <f>ROUND((+AH91-AH90-(AH85*AH86)),0)</f>
        <v>0</v>
      </c>
      <c r="AI93" s="195">
        <f>ROUND((+AI91-AI90-(AI85*AI86)),0)</f>
        <v>0</v>
      </c>
      <c r="AJ93" s="195">
        <f>ROUND((+AJ91-AJ90-(AJ85*AJ86)),0)</f>
        <v>0</v>
      </c>
      <c r="AK93" s="195">
        <f>ROUND((+AK91-AK90-(AK85*AK86)),0)</f>
        <v>0</v>
      </c>
      <c r="AL93" s="196"/>
      <c r="AM93" s="195">
        <f>ROUND((+AM91-AM90-(AM85*AM86)),0)</f>
        <v>0</v>
      </c>
      <c r="AN93" s="195">
        <f>ROUND((+AN91-AN90-(AN85*AN86)),0)</f>
        <v>0</v>
      </c>
      <c r="AO93" s="195">
        <f>ROUND((+AO91-AO90-(AO85*AO86)),0)</f>
        <v>0</v>
      </c>
      <c r="AP93" s="195">
        <f>ROUND((+AP91-AP90-(AP85*AP86)),0)</f>
        <v>0</v>
      </c>
      <c r="AQ93" s="196"/>
    </row>
    <row r="94" spans="1:43" s="20" customFormat="1" outlineLevel="1" x14ac:dyDescent="0.25">
      <c r="A94" s="269"/>
      <c r="B94" s="597" t="s">
        <v>293</v>
      </c>
      <c r="C94" s="598"/>
      <c r="D94" s="284">
        <v>6373</v>
      </c>
      <c r="E94" s="284">
        <v>6586</v>
      </c>
      <c r="F94" s="284">
        <v>7127</v>
      </c>
      <c r="G94" s="284">
        <v>7329</v>
      </c>
      <c r="H94" s="480">
        <f>G94</f>
        <v>7329</v>
      </c>
      <c r="I94" s="284">
        <v>7533</v>
      </c>
      <c r="J94" s="284">
        <v>7642</v>
      </c>
      <c r="K94" s="284">
        <v>7691</v>
      </c>
      <c r="L94" s="284">
        <v>7778</v>
      </c>
      <c r="M94" s="480">
        <f>L94</f>
        <v>7778</v>
      </c>
      <c r="N94" s="284">
        <v>7917</v>
      </c>
      <c r="O94" s="198">
        <f>+N94+O95</f>
        <v>7987</v>
      </c>
      <c r="P94" s="198">
        <f t="shared" ref="P94:Q94" si="250">+O94+P95</f>
        <v>8107</v>
      </c>
      <c r="Q94" s="198">
        <f t="shared" si="250"/>
        <v>8248</v>
      </c>
      <c r="R94" s="480">
        <f>Q94</f>
        <v>8248</v>
      </c>
      <c r="S94" s="198">
        <f>+Q94+S95</f>
        <v>8323</v>
      </c>
      <c r="T94" s="198">
        <f>+S94+T95</f>
        <v>8398</v>
      </c>
      <c r="U94" s="198">
        <f t="shared" ref="U94:V94" si="251">+T94+U95</f>
        <v>8473</v>
      </c>
      <c r="V94" s="198">
        <f t="shared" si="251"/>
        <v>8548</v>
      </c>
      <c r="W94" s="480">
        <f>V94</f>
        <v>8548</v>
      </c>
      <c r="X94" s="198">
        <f>+V94+X95</f>
        <v>8737.7987499999999</v>
      </c>
      <c r="Y94" s="198">
        <f>+X94+Y95</f>
        <v>8927.5974999999999</v>
      </c>
      <c r="Z94" s="198">
        <f t="shared" ref="Z94:AA94" si="252">+Y94+Z95</f>
        <v>9117.3962499999998</v>
      </c>
      <c r="AA94" s="198">
        <f t="shared" si="252"/>
        <v>9307.1949999999997</v>
      </c>
      <c r="AB94" s="480">
        <f>AA94</f>
        <v>9307.1949999999997</v>
      </c>
      <c r="AC94" s="198">
        <f>+AA94+AC95</f>
        <v>9510.2011796874995</v>
      </c>
      <c r="AD94" s="198">
        <f>+AC94+AD95</f>
        <v>9713.2073593749992</v>
      </c>
      <c r="AE94" s="198">
        <f t="shared" ref="AE94:AF94" si="253">+AD94+AE95</f>
        <v>9916.213539062499</v>
      </c>
      <c r="AF94" s="198">
        <f t="shared" si="253"/>
        <v>10119.219718749999</v>
      </c>
      <c r="AG94" s="480">
        <f>AF94</f>
        <v>10119.219718749999</v>
      </c>
      <c r="AH94" s="198">
        <f>+AF94+AH95</f>
        <v>10322.225898437498</v>
      </c>
      <c r="AI94" s="198">
        <f>+AH94+AI95</f>
        <v>10525.232078124998</v>
      </c>
      <c r="AJ94" s="198">
        <f t="shared" ref="AJ94:AK94" si="254">+AI94+AJ95</f>
        <v>10728.238257812498</v>
      </c>
      <c r="AK94" s="198">
        <f t="shared" si="254"/>
        <v>10931.244437499998</v>
      </c>
      <c r="AL94" s="480">
        <f>AK94</f>
        <v>10931.244437499998</v>
      </c>
      <c r="AM94" s="198">
        <f>+AK94+AM95</f>
        <v>11134.250617187497</v>
      </c>
      <c r="AN94" s="198">
        <f>+AM94+AN95</f>
        <v>11337.256796874997</v>
      </c>
      <c r="AO94" s="198">
        <f t="shared" ref="AO94:AP94" si="255">+AN94+AO95</f>
        <v>11540.262976562497</v>
      </c>
      <c r="AP94" s="198">
        <f t="shared" si="255"/>
        <v>11743.269156249997</v>
      </c>
      <c r="AQ94" s="480">
        <f>AP94</f>
        <v>11743.269156249997</v>
      </c>
    </row>
    <row r="95" spans="1:43" outlineLevel="1" x14ac:dyDescent="0.25">
      <c r="A95" s="254"/>
      <c r="B95" s="466" t="s">
        <v>162</v>
      </c>
      <c r="C95" s="556"/>
      <c r="D95" s="256">
        <f>+D94-6201</f>
        <v>172</v>
      </c>
      <c r="E95" s="256">
        <f>+E94-D94</f>
        <v>213</v>
      </c>
      <c r="F95" s="256">
        <f t="shared" ref="F95:G95" si="256">+F94-E94</f>
        <v>541</v>
      </c>
      <c r="G95" s="256">
        <f t="shared" si="256"/>
        <v>202</v>
      </c>
      <c r="H95" s="291">
        <f>+SUM(D95:G95)</f>
        <v>1128</v>
      </c>
      <c r="I95" s="256">
        <f>+I94-G94</f>
        <v>204</v>
      </c>
      <c r="J95" s="256">
        <f t="shared" ref="J95:L95" si="257">+J94-I94</f>
        <v>109</v>
      </c>
      <c r="K95" s="256">
        <f t="shared" si="257"/>
        <v>49</v>
      </c>
      <c r="L95" s="256">
        <f t="shared" si="257"/>
        <v>87</v>
      </c>
      <c r="M95" s="291">
        <f>+SUM(I95:L95)</f>
        <v>449</v>
      </c>
      <c r="N95" s="256">
        <v>139</v>
      </c>
      <c r="O95" s="256">
        <v>70</v>
      </c>
      <c r="P95" s="256">
        <v>120</v>
      </c>
      <c r="Q95" s="63">
        <v>141</v>
      </c>
      <c r="R95" s="291">
        <f>+SUM(N95:Q95)</f>
        <v>470</v>
      </c>
      <c r="S95" s="63">
        <v>75</v>
      </c>
      <c r="T95" s="63">
        <v>75</v>
      </c>
      <c r="U95" s="63">
        <v>75</v>
      </c>
      <c r="V95" s="63">
        <v>75</v>
      </c>
      <c r="W95" s="291">
        <f>+SUM(S95:V95)</f>
        <v>300</v>
      </c>
      <c r="X95" s="63">
        <f>0.09/4*AVERAGE(S94:V94)</f>
        <v>189.79874999999998</v>
      </c>
      <c r="Y95" s="63">
        <f>0.09/4*AVERAGE(S94:V94)</f>
        <v>189.79874999999998</v>
      </c>
      <c r="Z95" s="63">
        <f>0.09/4*AVERAGE(S94:V94)</f>
        <v>189.79874999999998</v>
      </c>
      <c r="AA95" s="63">
        <f>0.09/4*AVERAGE(S94:V94)</f>
        <v>189.79874999999998</v>
      </c>
      <c r="AB95" s="291">
        <f>+SUM(X95:AA95)</f>
        <v>759.19499999999994</v>
      </c>
      <c r="AC95" s="63">
        <f>0.09/4*AVERAGE(X94:AA94)</f>
        <v>203.00617968749998</v>
      </c>
      <c r="AD95" s="63">
        <f>0.09/4*AVERAGE(X94:AA94)</f>
        <v>203.00617968749998</v>
      </c>
      <c r="AE95" s="63">
        <f>0.09/4*AVERAGE(X94:AA94)</f>
        <v>203.00617968749998</v>
      </c>
      <c r="AF95" s="63">
        <f>0.09/4*AVERAGE(X94:AA94)</f>
        <v>203.00617968749998</v>
      </c>
      <c r="AG95" s="291">
        <f>+SUM(AC95:AF95)</f>
        <v>812.02471874999992</v>
      </c>
      <c r="AH95" s="63">
        <f>AVERAGE(AC95,AD95,AE95,AF95)</f>
        <v>203.00617968749998</v>
      </c>
      <c r="AI95" s="63">
        <f>AVERAGE(AD95,AE95,AF95,AH95)</f>
        <v>203.00617968749998</v>
      </c>
      <c r="AJ95" s="63">
        <f>AVERAGE(AE95,AF95,AH95,AI95)</f>
        <v>203.00617968749998</v>
      </c>
      <c r="AK95" s="63">
        <f>AVERAGE(AF95,AH95,AI95,AJ95)</f>
        <v>203.00617968749998</v>
      </c>
      <c r="AL95" s="291">
        <f>+SUM(AH95:AK95)</f>
        <v>812.02471874999992</v>
      </c>
      <c r="AM95" s="63">
        <f>AVERAGE(AH95,AI95,AJ95,AK95)</f>
        <v>203.00617968749998</v>
      </c>
      <c r="AN95" s="63">
        <f>AVERAGE(AI95,AJ95,AK95,AM95)</f>
        <v>203.00617968749998</v>
      </c>
      <c r="AO95" s="63">
        <f>AVERAGE(AJ95,AK95,AM95,AN95)</f>
        <v>203.00617968749998</v>
      </c>
      <c r="AP95" s="63">
        <f>AVERAGE(AK95,AM95,AN95,AO95)</f>
        <v>203.00617968749998</v>
      </c>
      <c r="AQ95" s="291">
        <f>+SUM(AM95:AP95)</f>
        <v>812.02471874999992</v>
      </c>
    </row>
    <row r="96" spans="1:43" outlineLevel="1" x14ac:dyDescent="0.25">
      <c r="A96" s="254"/>
      <c r="B96" s="550" t="s">
        <v>165</v>
      </c>
      <c r="C96" s="540"/>
      <c r="D96" s="34">
        <f>AVERAGE(D94,6201)</f>
        <v>6287</v>
      </c>
      <c r="E96" s="34">
        <f>AVERAGE(E94,D94)</f>
        <v>6479.5</v>
      </c>
      <c r="F96" s="34">
        <f t="shared" ref="F96:G96" si="258">AVERAGE(F94,E94)</f>
        <v>6856.5</v>
      </c>
      <c r="G96" s="34">
        <f t="shared" si="258"/>
        <v>7228</v>
      </c>
      <c r="H96" s="50"/>
      <c r="I96" s="34">
        <f>AVERAGE(I94,G94)</f>
        <v>7431</v>
      </c>
      <c r="J96" s="34">
        <f>AVERAGE(J94,I94)</f>
        <v>7587.5</v>
      </c>
      <c r="K96" s="34">
        <f t="shared" ref="K96:L96" si="259">AVERAGE(K94,J94)</f>
        <v>7666.5</v>
      </c>
      <c r="L96" s="34">
        <f t="shared" si="259"/>
        <v>7734.5</v>
      </c>
      <c r="M96" s="18"/>
      <c r="N96" s="34">
        <f>AVERAGE(N94,L94)</f>
        <v>7847.5</v>
      </c>
      <c r="O96" s="34">
        <f>AVERAGE(O94,N94)</f>
        <v>7952</v>
      </c>
      <c r="P96" s="34">
        <f t="shared" ref="P96:Q96" si="260">AVERAGE(P94,O94)</f>
        <v>8047</v>
      </c>
      <c r="Q96" s="34">
        <f t="shared" si="260"/>
        <v>8177.5</v>
      </c>
      <c r="R96" s="18"/>
      <c r="S96" s="34">
        <f>AVERAGE(S94,Q94)</f>
        <v>8285.5</v>
      </c>
      <c r="T96" s="34">
        <f>AVERAGE(T94,S94)</f>
        <v>8360.5</v>
      </c>
      <c r="U96" s="34">
        <f t="shared" ref="U96:V96" si="261">AVERAGE(U94,T94)</f>
        <v>8435.5</v>
      </c>
      <c r="V96" s="34">
        <f t="shared" si="261"/>
        <v>8510.5</v>
      </c>
      <c r="W96" s="18"/>
      <c r="X96" s="34">
        <f>AVERAGE(X94,V94)</f>
        <v>8642.8993750000009</v>
      </c>
      <c r="Y96" s="34">
        <f>AVERAGE(Y94,X94)</f>
        <v>8832.698124999999</v>
      </c>
      <c r="Z96" s="34">
        <f t="shared" ref="Z96:AA96" si="262">AVERAGE(Z94,Y94)</f>
        <v>9022.4968750000007</v>
      </c>
      <c r="AA96" s="34">
        <f t="shared" si="262"/>
        <v>9212.2956249999988</v>
      </c>
      <c r="AB96" s="18"/>
      <c r="AC96" s="34">
        <f>AVERAGE(AC94,AA94)</f>
        <v>9408.6980898437505</v>
      </c>
      <c r="AD96" s="34">
        <f>AVERAGE(AD94,AC94)</f>
        <v>9611.7042695312484</v>
      </c>
      <c r="AE96" s="34">
        <f t="shared" ref="AE96:AF96" si="263">AVERAGE(AE94,AD94)</f>
        <v>9814.71044921875</v>
      </c>
      <c r="AF96" s="34">
        <f t="shared" si="263"/>
        <v>10017.716628906248</v>
      </c>
      <c r="AG96" s="18"/>
      <c r="AH96" s="34">
        <f>AVERAGE(AH94,AF94)</f>
        <v>10220.72280859375</v>
      </c>
      <c r="AI96" s="34">
        <f>AVERAGE(AI94,AH94)</f>
        <v>10423.728988281247</v>
      </c>
      <c r="AJ96" s="34">
        <f t="shared" ref="AJ96:AK96" si="264">AVERAGE(AJ94,AI94)</f>
        <v>10626.735167968749</v>
      </c>
      <c r="AK96" s="34">
        <f t="shared" si="264"/>
        <v>10829.741347656247</v>
      </c>
      <c r="AL96" s="18"/>
      <c r="AM96" s="34">
        <f>AVERAGE(AM94,AK94)</f>
        <v>11032.747527343749</v>
      </c>
      <c r="AN96" s="34">
        <f>AVERAGE(AN94,AM94)</f>
        <v>11235.753707031246</v>
      </c>
      <c r="AO96" s="34">
        <f t="shared" ref="AO96:AP96" si="265">AVERAGE(AO94,AN94)</f>
        <v>11438.759886718748</v>
      </c>
      <c r="AP96" s="34">
        <f t="shared" si="265"/>
        <v>11641.766066406246</v>
      </c>
      <c r="AQ96" s="18"/>
    </row>
    <row r="97" spans="1:43" outlineLevel="1" x14ac:dyDescent="0.25">
      <c r="A97" s="254"/>
      <c r="B97" s="550" t="s">
        <v>164</v>
      </c>
      <c r="C97" s="540"/>
      <c r="D97" s="107">
        <f>+D98/D96</f>
        <v>3.5390488309209482E-2</v>
      </c>
      <c r="E97" s="278">
        <f>+E98/E96</f>
        <v>3.3197005941816495E-2</v>
      </c>
      <c r="F97" s="278">
        <f>+F98/F96</f>
        <v>3.335521038430686E-2</v>
      </c>
      <c r="G97" s="278">
        <f>+G98/G96</f>
        <v>3.468456004427227E-2</v>
      </c>
      <c r="H97" s="50"/>
      <c r="I97" s="278">
        <f t="shared" ref="I97:P97" si="266">+I98/I96</f>
        <v>3.4275333064190554E-2</v>
      </c>
      <c r="J97" s="278">
        <f t="shared" si="266"/>
        <v>2.97331136738056E-2</v>
      </c>
      <c r="K97" s="278">
        <f t="shared" si="266"/>
        <v>8.4784451835909474E-3</v>
      </c>
      <c r="L97" s="278">
        <f t="shared" si="266"/>
        <v>2.4397181459693579E-2</v>
      </c>
      <c r="M97" s="18"/>
      <c r="N97" s="278">
        <f t="shared" si="266"/>
        <v>2.5179993628544121E-2</v>
      </c>
      <c r="O97" s="278">
        <f t="shared" si="266"/>
        <v>2.5251509054325959E-2</v>
      </c>
      <c r="P97" s="278">
        <f t="shared" si="266"/>
        <v>2.6307940847520812E-2</v>
      </c>
      <c r="Q97" s="185">
        <v>0.04</v>
      </c>
      <c r="R97" s="18"/>
      <c r="S97" s="185">
        <v>3.5000000000000003E-2</v>
      </c>
      <c r="T97" s="185">
        <v>3.2000000000000001E-2</v>
      </c>
      <c r="U97" s="185">
        <v>3.2000000000000001E-2</v>
      </c>
      <c r="V97" s="185">
        <v>4.2000000000000003E-2</v>
      </c>
      <c r="W97" s="18"/>
      <c r="X97" s="185">
        <f>+S97*(1+2.25%)</f>
        <v>3.57875E-2</v>
      </c>
      <c r="Y97" s="185">
        <f>+T97*(1+2.25%)</f>
        <v>3.2719999999999999E-2</v>
      </c>
      <c r="Z97" s="185">
        <f>+U97*(1+2.25%)</f>
        <v>3.2719999999999999E-2</v>
      </c>
      <c r="AA97" s="185">
        <f>+V97*(1+2.25%)</f>
        <v>4.2945000000000004E-2</v>
      </c>
      <c r="AB97" s="18"/>
      <c r="AC97" s="185">
        <f>+X97*(1+2.25%)</f>
        <v>3.6592718749999996E-2</v>
      </c>
      <c r="AD97" s="185">
        <f>+Y97*(1+2.25%)</f>
        <v>3.3456199999999998E-2</v>
      </c>
      <c r="AE97" s="185">
        <f>+Z97*(1+2.25%)</f>
        <v>3.3456199999999998E-2</v>
      </c>
      <c r="AF97" s="185">
        <f>+AA97*(1+2.25%)</f>
        <v>4.3911262499999999E-2</v>
      </c>
      <c r="AG97" s="18"/>
      <c r="AH97" s="185">
        <f>+AC97*(1+2.25%)</f>
        <v>3.7416054921874997E-2</v>
      </c>
      <c r="AI97" s="185">
        <f>+AD97*(1+2.25%)</f>
        <v>3.4208964499999994E-2</v>
      </c>
      <c r="AJ97" s="185">
        <f>+AE97*(1+2.25%)</f>
        <v>3.4208964499999994E-2</v>
      </c>
      <c r="AK97" s="185">
        <f>+AF97*(1+2.25%)</f>
        <v>4.4899265906249999E-2</v>
      </c>
      <c r="AL97" s="18"/>
      <c r="AM97" s="185">
        <f>+AH97*(1+2.25%)</f>
        <v>3.8257916157617186E-2</v>
      </c>
      <c r="AN97" s="185">
        <f>+AI97*(1+2.25%)</f>
        <v>3.4978666201249994E-2</v>
      </c>
      <c r="AO97" s="185">
        <f>+AJ97*(1+2.25%)</f>
        <v>3.4978666201249994E-2</v>
      </c>
      <c r="AP97" s="185">
        <f>+AK97*(1+2.25%)</f>
        <v>4.5909499389140622E-2</v>
      </c>
      <c r="AQ97" s="18"/>
    </row>
    <row r="98" spans="1:43" s="20" customFormat="1" outlineLevel="1" x14ac:dyDescent="0.25">
      <c r="A98" s="269"/>
      <c r="B98" s="599" t="s">
        <v>294</v>
      </c>
      <c r="C98" s="600"/>
      <c r="D98" s="279">
        <v>222.5</v>
      </c>
      <c r="E98" s="279">
        <v>215.1</v>
      </c>
      <c r="F98" s="279">
        <v>228.7</v>
      </c>
      <c r="G98" s="279">
        <v>250.7</v>
      </c>
      <c r="H98" s="204">
        <f>SUM(D98:G98)</f>
        <v>917</v>
      </c>
      <c r="I98" s="279">
        <v>254.7</v>
      </c>
      <c r="J98" s="279">
        <v>225.6</v>
      </c>
      <c r="K98" s="279">
        <v>65</v>
      </c>
      <c r="L98" s="203">
        <v>188.7</v>
      </c>
      <c r="M98" s="204">
        <f>SUM(I98:L98)</f>
        <v>734</v>
      </c>
      <c r="N98" s="203">
        <v>197.6</v>
      </c>
      <c r="O98" s="203">
        <v>200.8</v>
      </c>
      <c r="P98" s="203">
        <v>211.7</v>
      </c>
      <c r="Q98" s="203">
        <f t="shared" ref="Q98" si="267">+Q96*Q97</f>
        <v>327.10000000000002</v>
      </c>
      <c r="R98" s="204">
        <f>SUM(N98:Q98)</f>
        <v>937.19999999999993</v>
      </c>
      <c r="S98" s="203">
        <f>+S96*S97</f>
        <v>289.99250000000001</v>
      </c>
      <c r="T98" s="203">
        <f>+T96*T97</f>
        <v>267.536</v>
      </c>
      <c r="U98" s="203">
        <f t="shared" ref="U98:V98" si="268">+U96*U97</f>
        <v>269.93599999999998</v>
      </c>
      <c r="V98" s="203">
        <f t="shared" si="268"/>
        <v>357.44100000000003</v>
      </c>
      <c r="W98" s="204">
        <f>SUM(S98:V98)</f>
        <v>1184.9055000000001</v>
      </c>
      <c r="X98" s="203">
        <f>+X96*X97</f>
        <v>309.30776138281254</v>
      </c>
      <c r="Y98" s="203">
        <f>+Y96*Y97</f>
        <v>289.00588264999993</v>
      </c>
      <c r="Z98" s="203">
        <f t="shared" ref="Z98:AA98" si="269">+Z96*Z97</f>
        <v>295.21609775000002</v>
      </c>
      <c r="AA98" s="203">
        <f t="shared" si="269"/>
        <v>395.62203561562501</v>
      </c>
      <c r="AB98" s="204">
        <f>SUM(X98:AA98)</f>
        <v>1289.1517773984374</v>
      </c>
      <c r="AC98" s="203">
        <f>+AC96*AC97</f>
        <v>344.28984300531454</v>
      </c>
      <c r="AD98" s="203">
        <f>+AD96*AD97</f>
        <v>321.57110038229132</v>
      </c>
      <c r="AE98" s="203">
        <f t="shared" ref="AE98:AF98" si="270">+AE96*AE97</f>
        <v>328.36291573115233</v>
      </c>
      <c r="AF98" s="203">
        <f t="shared" si="270"/>
        <v>439.89058454251733</v>
      </c>
      <c r="AG98" s="204">
        <f>SUM(AC98:AF98)</f>
        <v>1434.1144436612753</v>
      </c>
      <c r="AH98" s="203">
        <f>+AH96*AH97</f>
        <v>382.41912594760419</v>
      </c>
      <c r="AI98" s="203">
        <f>+AI96*AI97</f>
        <v>356.58497491773403</v>
      </c>
      <c r="AJ98" s="203">
        <f t="shared" ref="AJ98:AK98" si="271">+AJ96*AJ97</f>
        <v>363.52960611194442</v>
      </c>
      <c r="AK98" s="203">
        <f t="shared" si="271"/>
        <v>486.24743646432808</v>
      </c>
      <c r="AL98" s="204">
        <f>SUM(AH98:AK98)</f>
        <v>1588.7811434416108</v>
      </c>
      <c r="AM98" s="203">
        <f>+AM96*AM97</f>
        <v>422.08992988927548</v>
      </c>
      <c r="AN98" s="203">
        <f>+AN96*AN97</f>
        <v>393.01167843770321</v>
      </c>
      <c r="AO98" s="203">
        <f t="shared" ref="AO98:AP98" si="272">+AO96*AO97</f>
        <v>400.11256383378327</v>
      </c>
      <c r="AP98" s="203">
        <f t="shared" si="272"/>
        <v>534.46765211419552</v>
      </c>
      <c r="AQ98" s="204">
        <f>SUM(AM98:AP98)</f>
        <v>1749.6818242749575</v>
      </c>
    </row>
    <row r="99" spans="1:43" s="20" customFormat="1" outlineLevel="1" x14ac:dyDescent="0.25">
      <c r="A99" s="269"/>
      <c r="B99" s="585" t="s">
        <v>295</v>
      </c>
      <c r="C99" s="586"/>
      <c r="D99" s="259">
        <v>3.4</v>
      </c>
      <c r="E99" s="259">
        <v>4.9000000000000004</v>
      </c>
      <c r="F99" s="259">
        <v>3.8</v>
      </c>
      <c r="G99" s="259">
        <v>5.5</v>
      </c>
      <c r="H99" s="239">
        <f>SUM(D99:G99)</f>
        <v>17.600000000000001</v>
      </c>
      <c r="I99" s="259">
        <v>6.7</v>
      </c>
      <c r="J99" s="259">
        <v>6.6</v>
      </c>
      <c r="K99" s="259">
        <v>9.1</v>
      </c>
      <c r="L99" s="171">
        <v>5.3</v>
      </c>
      <c r="M99" s="239">
        <f>SUM(I99:L99)</f>
        <v>27.7</v>
      </c>
      <c r="N99" s="171">
        <v>15</v>
      </c>
      <c r="O99" s="171">
        <v>25.4</v>
      </c>
      <c r="P99" s="171">
        <v>13.4</v>
      </c>
      <c r="Q99" s="171">
        <f t="shared" ref="Q99" si="273">+L99*(1+Q100)</f>
        <v>7.9499999999999993</v>
      </c>
      <c r="R99" s="239">
        <f>SUM(N99:Q99)</f>
        <v>61.75</v>
      </c>
      <c r="S99" s="171">
        <f>+N99*(1+S100)</f>
        <v>22.5</v>
      </c>
      <c r="T99" s="171">
        <f>+O99*(1+T100)</f>
        <v>38.099999999999994</v>
      </c>
      <c r="U99" s="171">
        <f>+P99*(1+U100)</f>
        <v>16.75</v>
      </c>
      <c r="V99" s="171">
        <f t="shared" ref="V99" si="274">+Q99*(1+V100)</f>
        <v>9.9375</v>
      </c>
      <c r="W99" s="239">
        <f>SUM(S99:V99)</f>
        <v>87.287499999999994</v>
      </c>
      <c r="X99" s="171">
        <f>+S99*(1+X100)</f>
        <v>28.125</v>
      </c>
      <c r="Y99" s="171">
        <f>+T99*(1+Y100)</f>
        <v>47.624999999999993</v>
      </c>
      <c r="Z99" s="171">
        <f>+U99*(1+Z100)</f>
        <v>20.9375</v>
      </c>
      <c r="AA99" s="171">
        <f t="shared" ref="AA99" si="275">+V99*(1+AA100)</f>
        <v>12.421875</v>
      </c>
      <c r="AB99" s="239">
        <f>SUM(X99:AA99)</f>
        <v>109.109375</v>
      </c>
      <c r="AC99" s="171">
        <f>+X99*(1+AC100)</f>
        <v>35.15625</v>
      </c>
      <c r="AD99" s="171">
        <f>+Y99*(1+AD100)</f>
        <v>59.531249999999993</v>
      </c>
      <c r="AE99" s="171">
        <f>+Z99*(1+AE100)</f>
        <v>26.171875</v>
      </c>
      <c r="AF99" s="171">
        <f t="shared" ref="AF99" si="276">+AA99*(1+AF100)</f>
        <v>15.52734375</v>
      </c>
      <c r="AG99" s="239">
        <f>SUM(AC99:AF99)</f>
        <v>136.38671875</v>
      </c>
      <c r="AH99" s="171">
        <f>+AC99*(1+AH100)</f>
        <v>43.9453125</v>
      </c>
      <c r="AI99" s="171">
        <f>+AD99*(1+AI100)</f>
        <v>74.414062499999986</v>
      </c>
      <c r="AJ99" s="171">
        <f>+AE99*(1+AJ100)</f>
        <v>32.71484375</v>
      </c>
      <c r="AK99" s="171">
        <f t="shared" ref="AK99" si="277">+AF99*(1+AK100)</f>
        <v>19.4091796875</v>
      </c>
      <c r="AL99" s="239">
        <f>SUM(AH99:AK99)</f>
        <v>170.4833984375</v>
      </c>
      <c r="AM99" s="171">
        <f>+AH99*(1+AM100)</f>
        <v>54.931640625</v>
      </c>
      <c r="AN99" s="171">
        <f>+AI99*(1+AN100)</f>
        <v>93.017578124999986</v>
      </c>
      <c r="AO99" s="171">
        <f>+AJ99*(1+AO100)</f>
        <v>40.8935546875</v>
      </c>
      <c r="AP99" s="171">
        <f t="shared" ref="AP99" si="278">+AK99*(1+AP100)</f>
        <v>24.261474609375</v>
      </c>
      <c r="AQ99" s="239">
        <f>SUM(AM99:AP99)</f>
        <v>213.104248046875</v>
      </c>
    </row>
    <row r="100" spans="1:43" outlineLevel="1" x14ac:dyDescent="0.25">
      <c r="A100" s="254"/>
      <c r="B100" s="200" t="s">
        <v>169</v>
      </c>
      <c r="C100" s="201"/>
      <c r="D100" s="289"/>
      <c r="E100" s="289"/>
      <c r="F100" s="289"/>
      <c r="G100" s="289"/>
      <c r="H100" s="179"/>
      <c r="I100" s="289">
        <f>I99/D99-1</f>
        <v>0.97058823529411775</v>
      </c>
      <c r="J100" s="289">
        <f t="shared" ref="J100:L100" si="279">J99/E99-1</f>
        <v>0.3469387755102038</v>
      </c>
      <c r="K100" s="289">
        <f t="shared" si="279"/>
        <v>1.3947368421052633</v>
      </c>
      <c r="L100" s="289">
        <f t="shared" si="279"/>
        <v>-3.6363636363636376E-2</v>
      </c>
      <c r="M100" s="179"/>
      <c r="N100" s="289">
        <f>N99/I99-1</f>
        <v>1.2388059701492535</v>
      </c>
      <c r="O100" s="289">
        <f t="shared" ref="O100:P100" si="280">O99/J99-1</f>
        <v>2.8484848484848486</v>
      </c>
      <c r="P100" s="289">
        <f t="shared" si="280"/>
        <v>0.47252747252747263</v>
      </c>
      <c r="Q100" s="202">
        <v>0.5</v>
      </c>
      <c r="R100" s="179"/>
      <c r="S100" s="202">
        <v>0.5</v>
      </c>
      <c r="T100" s="202">
        <v>0.5</v>
      </c>
      <c r="U100" s="202">
        <v>0.25</v>
      </c>
      <c r="V100" s="202">
        <v>0.25</v>
      </c>
      <c r="W100" s="179"/>
      <c r="X100" s="202">
        <v>0.25</v>
      </c>
      <c r="Y100" s="202">
        <v>0.25</v>
      </c>
      <c r="Z100" s="202">
        <v>0.25</v>
      </c>
      <c r="AA100" s="202">
        <v>0.25</v>
      </c>
      <c r="AB100" s="179"/>
      <c r="AC100" s="202">
        <v>0.25</v>
      </c>
      <c r="AD100" s="202">
        <v>0.25</v>
      </c>
      <c r="AE100" s="202">
        <v>0.25</v>
      </c>
      <c r="AF100" s="202">
        <v>0.25</v>
      </c>
      <c r="AG100" s="179"/>
      <c r="AH100" s="202">
        <v>0.25</v>
      </c>
      <c r="AI100" s="202">
        <v>0.25</v>
      </c>
      <c r="AJ100" s="202">
        <v>0.25</v>
      </c>
      <c r="AK100" s="202">
        <v>0.25</v>
      </c>
      <c r="AL100" s="179"/>
      <c r="AM100" s="202">
        <v>0.25</v>
      </c>
      <c r="AN100" s="202">
        <v>0.25</v>
      </c>
      <c r="AO100" s="202">
        <v>0.25</v>
      </c>
      <c r="AP100" s="202">
        <v>0.25</v>
      </c>
      <c r="AQ100" s="179"/>
    </row>
    <row r="101" spans="1:43" outlineLevel="1" x14ac:dyDescent="0.25">
      <c r="A101" s="254"/>
      <c r="B101" s="550" t="s">
        <v>296</v>
      </c>
      <c r="C101" s="551"/>
      <c r="D101" s="256">
        <f t="shared" ref="D101:G102" si="281">+D94+D83</f>
        <v>12212</v>
      </c>
      <c r="E101" s="256">
        <f t="shared" si="281"/>
        <v>12465</v>
      </c>
      <c r="F101" s="256">
        <f t="shared" si="281"/>
        <v>12773</v>
      </c>
      <c r="G101" s="256">
        <f t="shared" si="281"/>
        <v>13189</v>
      </c>
      <c r="H101" s="18"/>
      <c r="I101" s="256">
        <f>+I94+I83</f>
        <v>13592</v>
      </c>
      <c r="J101" s="256">
        <f t="shared" ref="J101:L102" si="282">+J94+J83</f>
        <v>13779</v>
      </c>
      <c r="K101" s="256">
        <f t="shared" si="282"/>
        <v>13945</v>
      </c>
      <c r="L101" s="34">
        <f t="shared" si="282"/>
        <v>14306</v>
      </c>
      <c r="M101" s="18"/>
      <c r="N101" s="34">
        <f>+N94+N83</f>
        <v>14630</v>
      </c>
      <c r="O101" s="34">
        <f t="shared" ref="O101:Q102" si="283">+O94+O83</f>
        <v>14823</v>
      </c>
      <c r="P101" s="34">
        <f t="shared" si="283"/>
        <v>15120</v>
      </c>
      <c r="Q101" s="34">
        <f t="shared" si="283"/>
        <v>15406</v>
      </c>
      <c r="R101" s="18"/>
      <c r="S101" s="34">
        <f>+S94+S83</f>
        <v>15556</v>
      </c>
      <c r="T101" s="34">
        <f t="shared" ref="T101:V102" si="284">+T94+T83</f>
        <v>15706</v>
      </c>
      <c r="U101" s="34">
        <f t="shared" si="284"/>
        <v>15856</v>
      </c>
      <c r="V101" s="34">
        <f t="shared" si="284"/>
        <v>16006</v>
      </c>
      <c r="W101" s="499">
        <f>W102/(AVERAGE(N101:Q101))</f>
        <v>4.0014004901715604E-2</v>
      </c>
      <c r="X101" s="34">
        <f>+X94+X83</f>
        <v>16361.0725</v>
      </c>
      <c r="Y101" s="34">
        <f t="shared" ref="Y101:AA102" si="285">+Y94+Y83</f>
        <v>16716.145</v>
      </c>
      <c r="Z101" s="34">
        <f t="shared" si="285"/>
        <v>17071.217499999999</v>
      </c>
      <c r="AA101" s="34">
        <f t="shared" si="285"/>
        <v>17426.29</v>
      </c>
      <c r="AB101" s="500">
        <f>AB102/(AVERAGE(S101:V101))</f>
        <v>0.09</v>
      </c>
      <c r="AC101" s="34">
        <f>+AC94+AC83</f>
        <v>17806.397828125002</v>
      </c>
      <c r="AD101" s="34">
        <f t="shared" ref="AD101:AF102" si="286">+AD94+AD83</f>
        <v>18186.505656249999</v>
      </c>
      <c r="AE101" s="34">
        <f t="shared" si="286"/>
        <v>18566.613484374997</v>
      </c>
      <c r="AF101" s="34">
        <f t="shared" si="286"/>
        <v>18946.721312499998</v>
      </c>
      <c r="AG101" s="500">
        <f>AG102/(AVERAGE(X101:AA101))</f>
        <v>8.9999999999999983E-2</v>
      </c>
      <c r="AH101" s="34">
        <f>+AH94+AH83</f>
        <v>19326.829140624999</v>
      </c>
      <c r="AI101" s="34">
        <f t="shared" ref="AI101:AK102" si="287">+AI94+AI83</f>
        <v>19706.936968749997</v>
      </c>
      <c r="AJ101" s="34">
        <f t="shared" si="287"/>
        <v>20087.044796874994</v>
      </c>
      <c r="AK101" s="34">
        <f t="shared" si="287"/>
        <v>20467.152624999995</v>
      </c>
      <c r="AL101" s="499">
        <f>AL102/(AVERAGE(AC101:AF101))</f>
        <v>8.2737538911052233E-2</v>
      </c>
      <c r="AM101" s="34">
        <f>+AM94+AM83</f>
        <v>20847.260453124996</v>
      </c>
      <c r="AN101" s="34">
        <f t="shared" ref="AN101:AP102" si="288">+AN94+AN83</f>
        <v>21227.368281249994</v>
      </c>
      <c r="AO101" s="34">
        <f t="shared" si="288"/>
        <v>21607.476109374991</v>
      </c>
      <c r="AP101" s="34">
        <f t="shared" si="288"/>
        <v>21987.583937499992</v>
      </c>
      <c r="AQ101" s="499">
        <f>AQ102/(AVERAGE(AH101:AK101))</f>
        <v>7.6415138422432777E-2</v>
      </c>
    </row>
    <row r="102" spans="1:43" outlineLevel="1" x14ac:dyDescent="0.25">
      <c r="A102" s="254"/>
      <c r="B102" s="550" t="s">
        <v>297</v>
      </c>
      <c r="C102" s="551"/>
      <c r="D102" s="256">
        <f t="shared" si="281"/>
        <v>360</v>
      </c>
      <c r="E102" s="256">
        <f t="shared" si="281"/>
        <v>253</v>
      </c>
      <c r="F102" s="256">
        <f t="shared" si="281"/>
        <v>308</v>
      </c>
      <c r="G102" s="256">
        <f t="shared" si="281"/>
        <v>416</v>
      </c>
      <c r="H102" s="50">
        <f>+H95+H84</f>
        <v>1337</v>
      </c>
      <c r="I102" s="256">
        <f>+I95+I84</f>
        <v>403</v>
      </c>
      <c r="J102" s="256">
        <f t="shared" si="282"/>
        <v>187</v>
      </c>
      <c r="K102" s="256">
        <f t="shared" si="282"/>
        <v>166</v>
      </c>
      <c r="L102" s="34">
        <f t="shared" si="282"/>
        <v>361</v>
      </c>
      <c r="M102" s="50">
        <f>+M95+M84</f>
        <v>1117</v>
      </c>
      <c r="N102" s="34">
        <f>+N95+N84</f>
        <v>324</v>
      </c>
      <c r="O102" s="34">
        <f t="shared" si="283"/>
        <v>193</v>
      </c>
      <c r="P102" s="34">
        <f t="shared" si="283"/>
        <v>297</v>
      </c>
      <c r="Q102" s="34">
        <f t="shared" si="283"/>
        <v>286</v>
      </c>
      <c r="R102" s="349">
        <f>+R95+R84</f>
        <v>1100</v>
      </c>
      <c r="S102" s="34">
        <f>+S95+S84</f>
        <v>150</v>
      </c>
      <c r="T102" s="34">
        <f t="shared" si="284"/>
        <v>150</v>
      </c>
      <c r="U102" s="34">
        <f t="shared" si="284"/>
        <v>150</v>
      </c>
      <c r="V102" s="34">
        <f t="shared" si="284"/>
        <v>150</v>
      </c>
      <c r="W102" s="50">
        <f>+W95+W84</f>
        <v>600</v>
      </c>
      <c r="X102" s="34">
        <f>+X95+X84</f>
        <v>355.07249999999999</v>
      </c>
      <c r="Y102" s="34">
        <f t="shared" si="285"/>
        <v>355.07249999999999</v>
      </c>
      <c r="Z102" s="34">
        <f t="shared" si="285"/>
        <v>355.07249999999999</v>
      </c>
      <c r="AA102" s="34">
        <f t="shared" si="285"/>
        <v>355.07249999999999</v>
      </c>
      <c r="AB102" s="50">
        <f>+AB95+AB84</f>
        <v>1420.29</v>
      </c>
      <c r="AC102" s="34">
        <f>+AC95+AC84</f>
        <v>380.10782812499997</v>
      </c>
      <c r="AD102" s="34">
        <f t="shared" si="286"/>
        <v>380.10782812499997</v>
      </c>
      <c r="AE102" s="34">
        <f t="shared" si="286"/>
        <v>380.10782812499997</v>
      </c>
      <c r="AF102" s="34">
        <f t="shared" si="286"/>
        <v>380.10782812499997</v>
      </c>
      <c r="AG102" s="50">
        <f>+AG95+AG84</f>
        <v>1520.4313124999999</v>
      </c>
      <c r="AH102" s="34">
        <f>+AH95+AH84</f>
        <v>380.10782812499997</v>
      </c>
      <c r="AI102" s="34">
        <f t="shared" si="287"/>
        <v>380.10782812499997</v>
      </c>
      <c r="AJ102" s="34">
        <f t="shared" si="287"/>
        <v>380.10782812499997</v>
      </c>
      <c r="AK102" s="34">
        <f t="shared" si="287"/>
        <v>380.10782812499997</v>
      </c>
      <c r="AL102" s="50">
        <f>+AL95+AL84</f>
        <v>1520.4313124999999</v>
      </c>
      <c r="AM102" s="34">
        <f>+AM95+AM84</f>
        <v>380.10782812499997</v>
      </c>
      <c r="AN102" s="34">
        <f t="shared" si="288"/>
        <v>380.10782812499997</v>
      </c>
      <c r="AO102" s="34">
        <f t="shared" si="288"/>
        <v>380.10782812499997</v>
      </c>
      <c r="AP102" s="34">
        <f t="shared" si="288"/>
        <v>380.10782812499997</v>
      </c>
      <c r="AQ102" s="50">
        <f>+AQ95+AQ84</f>
        <v>1520.4313124999999</v>
      </c>
    </row>
    <row r="103" spans="1:43" outlineLevel="1" x14ac:dyDescent="0.25">
      <c r="A103" s="254"/>
      <c r="B103" s="601" t="s">
        <v>298</v>
      </c>
      <c r="C103" s="602"/>
      <c r="D103" s="279">
        <f t="shared" ref="D103:G103" si="289">+D99+D98+D91</f>
        <v>1504</v>
      </c>
      <c r="E103" s="279">
        <f>+E99+E98+E91</f>
        <v>1529.4</v>
      </c>
      <c r="F103" s="279">
        <f t="shared" si="289"/>
        <v>1585.3</v>
      </c>
      <c r="G103" s="279">
        <f t="shared" si="289"/>
        <v>1572.1000000000001</v>
      </c>
      <c r="H103" s="204">
        <f>SUM(D103:G103)</f>
        <v>6190.8</v>
      </c>
      <c r="I103" s="279">
        <f>+I99+I98+I91</f>
        <v>1571.1</v>
      </c>
      <c r="J103" s="279">
        <f t="shared" ref="J103:L103" si="290">+J99+J98+J91</f>
        <v>1134.5999999999999</v>
      </c>
      <c r="K103" s="279">
        <f t="shared" si="290"/>
        <v>949.6</v>
      </c>
      <c r="L103" s="203">
        <f t="shared" si="290"/>
        <v>1492.3</v>
      </c>
      <c r="M103" s="204">
        <f>SUM(I103:L103)</f>
        <v>5147.5999999999995</v>
      </c>
      <c r="N103" s="203">
        <f>+N99+N98+N91</f>
        <v>1654.3</v>
      </c>
      <c r="O103" s="203">
        <f t="shared" ref="O103:Q103" si="291">+O99+O98+O91</f>
        <v>1610.9</v>
      </c>
      <c r="P103" s="203">
        <f t="shared" si="291"/>
        <v>1658.3999999999999</v>
      </c>
      <c r="Q103" s="203">
        <f t="shared" si="291"/>
        <v>1984.1307887935336</v>
      </c>
      <c r="R103" s="204">
        <f>SUM(N103:Q103)</f>
        <v>6907.7307887935331</v>
      </c>
      <c r="S103" s="203">
        <f>+S99+S98+S91</f>
        <v>2012.5672338425222</v>
      </c>
      <c r="T103" s="203">
        <f t="shared" ref="T103:V103" si="292">+T99+T98+T91</f>
        <v>1903.6192797245692</v>
      </c>
      <c r="U103" s="203">
        <f t="shared" si="292"/>
        <v>1951.5882505014254</v>
      </c>
      <c r="V103" s="203">
        <f t="shared" si="292"/>
        <v>2178.8147605819304</v>
      </c>
      <c r="W103" s="204">
        <f>SUM(S103:V103)</f>
        <v>8046.5895246504469</v>
      </c>
      <c r="X103" s="203">
        <f>+X99+X98+X91</f>
        <v>2310.884087113141</v>
      </c>
      <c r="Y103" s="203">
        <f t="shared" ref="Y103:AA103" si="293">+Y99+Y98+Y91</f>
        <v>2182.1790233166726</v>
      </c>
      <c r="Z103" s="203">
        <f t="shared" si="293"/>
        <v>2210.2513789630848</v>
      </c>
      <c r="AA103" s="203">
        <f t="shared" si="293"/>
        <v>2444.2309048645689</v>
      </c>
      <c r="AB103" s="204">
        <f>SUM(X103:AA103)</f>
        <v>9147.5453942574677</v>
      </c>
      <c r="AC103" s="203">
        <f>+AC99+AC98+AC91</f>
        <v>2532.6996061489808</v>
      </c>
      <c r="AD103" s="203">
        <f t="shared" ref="AD103:AF103" si="294">+AD99+AD98+AD91</f>
        <v>2413.7746548006571</v>
      </c>
      <c r="AE103" s="203">
        <f t="shared" si="294"/>
        <v>2461.7413089108977</v>
      </c>
      <c r="AF103" s="203">
        <f t="shared" si="294"/>
        <v>2744.3217353527016</v>
      </c>
      <c r="AG103" s="204">
        <f>SUM(AC103:AF103)</f>
        <v>10152.537305213238</v>
      </c>
      <c r="AH103" s="203">
        <f>+AH99+AH98+AH91</f>
        <v>2837.0627305380472</v>
      </c>
      <c r="AI103" s="203">
        <f t="shared" ref="AI103:AK103" si="295">+AI99+AI98+AI91</f>
        <v>2704.5474468468924</v>
      </c>
      <c r="AJ103" s="203">
        <f t="shared" si="295"/>
        <v>2753.4494696483994</v>
      </c>
      <c r="AK103" s="203">
        <f t="shared" si="295"/>
        <v>3067.6678690629942</v>
      </c>
      <c r="AL103" s="204">
        <f>SUM(AH103:AK103)</f>
        <v>11362.727516096333</v>
      </c>
      <c r="AM103" s="203">
        <f>+AM99+AM98+AM91</f>
        <v>3172.4686200599663</v>
      </c>
      <c r="AN103" s="203">
        <f t="shared" ref="AN103:AP103" si="296">+AN99+AN98+AN91</f>
        <v>3022.8120843286006</v>
      </c>
      <c r="AO103" s="203">
        <f t="shared" si="296"/>
        <v>3068.2255714743869</v>
      </c>
      <c r="AP103" s="203">
        <f t="shared" si="296"/>
        <v>3412.3541750625009</v>
      </c>
      <c r="AQ103" s="204">
        <f>SUM(AM103:AP103)</f>
        <v>12675.860450925455</v>
      </c>
    </row>
    <row r="104" spans="1:43" outlineLevel="1" x14ac:dyDescent="0.25">
      <c r="A104" s="254"/>
      <c r="B104" s="605" t="s">
        <v>262</v>
      </c>
      <c r="C104" s="606"/>
      <c r="D104" s="261">
        <v>462.7</v>
      </c>
      <c r="E104" s="261">
        <v>470.2</v>
      </c>
      <c r="F104" s="261">
        <v>476.1</v>
      </c>
      <c r="G104" s="261">
        <v>486.1</v>
      </c>
      <c r="H104" s="209">
        <f>SUM(D104:G104)</f>
        <v>1895.1</v>
      </c>
      <c r="I104" s="261">
        <v>488.5</v>
      </c>
      <c r="J104" s="261">
        <v>387.7</v>
      </c>
      <c r="K104" s="261">
        <v>337.7</v>
      </c>
      <c r="L104" s="169">
        <v>468</v>
      </c>
      <c r="M104" s="209">
        <f>SUM(I104:L104)</f>
        <v>1681.9</v>
      </c>
      <c r="N104" s="169">
        <v>520.4</v>
      </c>
      <c r="O104" s="169">
        <v>513.5</v>
      </c>
      <c r="P104" s="169">
        <v>501.7</v>
      </c>
      <c r="Q104" s="169">
        <f t="shared" ref="Q104" si="297">Q105*Q103</f>
        <v>618.95657647228018</v>
      </c>
      <c r="R104" s="209">
        <f>SUM(N104:Q104)</f>
        <v>2154.5565764722805</v>
      </c>
      <c r="S104" s="169">
        <f>S105*S103</f>
        <v>632.85884358255305</v>
      </c>
      <c r="T104" s="169">
        <f>T105*T103</f>
        <v>598.599776310484</v>
      </c>
      <c r="U104" s="169">
        <f t="shared" ref="U104:V104" si="298">U105*U103</f>
        <v>613.68378784719471</v>
      </c>
      <c r="V104" s="169">
        <f t="shared" si="298"/>
        <v>674.24188914816523</v>
      </c>
      <c r="W104" s="209">
        <f>SUM(S104:V104)</f>
        <v>2519.3842968883969</v>
      </c>
      <c r="X104" s="169">
        <f>X105*X103</f>
        <v>720.88841686366243</v>
      </c>
      <c r="Y104" s="169">
        <f>Y105*Y103</f>
        <v>680.73841963966481</v>
      </c>
      <c r="Z104" s="169">
        <f t="shared" ref="Z104:AA104" si="299">Z105*Z103</f>
        <v>689.49568969593008</v>
      </c>
      <c r="AA104" s="169">
        <f t="shared" si="299"/>
        <v>762.48642555596416</v>
      </c>
      <c r="AB104" s="209">
        <f>SUM(X104:AA104)</f>
        <v>2853.6089517552214</v>
      </c>
      <c r="AC104" s="169">
        <f>AC105*AC103</f>
        <v>796.41629702436535</v>
      </c>
      <c r="AD104" s="169">
        <f>AD105*AD103</f>
        <v>759.01992789054259</v>
      </c>
      <c r="AE104" s="169">
        <f t="shared" ref="AE104:AF104" si="300">AE105*AE103</f>
        <v>774.10321094328981</v>
      </c>
      <c r="AF104" s="169">
        <f t="shared" si="300"/>
        <v>862.96161969099865</v>
      </c>
      <c r="AG104" s="209">
        <f>SUM(AC104:AF104)</f>
        <v>3192.5010555491967</v>
      </c>
      <c r="AH104" s="169">
        <f>AH105*AH103</f>
        <v>892.12435173728886</v>
      </c>
      <c r="AI104" s="169">
        <f>AI105*AI103</f>
        <v>850.45445480983039</v>
      </c>
      <c r="AJ104" s="169">
        <f t="shared" ref="AJ104:AK104" si="301">AJ105*AJ103</f>
        <v>865.83186783663461</v>
      </c>
      <c r="AK104" s="169">
        <f t="shared" si="301"/>
        <v>964.63894843598075</v>
      </c>
      <c r="AL104" s="209">
        <f>SUM(AH104:AK104)</f>
        <v>3573.0496228197344</v>
      </c>
      <c r="AM104" s="169">
        <f>AM105*AM103</f>
        <v>997.593913103619</v>
      </c>
      <c r="AN104" s="169">
        <f>AN105*AN103</f>
        <v>950.53388919738961</v>
      </c>
      <c r="AO104" s="169">
        <f t="shared" ref="AO104:AP104" si="302">AO105*AO103</f>
        <v>964.81431992032287</v>
      </c>
      <c r="AP104" s="169">
        <f t="shared" si="302"/>
        <v>1073.0267693969267</v>
      </c>
      <c r="AQ104" s="209">
        <f>SUM(AM104:AP104)</f>
        <v>3985.9688916182581</v>
      </c>
    </row>
    <row r="105" spans="1:43" s="469" customFormat="1" outlineLevel="1" x14ac:dyDescent="0.25">
      <c r="A105" s="470"/>
      <c r="B105" s="467" t="s">
        <v>341</v>
      </c>
      <c r="C105" s="468"/>
      <c r="D105" s="415">
        <f>D104/D103</f>
        <v>0.30764627659574467</v>
      </c>
      <c r="E105" s="415">
        <f t="shared" ref="E105:P105" si="303">E104/E103</f>
        <v>0.30744082646789589</v>
      </c>
      <c r="F105" s="415">
        <f t="shared" si="303"/>
        <v>0.30032170567085098</v>
      </c>
      <c r="G105" s="415">
        <f t="shared" si="303"/>
        <v>0.30920424909356908</v>
      </c>
      <c r="H105" s="476">
        <f>H104/H103</f>
        <v>0.30611552626477995</v>
      </c>
      <c r="I105" s="415">
        <f t="shared" si="303"/>
        <v>0.31092864871745912</v>
      </c>
      <c r="J105" s="415">
        <f t="shared" si="303"/>
        <v>0.34170632822139962</v>
      </c>
      <c r="K105" s="415">
        <f t="shared" si="303"/>
        <v>0.35562342038753159</v>
      </c>
      <c r="L105" s="475">
        <f t="shared" si="303"/>
        <v>0.31360986396837098</v>
      </c>
      <c r="M105" s="476">
        <f>M104/M103</f>
        <v>0.32673478902789654</v>
      </c>
      <c r="N105" s="475">
        <f t="shared" si="303"/>
        <v>0.31457414011968809</v>
      </c>
      <c r="O105" s="415">
        <f t="shared" si="303"/>
        <v>0.31876590725681292</v>
      </c>
      <c r="P105" s="415">
        <f t="shared" si="303"/>
        <v>0.30252050168837435</v>
      </c>
      <c r="Q105" s="477">
        <f>AVERAGE(N105:P105)</f>
        <v>0.31195351635495844</v>
      </c>
      <c r="R105" s="476">
        <f>R104/R103</f>
        <v>0.31190511650622443</v>
      </c>
      <c r="S105" s="477">
        <f>Q105+0.25%</f>
        <v>0.31445351635495844</v>
      </c>
      <c r="T105" s="477">
        <f>S105</f>
        <v>0.31445351635495844</v>
      </c>
      <c r="U105" s="477">
        <f>T105</f>
        <v>0.31445351635495844</v>
      </c>
      <c r="V105" s="477">
        <f>U105-0.5%</f>
        <v>0.30945351635495844</v>
      </c>
      <c r="W105" s="476">
        <f>W104/W103</f>
        <v>0.31309964167680615</v>
      </c>
      <c r="X105" s="477">
        <f>V105+0.25%</f>
        <v>0.31195351635495844</v>
      </c>
      <c r="Y105" s="477">
        <f>X105</f>
        <v>0.31195351635495844</v>
      </c>
      <c r="Z105" s="477">
        <f>Y105</f>
        <v>0.31195351635495844</v>
      </c>
      <c r="AA105" s="477">
        <f>Z105</f>
        <v>0.31195351635495844</v>
      </c>
      <c r="AB105" s="476">
        <f>AB104/AB103</f>
        <v>0.31195351635495838</v>
      </c>
      <c r="AC105" s="477">
        <f>AA105+0.25%</f>
        <v>0.31445351635495844</v>
      </c>
      <c r="AD105" s="477">
        <f>AC105</f>
        <v>0.31445351635495844</v>
      </c>
      <c r="AE105" s="477">
        <f>AD105</f>
        <v>0.31445351635495844</v>
      </c>
      <c r="AF105" s="477">
        <f>AE105</f>
        <v>0.31445351635495844</v>
      </c>
      <c r="AG105" s="476">
        <f>AG104/AG103</f>
        <v>0.31445351635495844</v>
      </c>
      <c r="AH105" s="477">
        <f>AF105</f>
        <v>0.31445351635495844</v>
      </c>
      <c r="AI105" s="477">
        <f>AH105</f>
        <v>0.31445351635495844</v>
      </c>
      <c r="AJ105" s="477">
        <f>AI105</f>
        <v>0.31445351635495844</v>
      </c>
      <c r="AK105" s="477">
        <f>AJ105</f>
        <v>0.31445351635495844</v>
      </c>
      <c r="AL105" s="476">
        <f>AL104/AL103</f>
        <v>0.31445351635495844</v>
      </c>
      <c r="AM105" s="477">
        <f>AK105</f>
        <v>0.31445351635495844</v>
      </c>
      <c r="AN105" s="477">
        <f>AM105</f>
        <v>0.31445351635495844</v>
      </c>
      <c r="AO105" s="477">
        <f>AN105</f>
        <v>0.31445351635495844</v>
      </c>
      <c r="AP105" s="477">
        <f>AO105</f>
        <v>0.31445351635495844</v>
      </c>
      <c r="AQ105" s="476">
        <f>AQ104/AQ103</f>
        <v>0.31445351635495844</v>
      </c>
    </row>
    <row r="106" spans="1:43" outlineLevel="1" x14ac:dyDescent="0.25">
      <c r="A106" s="254"/>
      <c r="B106" s="550" t="s">
        <v>141</v>
      </c>
      <c r="C106" s="36"/>
      <c r="D106" s="261">
        <v>603.70000000000005</v>
      </c>
      <c r="E106" s="261">
        <v>618.4</v>
      </c>
      <c r="F106" s="261">
        <v>609.20000000000005</v>
      </c>
      <c r="G106" s="261">
        <v>597.29999999999995</v>
      </c>
      <c r="H106" s="170">
        <f>SUM(D106:G106)</f>
        <v>2428.6</v>
      </c>
      <c r="I106" s="261">
        <v>607.1</v>
      </c>
      <c r="J106" s="261">
        <v>562.79999999999995</v>
      </c>
      <c r="K106" s="261">
        <v>483.4</v>
      </c>
      <c r="L106" s="169">
        <v>622.79999999999995</v>
      </c>
      <c r="M106" s="170">
        <f>SUM(I106:L106)</f>
        <v>2276.1000000000004</v>
      </c>
      <c r="N106" s="169">
        <v>628.5</v>
      </c>
      <c r="O106" s="169">
        <v>620.20000000000005</v>
      </c>
      <c r="P106" s="169">
        <v>620.1</v>
      </c>
      <c r="Q106" s="169">
        <f t="shared" ref="Q106" si="304">Q107*Q91</f>
        <v>723.65869992254272</v>
      </c>
      <c r="R106" s="170">
        <f>SUM(N106:Q106)</f>
        <v>2592.458699922543</v>
      </c>
      <c r="S106" s="169">
        <f>S107*S91</f>
        <v>750.28633013581464</v>
      </c>
      <c r="T106" s="169">
        <f>T107*T91</f>
        <v>705.23076821045106</v>
      </c>
      <c r="U106" s="169">
        <f t="shared" ref="U106:V106" si="305">U107*U91</f>
        <v>734.7638163766054</v>
      </c>
      <c r="V106" s="169">
        <f t="shared" si="305"/>
        <v>790.37583018307419</v>
      </c>
      <c r="W106" s="170">
        <f>SUM(S106:V106)</f>
        <v>2980.6567449059457</v>
      </c>
      <c r="X106" s="169">
        <f>X107*X91</f>
        <v>866.00076263287781</v>
      </c>
      <c r="Y106" s="169">
        <f>Y107*Y91</f>
        <v>809.87358363224598</v>
      </c>
      <c r="Z106" s="169">
        <f t="shared" ref="Z106:AA106" si="306">Z107*Z91</f>
        <v>831.17840386802538</v>
      </c>
      <c r="AA106" s="169">
        <f t="shared" si="306"/>
        <v>893.53077367143146</v>
      </c>
      <c r="AB106" s="170">
        <f>SUM(X106:AA106)</f>
        <v>3400.5835238045802</v>
      </c>
      <c r="AC106" s="169">
        <f>AC107*AC91</f>
        <v>950.28568101657368</v>
      </c>
      <c r="AD106" s="169">
        <f>AD107*AD91</f>
        <v>897.07011891398054</v>
      </c>
      <c r="AE106" s="169">
        <f t="shared" ref="AE106:AF106" si="307">AE107*AE91</f>
        <v>929.96396798977287</v>
      </c>
      <c r="AF106" s="169">
        <f t="shared" si="307"/>
        <v>1010.1516146596393</v>
      </c>
      <c r="AG106" s="170">
        <f>SUM(AC106:AF106)</f>
        <v>3787.4713825799663</v>
      </c>
      <c r="AH106" s="169">
        <f>AH107*AH91</f>
        <v>1063.9026265328614</v>
      </c>
      <c r="AI106" s="169">
        <f>AI107*AI91</f>
        <v>1003.3748861388178</v>
      </c>
      <c r="AJ106" s="169">
        <f t="shared" ref="AJ106:AK106" si="308">AJ107*AJ91</f>
        <v>1040.2946814437648</v>
      </c>
      <c r="AK106" s="169">
        <f t="shared" si="308"/>
        <v>1130.6808944620411</v>
      </c>
      <c r="AL106" s="170">
        <f>SUM(AH106:AK106)</f>
        <v>4238.253088577485</v>
      </c>
      <c r="AM106" s="169">
        <f>AM107*AM91</f>
        <v>1189.569513987246</v>
      </c>
      <c r="AN106" s="169">
        <f>AN107*AN91</f>
        <v>1119.5469471475208</v>
      </c>
      <c r="AO106" s="169">
        <f t="shared" ref="AO106:AP106" si="309">AO107*AO91</f>
        <v>1159.4589358800479</v>
      </c>
      <c r="AP106" s="169">
        <f t="shared" si="309"/>
        <v>1259.3774982248378</v>
      </c>
      <c r="AQ106" s="170">
        <f>SUM(AM106:AP106)</f>
        <v>4727.9528952396522</v>
      </c>
    </row>
    <row r="107" spans="1:43" s="473" customFormat="1" outlineLevel="1" x14ac:dyDescent="0.25">
      <c r="A107" s="471"/>
      <c r="B107" s="467" t="s">
        <v>340</v>
      </c>
      <c r="C107" s="478"/>
      <c r="D107" s="475">
        <f>D106/D91</f>
        <v>0.47234175729598632</v>
      </c>
      <c r="E107" s="475">
        <f t="shared" ref="E107:G107" si="310">E106/E91</f>
        <v>0.4722773789521918</v>
      </c>
      <c r="F107" s="475">
        <f t="shared" si="310"/>
        <v>0.45032525133057366</v>
      </c>
      <c r="G107" s="475">
        <f t="shared" si="310"/>
        <v>0.45390987157078799</v>
      </c>
      <c r="H107" s="476">
        <f>H106/H91</f>
        <v>0.46204482325634483</v>
      </c>
      <c r="I107" s="475">
        <f t="shared" ref="I107:L107" si="311">I106/I91</f>
        <v>0.46354126899289916</v>
      </c>
      <c r="J107" s="475">
        <f t="shared" si="311"/>
        <v>0.62367021276595747</v>
      </c>
      <c r="K107" s="475">
        <f t="shared" si="311"/>
        <v>0.5521416333523701</v>
      </c>
      <c r="L107" s="475">
        <f t="shared" si="311"/>
        <v>0.47970422860663942</v>
      </c>
      <c r="M107" s="476">
        <f>M106/M91</f>
        <v>0.51895848058551275</v>
      </c>
      <c r="N107" s="475">
        <f>N106/N91</f>
        <v>0.43594367760282998</v>
      </c>
      <c r="O107" s="475">
        <f t="shared" ref="O107:P107" si="312">O106/O91</f>
        <v>0.44789485087022463</v>
      </c>
      <c r="P107" s="475">
        <f t="shared" si="312"/>
        <v>0.4326379683248448</v>
      </c>
      <c r="Q107" s="477">
        <f>AVERAGE(N107:P107)</f>
        <v>0.43882549893263317</v>
      </c>
      <c r="R107" s="476">
        <f>R106/R91</f>
        <v>0.43874680625135809</v>
      </c>
      <c r="S107" s="477">
        <f>Q107+0.25%</f>
        <v>0.44132549893263318</v>
      </c>
      <c r="T107" s="477">
        <f>S107</f>
        <v>0.44132549893263318</v>
      </c>
      <c r="U107" s="477">
        <f>T107</f>
        <v>0.44132549893263318</v>
      </c>
      <c r="V107" s="477">
        <f>U107-0.5%</f>
        <v>0.43632549893263317</v>
      </c>
      <c r="W107" s="476">
        <f>W106/W91</f>
        <v>0.43998852651450671</v>
      </c>
      <c r="X107" s="477">
        <f>V107+0.25%</f>
        <v>0.43882549893263317</v>
      </c>
      <c r="Y107" s="477">
        <f>X107</f>
        <v>0.43882549893263317</v>
      </c>
      <c r="Z107" s="477">
        <f>Y107</f>
        <v>0.43882549893263317</v>
      </c>
      <c r="AA107" s="477">
        <f>Z107</f>
        <v>0.43882549893263317</v>
      </c>
      <c r="AB107" s="476">
        <f>AB106/AB91</f>
        <v>0.43882549893263312</v>
      </c>
      <c r="AC107" s="477">
        <f>AA107+0.25%</f>
        <v>0.44132549893263318</v>
      </c>
      <c r="AD107" s="477">
        <f>AC107</f>
        <v>0.44132549893263318</v>
      </c>
      <c r="AE107" s="477">
        <f>AD107</f>
        <v>0.44132549893263318</v>
      </c>
      <c r="AF107" s="477">
        <f>AE107</f>
        <v>0.44132549893263318</v>
      </c>
      <c r="AG107" s="476">
        <f>AG106/AG91</f>
        <v>0.44132549893263312</v>
      </c>
      <c r="AH107" s="477">
        <f>AF107</f>
        <v>0.44132549893263318</v>
      </c>
      <c r="AI107" s="477">
        <f>AH107</f>
        <v>0.44132549893263318</v>
      </c>
      <c r="AJ107" s="477">
        <f>AI107</f>
        <v>0.44132549893263318</v>
      </c>
      <c r="AK107" s="477">
        <f>AJ107</f>
        <v>0.44132549893263318</v>
      </c>
      <c r="AL107" s="476">
        <f>AL106/AL91</f>
        <v>0.44132549893263312</v>
      </c>
      <c r="AM107" s="477">
        <f>AK107</f>
        <v>0.44132549893263318</v>
      </c>
      <c r="AN107" s="477">
        <f>AM107</f>
        <v>0.44132549893263318</v>
      </c>
      <c r="AO107" s="477">
        <f>AN107</f>
        <v>0.44132549893263318</v>
      </c>
      <c r="AP107" s="477">
        <f>AO107</f>
        <v>0.44132549893263318</v>
      </c>
      <c r="AQ107" s="476">
        <f>AQ106/AQ91</f>
        <v>0.44132549893263312</v>
      </c>
    </row>
    <row r="108" spans="1:43" outlineLevel="1" x14ac:dyDescent="0.25">
      <c r="A108" s="254"/>
      <c r="B108" s="550" t="s">
        <v>142</v>
      </c>
      <c r="C108" s="36"/>
      <c r="D108" s="261">
        <v>31.3</v>
      </c>
      <c r="E108" s="261">
        <v>26.3</v>
      </c>
      <c r="F108" s="261">
        <v>26.7</v>
      </c>
      <c r="G108" s="261">
        <v>31.9</v>
      </c>
      <c r="H108" s="170">
        <f>SUM(D108:G108)</f>
        <v>116.19999999999999</v>
      </c>
      <c r="I108" s="261">
        <v>35.9</v>
      </c>
      <c r="J108" s="261">
        <v>31.8</v>
      </c>
      <c r="K108" s="261">
        <v>37.5</v>
      </c>
      <c r="L108" s="169">
        <v>36.200000000000003</v>
      </c>
      <c r="M108" s="170">
        <f>SUM(I108:L108)</f>
        <v>141.4</v>
      </c>
      <c r="N108" s="169">
        <v>34.299999999999997</v>
      </c>
      <c r="O108" s="169">
        <v>29.3</v>
      </c>
      <c r="P108" s="169">
        <v>38.299999999999997</v>
      </c>
      <c r="Q108" s="169">
        <f t="shared" ref="Q108" si="313">Q109*Q103</f>
        <v>41.016602674325377</v>
      </c>
      <c r="R108" s="170">
        <f>SUM(N108:Q108)</f>
        <v>142.91660267432536</v>
      </c>
      <c r="S108" s="169">
        <f>S109*S103</f>
        <v>41.604450196591728</v>
      </c>
      <c r="T108" s="169">
        <f>T109*T103</f>
        <v>39.352242342413966</v>
      </c>
      <c r="U108" s="169">
        <f t="shared" ref="U108:V108" si="314">U109*U103</f>
        <v>40.343872645296877</v>
      </c>
      <c r="V108" s="169">
        <f t="shared" si="314"/>
        <v>45.041173616425297</v>
      </c>
      <c r="W108" s="170">
        <f>SUM(S108:V108)</f>
        <v>166.34173880072785</v>
      </c>
      <c r="X108" s="169">
        <f>X109*X103</f>
        <v>47.771354067427865</v>
      </c>
      <c r="Y108" s="169">
        <f>Y109*Y103</f>
        <v>45.110720759518045</v>
      </c>
      <c r="Z108" s="169">
        <f t="shared" ref="Z108:AA108" si="315">Z109*Z103</f>
        <v>45.691041706193836</v>
      </c>
      <c r="AA108" s="169">
        <f t="shared" si="315"/>
        <v>50.527943236089335</v>
      </c>
      <c r="AB108" s="170">
        <f>SUM(X108:AA108)</f>
        <v>189.10105976922907</v>
      </c>
      <c r="AC108" s="169">
        <f>AC109*AC103</f>
        <v>52.356797256293696</v>
      </c>
      <c r="AD108" s="169">
        <f>AD109*AD103</f>
        <v>49.898341641841121</v>
      </c>
      <c r="AE108" s="169">
        <f t="shared" ref="AE108:AF108" si="316">AE109*AE103</f>
        <v>50.889924053831642</v>
      </c>
      <c r="AF108" s="169">
        <f t="shared" si="316"/>
        <v>56.731519346021315</v>
      </c>
      <c r="AG108" s="170">
        <f>SUM(AC108:AF108)</f>
        <v>209.87658229798777</v>
      </c>
      <c r="AH108" s="169">
        <f>AH109*AH103</f>
        <v>58.648691627517863</v>
      </c>
      <c r="AI108" s="169">
        <f>AI109*AI103</f>
        <v>55.909292203783004</v>
      </c>
      <c r="AJ108" s="169">
        <f t="shared" ref="AJ108:AK108" si="317">AJ109*AJ103</f>
        <v>56.920210864260952</v>
      </c>
      <c r="AK108" s="169">
        <f t="shared" si="317"/>
        <v>63.415836714403454</v>
      </c>
      <c r="AL108" s="170">
        <f>SUM(AH108:AK108)</f>
        <v>234.89403140996529</v>
      </c>
      <c r="AM108" s="169">
        <f>AM109*AM103</f>
        <v>65.582312224935436</v>
      </c>
      <c r="AN108" s="169">
        <f>AN109*AN103</f>
        <v>62.488563214850323</v>
      </c>
      <c r="AO108" s="169">
        <f t="shared" ref="AO108:AP108" si="318">AO109*AO103</f>
        <v>63.427365721638161</v>
      </c>
      <c r="AP108" s="169">
        <f t="shared" si="318"/>
        <v>70.541305126220863</v>
      </c>
      <c r="AQ108" s="170">
        <f>SUM(AM108:AP108)</f>
        <v>262.03954628764478</v>
      </c>
    </row>
    <row r="109" spans="1:43" s="473" customFormat="1" outlineLevel="1" x14ac:dyDescent="0.25">
      <c r="A109" s="471"/>
      <c r="B109" s="467" t="s">
        <v>342</v>
      </c>
      <c r="C109" s="478"/>
      <c r="D109" s="475">
        <f>D108/D103</f>
        <v>2.0811170212765958E-2</v>
      </c>
      <c r="E109" s="475">
        <f t="shared" ref="E109:P109" si="319">E108/E103</f>
        <v>1.7196286125277887E-2</v>
      </c>
      <c r="F109" s="475">
        <f t="shared" si="319"/>
        <v>1.6842238062196431E-2</v>
      </c>
      <c r="G109" s="475">
        <f t="shared" si="319"/>
        <v>2.0291330068061827E-2</v>
      </c>
      <c r="H109" s="476">
        <f t="shared" si="319"/>
        <v>1.8769787426503842E-2</v>
      </c>
      <c r="I109" s="475">
        <f t="shared" si="319"/>
        <v>2.2850232321303544E-2</v>
      </c>
      <c r="J109" s="475">
        <f t="shared" si="319"/>
        <v>2.8027498677948178E-2</v>
      </c>
      <c r="K109" s="475">
        <f t="shared" si="319"/>
        <v>3.9490311710193765E-2</v>
      </c>
      <c r="L109" s="475">
        <f t="shared" si="319"/>
        <v>2.4257856999262885E-2</v>
      </c>
      <c r="M109" s="476">
        <f t="shared" si="319"/>
        <v>2.7469111819100167E-2</v>
      </c>
      <c r="N109" s="475">
        <f t="shared" si="319"/>
        <v>2.0733845130871061E-2</v>
      </c>
      <c r="O109" s="475">
        <f t="shared" si="319"/>
        <v>1.8188590229064498E-2</v>
      </c>
      <c r="P109" s="475">
        <f t="shared" si="319"/>
        <v>2.3094548962855763E-2</v>
      </c>
      <c r="Q109" s="477">
        <f>AVERAGE(N109:P109)</f>
        <v>2.0672328107597105E-2</v>
      </c>
      <c r="R109" s="476">
        <f t="shared" ref="R109" si="320">R108/R103</f>
        <v>2.0689370655002957E-2</v>
      </c>
      <c r="S109" s="477">
        <f>Q109</f>
        <v>2.0672328107597105E-2</v>
      </c>
      <c r="T109" s="477">
        <f>S109</f>
        <v>2.0672328107597105E-2</v>
      </c>
      <c r="U109" s="477">
        <f>T109</f>
        <v>2.0672328107597105E-2</v>
      </c>
      <c r="V109" s="477">
        <f>U109</f>
        <v>2.0672328107597105E-2</v>
      </c>
      <c r="W109" s="476">
        <f t="shared" ref="W109" si="321">W108/W103</f>
        <v>2.0672328107597105E-2</v>
      </c>
      <c r="X109" s="477">
        <f>V109</f>
        <v>2.0672328107597105E-2</v>
      </c>
      <c r="Y109" s="477">
        <f>X109</f>
        <v>2.0672328107597105E-2</v>
      </c>
      <c r="Z109" s="477">
        <f>Y109</f>
        <v>2.0672328107597105E-2</v>
      </c>
      <c r="AA109" s="477">
        <f>Z109</f>
        <v>2.0672328107597105E-2</v>
      </c>
      <c r="AB109" s="476">
        <f t="shared" ref="AB109" si="322">AB108/AB103</f>
        <v>2.0672328107597102E-2</v>
      </c>
      <c r="AC109" s="477">
        <f>AA109</f>
        <v>2.0672328107597105E-2</v>
      </c>
      <c r="AD109" s="477">
        <f>AC109</f>
        <v>2.0672328107597105E-2</v>
      </c>
      <c r="AE109" s="477">
        <f>AD109</f>
        <v>2.0672328107597105E-2</v>
      </c>
      <c r="AF109" s="477">
        <f>AE109</f>
        <v>2.0672328107597105E-2</v>
      </c>
      <c r="AG109" s="476">
        <f t="shared" ref="AG109" si="323">AG108/AG103</f>
        <v>2.0672328107597102E-2</v>
      </c>
      <c r="AH109" s="477">
        <f>AF109</f>
        <v>2.0672328107597105E-2</v>
      </c>
      <c r="AI109" s="477">
        <f>AH109</f>
        <v>2.0672328107597105E-2</v>
      </c>
      <c r="AJ109" s="477">
        <f>AI109</f>
        <v>2.0672328107597105E-2</v>
      </c>
      <c r="AK109" s="477">
        <f>AJ109</f>
        <v>2.0672328107597105E-2</v>
      </c>
      <c r="AL109" s="476">
        <f t="shared" ref="AL109" si="324">AL108/AL103</f>
        <v>2.0672328107597109E-2</v>
      </c>
      <c r="AM109" s="477">
        <f>AK109</f>
        <v>2.0672328107597105E-2</v>
      </c>
      <c r="AN109" s="477">
        <f>AM109</f>
        <v>2.0672328107597105E-2</v>
      </c>
      <c r="AO109" s="477">
        <f>AN109</f>
        <v>2.0672328107597105E-2</v>
      </c>
      <c r="AP109" s="477">
        <f>AO109</f>
        <v>2.0672328107597105E-2</v>
      </c>
      <c r="AQ109" s="476">
        <f t="shared" ref="AQ109" si="325">AQ108/AQ103</f>
        <v>2.0672328107597105E-2</v>
      </c>
    </row>
    <row r="110" spans="1:43" outlineLevel="1" x14ac:dyDescent="0.25">
      <c r="A110" s="254"/>
      <c r="B110" s="550" t="s">
        <v>143</v>
      </c>
      <c r="C110" s="36"/>
      <c r="D110" s="287">
        <v>127</v>
      </c>
      <c r="E110" s="287">
        <v>130.4</v>
      </c>
      <c r="F110" s="287">
        <v>127.7</v>
      </c>
      <c r="G110" s="287">
        <v>126.5</v>
      </c>
      <c r="H110" s="59">
        <f>SUM(D110:G110)</f>
        <v>511.59999999999997</v>
      </c>
      <c r="I110" s="287">
        <v>126.6</v>
      </c>
      <c r="J110" s="287">
        <v>130</v>
      </c>
      <c r="K110" s="287">
        <v>128.5</v>
      </c>
      <c r="L110" s="205">
        <v>133.1</v>
      </c>
      <c r="M110" s="59">
        <f>SUM(I110:L110)</f>
        <v>518.20000000000005</v>
      </c>
      <c r="N110" s="205">
        <v>140</v>
      </c>
      <c r="O110" s="205">
        <v>143.4</v>
      </c>
      <c r="P110" s="205">
        <v>129.69999999999999</v>
      </c>
      <c r="Q110" s="205">
        <f>(P110/(P75+P110+P125+P138))*Q245</f>
        <v>138.70448640860403</v>
      </c>
      <c r="R110" s="59">
        <f>SUM(N110:Q110)</f>
        <v>551.80448640860402</v>
      </c>
      <c r="S110" s="205">
        <f>(Q110/(Q75+Q110+Q125+Q138))*S245</f>
        <v>146.92173236005931</v>
      </c>
      <c r="T110" s="205">
        <f>(S110/(S75+S110+S125+S138))*T245</f>
        <v>148.55529168036404</v>
      </c>
      <c r="U110" s="205">
        <f>(T110/(T75+T110+T125+T138))*U245</f>
        <v>149.59924916283728</v>
      </c>
      <c r="V110" s="205">
        <f>(U110/(U75+U110+U125+U138))*V245</f>
        <v>152.55045136259093</v>
      </c>
      <c r="W110" s="59">
        <f>SUM(S110:V110)</f>
        <v>597.62672456585153</v>
      </c>
      <c r="X110" s="205">
        <f>(V110/(V75+V110+V125+V138))*X245</f>
        <v>154.7025072006366</v>
      </c>
      <c r="Y110" s="205">
        <f>(X110/(X75+X110+X125+X138))*Y245</f>
        <v>156.08165073199569</v>
      </c>
      <c r="Z110" s="205">
        <f>(Y110/(Y75+Y110+Y125+Y138))*Z245</f>
        <v>157.2218170785564</v>
      </c>
      <c r="AA110" s="205">
        <f>(Z110/(Z75+Z110+Z125+Z138))*AA245</f>
        <v>159.41837407559163</v>
      </c>
      <c r="AB110" s="59">
        <f>SUM(X110:AA110)</f>
        <v>627.42434908678035</v>
      </c>
      <c r="AC110" s="205">
        <f>(AA110/(AA75+AA110+AA125+AA138))*AC245</f>
        <v>161.03236983949046</v>
      </c>
      <c r="AD110" s="205">
        <f>(AC110/(AC75+AC110+AC125+AC138))*AD245</f>
        <v>161.94322297228598</v>
      </c>
      <c r="AE110" s="205">
        <f>(AD110/(AD75+AD110+AD125+AD138))*AE245</f>
        <v>162.63510307716285</v>
      </c>
      <c r="AF110" s="205">
        <f>(AE110/(AE75+AE110+AE125+AE138))*AF245</f>
        <v>164.28106189156912</v>
      </c>
      <c r="AG110" s="59">
        <f>SUM(AC110:AF110)</f>
        <v>649.89175778050844</v>
      </c>
      <c r="AH110" s="205">
        <f>(AF110/(AF75+AF110+AF125+AF138))*AH245</f>
        <v>166.0719912483905</v>
      </c>
      <c r="AI110" s="205">
        <f>(AH110/(AH75+AH110+AH125+AH138))*AI245</f>
        <v>167.63712585737159</v>
      </c>
      <c r="AJ110" s="205">
        <f>(AI110/(AI75+AI110+AI125+AI138))*AJ245</f>
        <v>168.91177195185236</v>
      </c>
      <c r="AK110" s="205">
        <f>(AJ110/(AJ75+AJ110+AJ125+AJ138))*AK245</f>
        <v>171.14001754914739</v>
      </c>
      <c r="AL110" s="59">
        <f>SUM(AH110:AK110)</f>
        <v>673.76090660676186</v>
      </c>
      <c r="AM110" s="205">
        <f>(AK110/(AK75+AK110+AK125+AK138))*AM245</f>
        <v>173.3878779718828</v>
      </c>
      <c r="AN110" s="205">
        <f>(AM110/(AM75+AM110+AM125+AM138))*AN245</f>
        <v>175.47116586691661</v>
      </c>
      <c r="AO110" s="205">
        <f>(AN110/(AN75+AN110+AN125+AN138))*AO245</f>
        <v>177.1985881802795</v>
      </c>
      <c r="AP110" s="205">
        <f>(AO110/(AO75+AO110+AO125+AO138))*AP245</f>
        <v>179.90377939924835</v>
      </c>
      <c r="AQ110" s="59">
        <f>SUM(AM110:AP110)</f>
        <v>705.96141141832732</v>
      </c>
    </row>
    <row r="111" spans="1:43" outlineLevel="1" x14ac:dyDescent="0.25">
      <c r="A111" s="254"/>
      <c r="B111" s="550" t="s">
        <v>144</v>
      </c>
      <c r="C111" s="36"/>
      <c r="D111" s="261">
        <v>69.3</v>
      </c>
      <c r="E111" s="261">
        <v>80.2</v>
      </c>
      <c r="F111" s="261">
        <v>86</v>
      </c>
      <c r="G111" s="261">
        <v>82.4</v>
      </c>
      <c r="H111" s="170">
        <f>SUM(D111:G111)</f>
        <v>317.89999999999998</v>
      </c>
      <c r="I111" s="261">
        <v>67.2</v>
      </c>
      <c r="J111" s="261">
        <v>63.7</v>
      </c>
      <c r="K111" s="261">
        <v>66.099999999999994</v>
      </c>
      <c r="L111" s="169">
        <v>82.5</v>
      </c>
      <c r="M111" s="170">
        <f>SUM(I111:L111)</f>
        <v>279.5</v>
      </c>
      <c r="N111" s="169">
        <v>82.6</v>
      </c>
      <c r="O111" s="169">
        <v>79.8</v>
      </c>
      <c r="P111" s="169">
        <v>92.3</v>
      </c>
      <c r="Q111" s="169">
        <f t="shared" ref="Q111" si="326">Q112*Q103</f>
        <v>102.59547704096693</v>
      </c>
      <c r="R111" s="170">
        <f>SUM(N111:Q111)</f>
        <v>357.29547704096694</v>
      </c>
      <c r="S111" s="169">
        <f>S112*S103</f>
        <v>104.06586934656903</v>
      </c>
      <c r="T111" s="169">
        <f>T112*T103</f>
        <v>98.432386217079682</v>
      </c>
      <c r="U111" s="169">
        <f t="shared" ref="U111:V111" si="327">U112*U103</f>
        <v>100.91276677858906</v>
      </c>
      <c r="V111" s="169">
        <f t="shared" si="327"/>
        <v>112.66219999626459</v>
      </c>
      <c r="W111" s="170">
        <f>SUM(S111:V111)</f>
        <v>416.07322233850232</v>
      </c>
      <c r="X111" s="169">
        <f>X112*X103</f>
        <v>119.49124354242508</v>
      </c>
      <c r="Y111" s="169">
        <f>Y112*Y103</f>
        <v>112.83615936533012</v>
      </c>
      <c r="Z111" s="169">
        <f t="shared" ref="Z111:AA111" si="328">Z112*Z103</f>
        <v>114.2877253283575</v>
      </c>
      <c r="AA111" s="169">
        <f t="shared" si="328"/>
        <v>126.38634363178024</v>
      </c>
      <c r="AB111" s="170">
        <f>SUM(X111:AA111)</f>
        <v>473.00147186789292</v>
      </c>
      <c r="AC111" s="169">
        <f>AC112*AC103</f>
        <v>130.96088512003973</v>
      </c>
      <c r="AD111" s="169">
        <f>AD112*AD103</f>
        <v>124.81151120549346</v>
      </c>
      <c r="AE111" s="169">
        <f t="shared" ref="AE111:AF111" si="329">AE112*AE103</f>
        <v>127.29177197675619</v>
      </c>
      <c r="AF111" s="169">
        <f t="shared" si="329"/>
        <v>141.90344667934232</v>
      </c>
      <c r="AG111" s="170">
        <f>SUM(AC111:AF111)</f>
        <v>524.96761498163164</v>
      </c>
      <c r="AH111" s="169">
        <f>AH112*AH103</f>
        <v>146.6989000315279</v>
      </c>
      <c r="AI111" s="169">
        <f>AI112*AI103</f>
        <v>139.84679692305292</v>
      </c>
      <c r="AJ111" s="169">
        <f t="shared" ref="AJ111:AK111" si="330">AJ112*AJ103</f>
        <v>142.37542375850441</v>
      </c>
      <c r="AK111" s="169">
        <f t="shared" si="330"/>
        <v>158.62303544069175</v>
      </c>
      <c r="AL111" s="170">
        <f>SUM(AH111:AK111)</f>
        <v>587.54415615377695</v>
      </c>
      <c r="AM111" s="169">
        <f>AM112*AM103</f>
        <v>164.04207490296622</v>
      </c>
      <c r="AN111" s="169">
        <f>AN112*AN103</f>
        <v>156.30363156930164</v>
      </c>
      <c r="AO111" s="169">
        <f t="shared" ref="AO111:AP111" si="331">AO112*AO103</f>
        <v>158.65187312884564</v>
      </c>
      <c r="AP111" s="169">
        <f t="shared" si="331"/>
        <v>176.44608228480178</v>
      </c>
      <c r="AQ111" s="170">
        <f>SUM(AM111:AP111)</f>
        <v>655.44366188591528</v>
      </c>
    </row>
    <row r="112" spans="1:43" s="473" customFormat="1" outlineLevel="1" x14ac:dyDescent="0.25">
      <c r="A112" s="471"/>
      <c r="B112" s="467" t="s">
        <v>343</v>
      </c>
      <c r="C112" s="478"/>
      <c r="D112" s="475">
        <f>D111/D103</f>
        <v>4.6077127659574467E-2</v>
      </c>
      <c r="E112" s="475">
        <f t="shared" ref="E112:P112" si="332">E111/E103</f>
        <v>5.2438864914345497E-2</v>
      </c>
      <c r="F112" s="475">
        <f t="shared" si="332"/>
        <v>5.4248407241531571E-2</v>
      </c>
      <c r="G112" s="475">
        <f t="shared" si="332"/>
        <v>5.2413968577062528E-2</v>
      </c>
      <c r="H112" s="476">
        <f t="shared" si="332"/>
        <v>5.1350390902629703E-2</v>
      </c>
      <c r="I112" s="475">
        <f t="shared" si="332"/>
        <v>4.277257972121444E-2</v>
      </c>
      <c r="J112" s="475">
        <f t="shared" si="332"/>
        <v>5.6143134144191795E-2</v>
      </c>
      <c r="K112" s="475">
        <f t="shared" si="332"/>
        <v>6.9608256107834873E-2</v>
      </c>
      <c r="L112" s="475">
        <f t="shared" si="332"/>
        <v>5.5283790122629503E-2</v>
      </c>
      <c r="M112" s="476">
        <f t="shared" si="332"/>
        <v>5.4297148185562208E-2</v>
      </c>
      <c r="N112" s="475">
        <f t="shared" si="332"/>
        <v>4.9930484192709908E-2</v>
      </c>
      <c r="O112" s="475">
        <f t="shared" si="332"/>
        <v>4.9537525606803648E-2</v>
      </c>
      <c r="P112" s="475">
        <f t="shared" si="332"/>
        <v>5.5656054027978775E-2</v>
      </c>
      <c r="Q112" s="477">
        <f>AVERAGE(N112:P112)</f>
        <v>5.1708021275830775E-2</v>
      </c>
      <c r="R112" s="476">
        <f t="shared" ref="R112" si="333">R111/R103</f>
        <v>5.1724001407323264E-2</v>
      </c>
      <c r="S112" s="477">
        <f>Q112</f>
        <v>5.1708021275830775E-2</v>
      </c>
      <c r="T112" s="477">
        <f>S112</f>
        <v>5.1708021275830775E-2</v>
      </c>
      <c r="U112" s="477">
        <f>T112</f>
        <v>5.1708021275830775E-2</v>
      </c>
      <c r="V112" s="477">
        <f>U112</f>
        <v>5.1708021275830775E-2</v>
      </c>
      <c r="W112" s="476">
        <f t="shared" ref="W112" si="334">W111/W103</f>
        <v>5.1708021275830768E-2</v>
      </c>
      <c r="X112" s="477">
        <f>V112</f>
        <v>5.1708021275830775E-2</v>
      </c>
      <c r="Y112" s="477">
        <f>X112</f>
        <v>5.1708021275830775E-2</v>
      </c>
      <c r="Z112" s="477">
        <f>Y112</f>
        <v>5.1708021275830775E-2</v>
      </c>
      <c r="AA112" s="477">
        <f>Z112</f>
        <v>5.1708021275830775E-2</v>
      </c>
      <c r="AB112" s="476">
        <f t="shared" ref="AB112" si="335">AB111/AB103</f>
        <v>5.1708021275830768E-2</v>
      </c>
      <c r="AC112" s="477">
        <f>AA112</f>
        <v>5.1708021275830775E-2</v>
      </c>
      <c r="AD112" s="477">
        <f>AC112</f>
        <v>5.1708021275830775E-2</v>
      </c>
      <c r="AE112" s="477">
        <f>AD112</f>
        <v>5.1708021275830775E-2</v>
      </c>
      <c r="AF112" s="477">
        <f>AE112</f>
        <v>5.1708021275830775E-2</v>
      </c>
      <c r="AG112" s="476">
        <f t="shared" ref="AG112" si="336">AG111/AG103</f>
        <v>5.1708021275830761E-2</v>
      </c>
      <c r="AH112" s="477">
        <f>AF112</f>
        <v>5.1708021275830775E-2</v>
      </c>
      <c r="AI112" s="477">
        <f>AH112</f>
        <v>5.1708021275830775E-2</v>
      </c>
      <c r="AJ112" s="477">
        <f>AI112</f>
        <v>5.1708021275830775E-2</v>
      </c>
      <c r="AK112" s="477">
        <f>AJ112</f>
        <v>5.1708021275830775E-2</v>
      </c>
      <c r="AL112" s="476">
        <f t="shared" ref="AL112" si="337">AL111/AL103</f>
        <v>5.1708021275830775E-2</v>
      </c>
      <c r="AM112" s="477">
        <f>AK112</f>
        <v>5.1708021275830775E-2</v>
      </c>
      <c r="AN112" s="477">
        <f>AM112</f>
        <v>5.1708021275830775E-2</v>
      </c>
      <c r="AO112" s="477">
        <f>AN112</f>
        <v>5.1708021275830775E-2</v>
      </c>
      <c r="AP112" s="477">
        <f>AO112</f>
        <v>5.1708021275830775E-2</v>
      </c>
      <c r="AQ112" s="476">
        <f t="shared" ref="AQ112" si="338">AQ111/AQ103</f>
        <v>5.1708021275830775E-2</v>
      </c>
    </row>
    <row r="113" spans="1:43" ht="17.25" outlineLevel="1" x14ac:dyDescent="0.4">
      <c r="A113" s="254"/>
      <c r="B113" s="550" t="s">
        <v>152</v>
      </c>
      <c r="C113" s="36"/>
      <c r="D113" s="288">
        <v>6.4</v>
      </c>
      <c r="E113" s="288">
        <v>24.2</v>
      </c>
      <c r="F113" s="288">
        <v>16.600000000000001</v>
      </c>
      <c r="G113" s="288">
        <v>12</v>
      </c>
      <c r="H113" s="210">
        <f>SUM(D113:G113)</f>
        <v>59.2</v>
      </c>
      <c r="I113" s="288">
        <v>0.8</v>
      </c>
      <c r="J113" s="288">
        <v>-1.2</v>
      </c>
      <c r="K113" s="288">
        <v>-0.2</v>
      </c>
      <c r="L113" s="206">
        <v>-0.6</v>
      </c>
      <c r="M113" s="210">
        <f>SUM(I113:L113)</f>
        <v>-1.1999999999999997</v>
      </c>
      <c r="N113" s="206">
        <v>0</v>
      </c>
      <c r="O113" s="288">
        <v>0</v>
      </c>
      <c r="P113" s="288">
        <v>0</v>
      </c>
      <c r="Q113" s="292">
        <v>0</v>
      </c>
      <c r="R113" s="210">
        <f>SUM(N113:Q113)</f>
        <v>0</v>
      </c>
      <c r="S113" s="292">
        <v>0</v>
      </c>
      <c r="T113" s="292">
        <v>0</v>
      </c>
      <c r="U113" s="292">
        <v>0</v>
      </c>
      <c r="V113" s="292">
        <v>0</v>
      </c>
      <c r="W113" s="210">
        <f>SUM(S113:V113)</f>
        <v>0</v>
      </c>
      <c r="X113" s="292">
        <v>0</v>
      </c>
      <c r="Y113" s="292">
        <v>0</v>
      </c>
      <c r="Z113" s="292">
        <v>0</v>
      </c>
      <c r="AA113" s="292">
        <v>0</v>
      </c>
      <c r="AB113" s="210">
        <f>SUM(X113:AA113)</f>
        <v>0</v>
      </c>
      <c r="AC113" s="292">
        <v>0</v>
      </c>
      <c r="AD113" s="292">
        <v>0</v>
      </c>
      <c r="AE113" s="292">
        <v>0</v>
      </c>
      <c r="AF113" s="292">
        <v>0</v>
      </c>
      <c r="AG113" s="210">
        <f>SUM(AC113:AF113)</f>
        <v>0</v>
      </c>
      <c r="AH113" s="292">
        <v>0</v>
      </c>
      <c r="AI113" s="292">
        <v>0</v>
      </c>
      <c r="AJ113" s="292">
        <v>0</v>
      </c>
      <c r="AK113" s="292">
        <v>0</v>
      </c>
      <c r="AL113" s="210">
        <f>SUM(AH113:AK113)</f>
        <v>0</v>
      </c>
      <c r="AM113" s="292">
        <v>0</v>
      </c>
      <c r="AN113" s="292">
        <v>0</v>
      </c>
      <c r="AO113" s="292">
        <v>0</v>
      </c>
      <c r="AP113" s="292">
        <v>0</v>
      </c>
      <c r="AQ113" s="210">
        <f>SUM(AM113:AP113)</f>
        <v>0</v>
      </c>
    </row>
    <row r="114" spans="1:43" outlineLevel="1" x14ac:dyDescent="0.25">
      <c r="A114" s="254"/>
      <c r="B114" s="167" t="s">
        <v>299</v>
      </c>
      <c r="C114" s="39"/>
      <c r="D114" s="259">
        <f>D104+D106+D108+D110+D111+D113</f>
        <v>1300.4000000000001</v>
      </c>
      <c r="E114" s="259">
        <f t="shared" ref="E114:G114" si="339">E104+E106+E108+E110+E111+E113</f>
        <v>1349.7</v>
      </c>
      <c r="F114" s="259">
        <f t="shared" si="339"/>
        <v>1342.3000000000002</v>
      </c>
      <c r="G114" s="259">
        <f t="shared" si="339"/>
        <v>1336.2000000000003</v>
      </c>
      <c r="H114" s="451">
        <f>H104+H106+H108+H110+H111+H113</f>
        <v>5328.5999999999995</v>
      </c>
      <c r="I114" s="259">
        <f>I104+I106+I108+I110+I111+I113</f>
        <v>1326.1</v>
      </c>
      <c r="J114" s="259">
        <f t="shared" ref="J114:L114" si="340">J104+J106+J108+J110+J111+J113</f>
        <v>1174.8</v>
      </c>
      <c r="K114" s="259">
        <f t="shared" si="340"/>
        <v>1052.9999999999998</v>
      </c>
      <c r="L114" s="259">
        <f t="shared" si="340"/>
        <v>1342</v>
      </c>
      <c r="M114" s="451">
        <f>M104+M106+M108+M110+M111+M113</f>
        <v>4895.9000000000005</v>
      </c>
      <c r="N114" s="259">
        <f>N104+N106+N108+N110+N111+N113</f>
        <v>1405.8</v>
      </c>
      <c r="O114" s="259">
        <f t="shared" ref="O114:Q114" si="341">O104+O106+O108+O110+O111+O113</f>
        <v>1386.2</v>
      </c>
      <c r="P114" s="259">
        <f t="shared" si="341"/>
        <v>1382.1</v>
      </c>
      <c r="Q114" s="259">
        <f t="shared" si="341"/>
        <v>1624.9318425187193</v>
      </c>
      <c r="R114" s="451">
        <f>R104+R106+R108+R110+R111+R113</f>
        <v>5799.0318425187197</v>
      </c>
      <c r="S114" s="259">
        <f>S104+S106+S108+S110+S111+S113</f>
        <v>1675.7372256215879</v>
      </c>
      <c r="T114" s="259">
        <f t="shared" ref="T114:V114" si="342">T104+T106+T108+T110+T111+T113</f>
        <v>1590.1704647607928</v>
      </c>
      <c r="U114" s="259">
        <f t="shared" si="342"/>
        <v>1639.3034928105233</v>
      </c>
      <c r="V114" s="259">
        <f t="shared" si="342"/>
        <v>1774.8715443065205</v>
      </c>
      <c r="W114" s="451">
        <f>W104+W106+W108+W110+W111+W113</f>
        <v>6680.0827274994235</v>
      </c>
      <c r="X114" s="259">
        <f>X104+X106+X108+X110+X111+X113</f>
        <v>1908.8542843070297</v>
      </c>
      <c r="Y114" s="259">
        <f t="shared" ref="Y114:AA114" si="343">Y104+Y106+Y108+Y110+Y111+Y113</f>
        <v>1804.6405341287548</v>
      </c>
      <c r="Z114" s="259">
        <f t="shared" si="343"/>
        <v>1837.8746776770631</v>
      </c>
      <c r="AA114" s="259">
        <f t="shared" si="343"/>
        <v>1992.3498601708568</v>
      </c>
      <c r="AB114" s="451">
        <f>AB104+AB106+AB108+AB110+AB111+AB113</f>
        <v>7543.7193562837037</v>
      </c>
      <c r="AC114" s="259">
        <f>AC104+AC106+AC108+AC110+AC111+AC113</f>
        <v>2091.0520302567629</v>
      </c>
      <c r="AD114" s="259">
        <f t="shared" ref="AD114:AF114" si="344">AD104+AD106+AD108+AD110+AD111+AD113</f>
        <v>1992.7431226241438</v>
      </c>
      <c r="AE114" s="259">
        <f t="shared" si="344"/>
        <v>2044.8839780408134</v>
      </c>
      <c r="AF114" s="259">
        <f t="shared" si="344"/>
        <v>2236.0292622675706</v>
      </c>
      <c r="AG114" s="451">
        <f>AG104+AG106+AG108+AG110+AG111+AG113</f>
        <v>8364.7083931892921</v>
      </c>
      <c r="AH114" s="259">
        <f>AH104+AH106+AH108+AH110+AH111+AH113</f>
        <v>2327.4465611775863</v>
      </c>
      <c r="AI114" s="259">
        <f t="shared" ref="AI114:AK114" si="345">AI104+AI106+AI108+AI110+AI111+AI113</f>
        <v>2217.2225559328558</v>
      </c>
      <c r="AJ114" s="259">
        <f t="shared" si="345"/>
        <v>2274.3339558550174</v>
      </c>
      <c r="AK114" s="259">
        <f t="shared" si="345"/>
        <v>2488.4987326022647</v>
      </c>
      <c r="AL114" s="451">
        <f>AL104+AL106+AL108+AL110+AL111+AL113</f>
        <v>9307.5018055677247</v>
      </c>
      <c r="AM114" s="259">
        <f>AM104+AM106+AM108+AM110+AM111+AM113</f>
        <v>2590.1756921906494</v>
      </c>
      <c r="AN114" s="259">
        <f t="shared" ref="AN114:AP114" si="346">AN104+AN106+AN108+AN110+AN111+AN113</f>
        <v>2464.344196995979</v>
      </c>
      <c r="AO114" s="259">
        <f t="shared" si="346"/>
        <v>2523.551082831134</v>
      </c>
      <c r="AP114" s="259">
        <f t="shared" si="346"/>
        <v>2759.2954344320356</v>
      </c>
      <c r="AQ114" s="451">
        <f>AQ104+AQ106+AQ108+AQ110+AQ111+AQ113</f>
        <v>10337.366406449797</v>
      </c>
    </row>
    <row r="115" spans="1:43" ht="17.25" outlineLevel="1" x14ac:dyDescent="0.4">
      <c r="A115" s="254"/>
      <c r="B115" s="550" t="s">
        <v>145</v>
      </c>
      <c r="C115" s="36"/>
      <c r="D115" s="288">
        <v>26.4</v>
      </c>
      <c r="E115" s="260">
        <v>22.1</v>
      </c>
      <c r="F115" s="260">
        <v>27.2</v>
      </c>
      <c r="G115" s="260">
        <v>26.8</v>
      </c>
      <c r="H115" s="481">
        <f>SUM(D115:G115)</f>
        <v>102.5</v>
      </c>
      <c r="I115" s="260">
        <v>30.9</v>
      </c>
      <c r="J115" s="260">
        <v>24.8</v>
      </c>
      <c r="K115" s="260">
        <v>17.399999999999999</v>
      </c>
      <c r="L115" s="260">
        <v>29.2</v>
      </c>
      <c r="M115" s="481">
        <f>SUM(I115:L115)</f>
        <v>102.3</v>
      </c>
      <c r="N115" s="260">
        <v>26.3</v>
      </c>
      <c r="O115" s="260">
        <v>26.8</v>
      </c>
      <c r="P115" s="260">
        <v>42</v>
      </c>
      <c r="Q115" s="177">
        <f>AVERAGE(P115,O115,N115,L115)</f>
        <v>31.074999999999999</v>
      </c>
      <c r="R115" s="481">
        <f>SUM(N115:Q115)</f>
        <v>126.175</v>
      </c>
      <c r="S115" s="177">
        <f>AVERAGE(Q115,P115,O115,N115)</f>
        <v>31.543749999999999</v>
      </c>
      <c r="T115" s="177">
        <f>AVERAGE(S115,Q115,P115,O115)</f>
        <v>32.854687500000004</v>
      </c>
      <c r="U115" s="177">
        <f>AVERAGE(T115,S115,Q115,P115)</f>
        <v>34.368359374999997</v>
      </c>
      <c r="V115" s="177">
        <f>AVERAGE(U115,T115,S115,Q115)</f>
        <v>32.46044921875</v>
      </c>
      <c r="W115" s="481">
        <f>SUM(S115:V115)</f>
        <v>131.22724609375001</v>
      </c>
      <c r="X115" s="177">
        <f>AVERAGE(V115,U115,T115,S115)</f>
        <v>32.806811523437496</v>
      </c>
      <c r="Y115" s="177">
        <f>AVERAGE(X115,V115,U115,T115)</f>
        <v>33.122576904296871</v>
      </c>
      <c r="Z115" s="177">
        <f>AVERAGE(Y115,X115,V115,U115)</f>
        <v>33.189549255371091</v>
      </c>
      <c r="AA115" s="177">
        <f>AVERAGE(Z115,Y115,X115,V115)</f>
        <v>32.894846725463864</v>
      </c>
      <c r="AB115" s="481">
        <f>SUM(X115:AA115)</f>
        <v>132.01378440856934</v>
      </c>
      <c r="AC115" s="177">
        <f>AVERAGE(AA115,Z115,Y115,X115)</f>
        <v>33.003446102142327</v>
      </c>
      <c r="AD115" s="177">
        <f>AVERAGE(AC115,AA115,Z115,Y115)</f>
        <v>33.052604746818538</v>
      </c>
      <c r="AE115" s="177">
        <f>AVERAGE(AD115,AC115,AA115,Z115)</f>
        <v>33.035111707448955</v>
      </c>
      <c r="AF115" s="177">
        <f>AVERAGE(AE115,AD115,AC115,AA115)</f>
        <v>32.996502320468423</v>
      </c>
      <c r="AG115" s="481">
        <f>SUM(AC115:AF115)</f>
        <v>132.08766487687825</v>
      </c>
      <c r="AH115" s="177">
        <f>AVERAGE(AF115,AE115,AD115,AC115)</f>
        <v>33.021916219219563</v>
      </c>
      <c r="AI115" s="177">
        <f>AVERAGE(AH115,AF115,AE115,AD115)</f>
        <v>33.026533748488866</v>
      </c>
      <c r="AJ115" s="177">
        <f>AVERAGE(AI115,AH115,AF115,AE115)</f>
        <v>33.020015998906452</v>
      </c>
      <c r="AK115" s="177">
        <f>AVERAGE(AJ115,AI115,AH115,AF115)</f>
        <v>33.016242071770826</v>
      </c>
      <c r="AL115" s="481">
        <f>SUM(AH115:AK115)</f>
        <v>132.08470803838568</v>
      </c>
      <c r="AM115" s="177">
        <f>AVERAGE(AK115,AJ115,AI115,AH115)</f>
        <v>33.021177009596428</v>
      </c>
      <c r="AN115" s="177">
        <f>AVERAGE(AM115,AK115,AJ115,AI115)</f>
        <v>33.020992207190645</v>
      </c>
      <c r="AO115" s="177">
        <f>AVERAGE(AN115,AM115,AK115,AJ115)</f>
        <v>33.019606821866084</v>
      </c>
      <c r="AP115" s="177">
        <f>AVERAGE(AO115,AN115,AM115,AK115)</f>
        <v>33.019504527605996</v>
      </c>
      <c r="AQ115" s="481">
        <f>SUM(AM115:AP115)</f>
        <v>132.08128056625915</v>
      </c>
    </row>
    <row r="116" spans="1:43" outlineLevel="1" x14ac:dyDescent="0.25">
      <c r="A116" s="254"/>
      <c r="B116" s="167" t="s">
        <v>300</v>
      </c>
      <c r="C116" s="144"/>
      <c r="D116" s="365">
        <f>+D103-D114+D115</f>
        <v>229.99999999999991</v>
      </c>
      <c r="E116" s="365">
        <f t="shared" ref="E116:V116" si="347">+E103-E114+E115</f>
        <v>201.80000000000004</v>
      </c>
      <c r="F116" s="365">
        <f t="shared" si="347"/>
        <v>270.19999999999976</v>
      </c>
      <c r="G116" s="365">
        <f t="shared" si="347"/>
        <v>262.69999999999987</v>
      </c>
      <c r="H116" s="239">
        <f>SUM(D116:G116)</f>
        <v>964.69999999999959</v>
      </c>
      <c r="I116" s="365">
        <f t="shared" si="347"/>
        <v>275.89999999999998</v>
      </c>
      <c r="J116" s="365">
        <f t="shared" si="347"/>
        <v>-15.400000000000045</v>
      </c>
      <c r="K116" s="365">
        <f>+K103-K114+K115</f>
        <v>-85.999999999999744</v>
      </c>
      <c r="L116" s="207">
        <f t="shared" si="347"/>
        <v>179.49999999999994</v>
      </c>
      <c r="M116" s="239">
        <f>SUM(I116:L116)</f>
        <v>354.00000000000011</v>
      </c>
      <c r="N116" s="207">
        <f t="shared" si="347"/>
        <v>274.8</v>
      </c>
      <c r="O116" s="207">
        <f t="shared" si="347"/>
        <v>251.50000000000006</v>
      </c>
      <c r="P116" s="207">
        <f t="shared" si="347"/>
        <v>318.29999999999995</v>
      </c>
      <c r="Q116" s="207">
        <f t="shared" si="347"/>
        <v>390.27394627481425</v>
      </c>
      <c r="R116" s="239">
        <f>SUM(N116:Q116)</f>
        <v>1234.8739462748142</v>
      </c>
      <c r="S116" s="207">
        <f t="shared" si="347"/>
        <v>368.37375822093435</v>
      </c>
      <c r="T116" s="207">
        <f t="shared" si="347"/>
        <v>346.3035024637764</v>
      </c>
      <c r="U116" s="207">
        <f t="shared" si="347"/>
        <v>346.65311706590211</v>
      </c>
      <c r="V116" s="207">
        <f t="shared" si="347"/>
        <v>436.4036654941599</v>
      </c>
      <c r="W116" s="239">
        <f>SUM(S116:V116)</f>
        <v>1497.7340432447727</v>
      </c>
      <c r="X116" s="207">
        <f t="shared" ref="X116:AA116" si="348">+X103-X114+X115</f>
        <v>434.83661432954881</v>
      </c>
      <c r="Y116" s="207">
        <f t="shared" si="348"/>
        <v>410.66106609221464</v>
      </c>
      <c r="Z116" s="207">
        <f t="shared" si="348"/>
        <v>405.56625054139278</v>
      </c>
      <c r="AA116" s="207">
        <f t="shared" si="348"/>
        <v>484.77589141917593</v>
      </c>
      <c r="AB116" s="239">
        <f>SUM(X116:AA116)</f>
        <v>1735.8398223823322</v>
      </c>
      <c r="AC116" s="207">
        <f t="shared" ref="AC116:AF116" si="349">+AC103-AC114+AC115</f>
        <v>474.65102199436024</v>
      </c>
      <c r="AD116" s="207">
        <f t="shared" si="349"/>
        <v>454.08413692333187</v>
      </c>
      <c r="AE116" s="207">
        <f t="shared" si="349"/>
        <v>449.89244257753325</v>
      </c>
      <c r="AF116" s="207">
        <f t="shared" si="349"/>
        <v>541.28897540559933</v>
      </c>
      <c r="AG116" s="239">
        <f>SUM(AC116:AF116)</f>
        <v>1919.9165769008248</v>
      </c>
      <c r="AH116" s="207">
        <f t="shared" ref="AH116:AK116" si="350">+AH103-AH114+AH115</f>
        <v>542.63808557968036</v>
      </c>
      <c r="AI116" s="207">
        <f t="shared" si="350"/>
        <v>520.35142466252546</v>
      </c>
      <c r="AJ116" s="207">
        <f t="shared" si="350"/>
        <v>512.13552979228848</v>
      </c>
      <c r="AK116" s="207">
        <f t="shared" si="350"/>
        <v>612.18537853250041</v>
      </c>
      <c r="AL116" s="239">
        <f>SUM(AH116:AK116)</f>
        <v>2187.3104185669945</v>
      </c>
      <c r="AM116" s="207">
        <f t="shared" ref="AM116:AP116" si="351">+AM103-AM114+AM115</f>
        <v>615.31410487891321</v>
      </c>
      <c r="AN116" s="207">
        <f t="shared" si="351"/>
        <v>591.48887953981216</v>
      </c>
      <c r="AO116" s="207">
        <f t="shared" si="351"/>
        <v>577.69409546511906</v>
      </c>
      <c r="AP116" s="207">
        <f t="shared" si="351"/>
        <v>686.07824515807135</v>
      </c>
      <c r="AQ116" s="239">
        <f>SUM(AM116:AP116)</f>
        <v>2470.5753250419157</v>
      </c>
    </row>
    <row r="117" spans="1:43" outlineLevel="1" x14ac:dyDescent="0.25">
      <c r="A117" s="254"/>
      <c r="B117" s="167" t="s">
        <v>301</v>
      </c>
      <c r="C117" s="144"/>
      <c r="D117" s="366">
        <f t="shared" ref="D117:G117" si="352">+D116/D103</f>
        <v>0.15292553191489355</v>
      </c>
      <c r="E117" s="366">
        <f t="shared" si="352"/>
        <v>0.1319471688243756</v>
      </c>
      <c r="F117" s="366">
        <f t="shared" si="352"/>
        <v>0.17044092600769556</v>
      </c>
      <c r="G117" s="366">
        <f t="shared" si="352"/>
        <v>0.16710132943196987</v>
      </c>
      <c r="H117" s="240">
        <f>H116/H103</f>
        <v>0.15582800284292814</v>
      </c>
      <c r="I117" s="366">
        <f t="shared" ref="I117:L117" si="353">+I116/I103</f>
        <v>0.17560944561135511</v>
      </c>
      <c r="J117" s="366">
        <f t="shared" si="353"/>
        <v>-1.3573065397496956E-2</v>
      </c>
      <c r="K117" s="366">
        <f t="shared" si="353"/>
        <v>-9.0564448188710761E-2</v>
      </c>
      <c r="L117" s="208">
        <f t="shared" si="353"/>
        <v>0.12028412517590294</v>
      </c>
      <c r="M117" s="240">
        <f>M116/M103</f>
        <v>6.8769912192089541E-2</v>
      </c>
      <c r="N117" s="208">
        <f t="shared" ref="N117:Q117" si="354">+N116/N103</f>
        <v>0.16611255515928189</v>
      </c>
      <c r="O117" s="208">
        <f t="shared" si="354"/>
        <v>0.1561239058911168</v>
      </c>
      <c r="P117" s="208">
        <f t="shared" si="354"/>
        <v>0.19193198263386396</v>
      </c>
      <c r="Q117" s="208">
        <f t="shared" si="354"/>
        <v>0.1966976917444658</v>
      </c>
      <c r="R117" s="240">
        <f>R116/R103</f>
        <v>0.17876694735674414</v>
      </c>
      <c r="S117" s="208">
        <f t="shared" ref="S117:V117" si="355">+S116/S103</f>
        <v>0.18303674631411523</v>
      </c>
      <c r="T117" s="208">
        <f t="shared" si="355"/>
        <v>0.181918467706359</v>
      </c>
      <c r="U117" s="208">
        <f t="shared" si="355"/>
        <v>0.17762615499290685</v>
      </c>
      <c r="V117" s="208">
        <f t="shared" si="355"/>
        <v>0.20029406509877082</v>
      </c>
      <c r="W117" s="240">
        <f>W116/W103</f>
        <v>0.18613277571280559</v>
      </c>
      <c r="X117" s="208">
        <f t="shared" ref="X117:AA117" si="356">+X116/X103</f>
        <v>0.18816894224788488</v>
      </c>
      <c r="Y117" s="208">
        <f t="shared" si="356"/>
        <v>0.18818853160271648</v>
      </c>
      <c r="Z117" s="208">
        <f t="shared" si="356"/>
        <v>0.18349326886594217</v>
      </c>
      <c r="AA117" s="208">
        <f t="shared" si="356"/>
        <v>0.19833473607356938</v>
      </c>
      <c r="AB117" s="240">
        <f>AB116/AB103</f>
        <v>0.18976017582509469</v>
      </c>
      <c r="AC117" s="208">
        <f t="shared" ref="AC117:AF117" si="357">+AC116/AC103</f>
        <v>0.18740912694185488</v>
      </c>
      <c r="AD117" s="208">
        <f t="shared" si="357"/>
        <v>0.18812200882970687</v>
      </c>
      <c r="AE117" s="208">
        <f t="shared" si="357"/>
        <v>0.18275374465587968</v>
      </c>
      <c r="AF117" s="208">
        <f t="shared" si="357"/>
        <v>0.19723961969642478</v>
      </c>
      <c r="AG117" s="240">
        <f>AG116/AG103</f>
        <v>0.18910706941357058</v>
      </c>
      <c r="AH117" s="208">
        <f t="shared" ref="AH117:AK117" si="358">+AH116/AH103</f>
        <v>0.19126756688836746</v>
      </c>
      <c r="AI117" s="208">
        <f t="shared" si="358"/>
        <v>0.19239870436334156</v>
      </c>
      <c r="AJ117" s="208">
        <f t="shared" si="358"/>
        <v>0.18599779492510005</v>
      </c>
      <c r="AK117" s="208">
        <f t="shared" si="358"/>
        <v>0.19956051458709242</v>
      </c>
      <c r="AL117" s="240">
        <f>AL116/AL103</f>
        <v>0.19249871260825988</v>
      </c>
      <c r="AM117" s="208">
        <f t="shared" ref="AM117:AP117" si="359">+AM116/AM103</f>
        <v>0.19395435497397687</v>
      </c>
      <c r="AN117" s="208">
        <f t="shared" si="359"/>
        <v>0.19567504133198152</v>
      </c>
      <c r="AO117" s="208">
        <f t="shared" si="359"/>
        <v>0.18828279799112599</v>
      </c>
      <c r="AP117" s="208">
        <f t="shared" si="359"/>
        <v>0.20105716170142424</v>
      </c>
      <c r="AQ117" s="240">
        <f>AQ116/AQ103</f>
        <v>0.19490395422123324</v>
      </c>
    </row>
    <row r="118" spans="1:43" ht="18" x14ac:dyDescent="0.4">
      <c r="A118" s="254"/>
      <c r="B118" s="565" t="s">
        <v>173</v>
      </c>
      <c r="C118" s="566"/>
      <c r="D118" s="32" t="s">
        <v>119</v>
      </c>
      <c r="E118" s="32" t="s">
        <v>243</v>
      </c>
      <c r="F118" s="32" t="s">
        <v>247</v>
      </c>
      <c r="G118" s="32" t="s">
        <v>257</v>
      </c>
      <c r="H118" s="86" t="s">
        <v>258</v>
      </c>
      <c r="I118" s="32" t="s">
        <v>259</v>
      </c>
      <c r="J118" s="32" t="s">
        <v>260</v>
      </c>
      <c r="K118" s="32" t="s">
        <v>261</v>
      </c>
      <c r="L118" s="32" t="s">
        <v>322</v>
      </c>
      <c r="M118" s="86" t="s">
        <v>333</v>
      </c>
      <c r="N118" s="32" t="s">
        <v>339</v>
      </c>
      <c r="O118" s="32" t="s">
        <v>347</v>
      </c>
      <c r="P118" s="32" t="s">
        <v>349</v>
      </c>
      <c r="Q118" s="30" t="s">
        <v>129</v>
      </c>
      <c r="R118" s="89" t="s">
        <v>130</v>
      </c>
      <c r="S118" s="30" t="s">
        <v>131</v>
      </c>
      <c r="T118" s="30" t="s">
        <v>132</v>
      </c>
      <c r="U118" s="30" t="s">
        <v>133</v>
      </c>
      <c r="V118" s="30" t="s">
        <v>134</v>
      </c>
      <c r="W118" s="89" t="s">
        <v>135</v>
      </c>
      <c r="X118" s="30" t="s">
        <v>136</v>
      </c>
      <c r="Y118" s="30" t="s">
        <v>137</v>
      </c>
      <c r="Z118" s="30" t="s">
        <v>138</v>
      </c>
      <c r="AA118" s="30" t="s">
        <v>139</v>
      </c>
      <c r="AB118" s="89" t="s">
        <v>140</v>
      </c>
      <c r="AC118" s="30" t="s">
        <v>252</v>
      </c>
      <c r="AD118" s="30" t="s">
        <v>253</v>
      </c>
      <c r="AE118" s="30" t="s">
        <v>254</v>
      </c>
      <c r="AF118" s="30" t="s">
        <v>255</v>
      </c>
      <c r="AG118" s="89" t="s">
        <v>256</v>
      </c>
      <c r="AH118" s="30" t="s">
        <v>285</v>
      </c>
      <c r="AI118" s="30" t="s">
        <v>286</v>
      </c>
      <c r="AJ118" s="30" t="s">
        <v>287</v>
      </c>
      <c r="AK118" s="30" t="s">
        <v>288</v>
      </c>
      <c r="AL118" s="89" t="s">
        <v>289</v>
      </c>
      <c r="AM118" s="30" t="s">
        <v>356</v>
      </c>
      <c r="AN118" s="30" t="s">
        <v>357</v>
      </c>
      <c r="AO118" s="30" t="s">
        <v>358</v>
      </c>
      <c r="AP118" s="30" t="s">
        <v>359</v>
      </c>
      <c r="AQ118" s="89" t="s">
        <v>360</v>
      </c>
    </row>
    <row r="119" spans="1:43" s="20" customFormat="1" outlineLevel="1" x14ac:dyDescent="0.25">
      <c r="A119" s="269"/>
      <c r="B119" s="585" t="s">
        <v>302</v>
      </c>
      <c r="C119" s="586"/>
      <c r="D119" s="171">
        <v>504.6</v>
      </c>
      <c r="E119" s="171">
        <v>446.6</v>
      </c>
      <c r="F119" s="259">
        <v>533.29999999999995</v>
      </c>
      <c r="G119" s="171">
        <v>508.1</v>
      </c>
      <c r="H119" s="59">
        <f>SUM(D119:G119)</f>
        <v>1992.6</v>
      </c>
      <c r="I119" s="171">
        <v>494.6</v>
      </c>
      <c r="J119" s="171">
        <v>519.1</v>
      </c>
      <c r="K119" s="171">
        <v>447.3</v>
      </c>
      <c r="L119" s="171">
        <v>464</v>
      </c>
      <c r="M119" s="59">
        <f>SUM(I119:L119)</f>
        <v>1925</v>
      </c>
      <c r="N119" s="171">
        <v>371.4</v>
      </c>
      <c r="O119" s="171">
        <v>369.9</v>
      </c>
      <c r="P119" s="171">
        <v>414</v>
      </c>
      <c r="Q119" s="171">
        <f t="shared" ref="Q119" si="360">+L119*(1+Q120)</f>
        <v>394.70000000000005</v>
      </c>
      <c r="R119" s="461">
        <f>SUM(N119:Q119)</f>
        <v>1550</v>
      </c>
      <c r="S119" s="171">
        <f>+N119*(1+S120)</f>
        <v>391.82699999999994</v>
      </c>
      <c r="T119" s="171">
        <f>+O119*(1+T120)</f>
        <v>390.24449999999996</v>
      </c>
      <c r="U119" s="171">
        <f>+P119*(1+U120)</f>
        <v>436.77</v>
      </c>
      <c r="V119" s="171">
        <f t="shared" ref="V119" si="361">+Q119*(1+V120)</f>
        <v>416.4085</v>
      </c>
      <c r="W119" s="59">
        <f>SUM(S119:V119)</f>
        <v>1635.25</v>
      </c>
      <c r="X119" s="171">
        <f>+S119*(1+X120)</f>
        <v>415.33661999999998</v>
      </c>
      <c r="Y119" s="171">
        <f>+T119*(1+Y120)</f>
        <v>413.65916999999996</v>
      </c>
      <c r="Z119" s="171">
        <f>+U119*(1+Z120)</f>
        <v>462.97620000000001</v>
      </c>
      <c r="AA119" s="171">
        <f t="shared" ref="AA119" si="362">+V119*(1+AA120)</f>
        <v>441.39301</v>
      </c>
      <c r="AB119" s="59">
        <f>SUM(X119:AA119)</f>
        <v>1733.365</v>
      </c>
      <c r="AC119" s="171">
        <f>+X119*(1+AC120)</f>
        <v>438.18013409999998</v>
      </c>
      <c r="AD119" s="171">
        <f>+Y119*(1+AD120)</f>
        <v>436.41042434999991</v>
      </c>
      <c r="AE119" s="171">
        <f>+Z119*(1+AE120)</f>
        <v>488.43989099999999</v>
      </c>
      <c r="AF119" s="171">
        <f t="shared" ref="AF119" si="363">+AA119*(1+AF120)</f>
        <v>465.66962554999998</v>
      </c>
      <c r="AG119" s="59">
        <f>SUM(AC119:AF119)</f>
        <v>1828.7000749999997</v>
      </c>
      <c r="AH119" s="171">
        <f>+AC119*(1+AH120)</f>
        <v>460.089140805</v>
      </c>
      <c r="AI119" s="171">
        <f>+AD119*(1+AI120)</f>
        <v>458.23094556749993</v>
      </c>
      <c r="AJ119" s="171">
        <f>+AE119*(1+AJ120)</f>
        <v>512.86188555000001</v>
      </c>
      <c r="AK119" s="171">
        <f t="shared" ref="AK119" si="364">+AF119*(1+AK120)</f>
        <v>488.95310682749999</v>
      </c>
      <c r="AL119" s="59">
        <f>SUM(AH119:AK119)</f>
        <v>1920.13507875</v>
      </c>
      <c r="AM119" s="171">
        <f>+AH119*(1+AM120)</f>
        <v>483.09359784525003</v>
      </c>
      <c r="AN119" s="171">
        <f>+AI119*(1+AN120)</f>
        <v>481.14249284587493</v>
      </c>
      <c r="AO119" s="171">
        <f>+AJ119*(1+AO120)</f>
        <v>538.50497982750005</v>
      </c>
      <c r="AP119" s="171">
        <f t="shared" ref="AP119" si="365">+AK119*(1+AP120)</f>
        <v>513.40076216887496</v>
      </c>
      <c r="AQ119" s="59">
        <f>SUM(AM119:AP119)</f>
        <v>2016.1418326874998</v>
      </c>
    </row>
    <row r="120" spans="1:43" outlineLevel="1" x14ac:dyDescent="0.25">
      <c r="A120" s="254"/>
      <c r="B120" s="200" t="s">
        <v>180</v>
      </c>
      <c r="C120" s="201"/>
      <c r="D120" s="289"/>
      <c r="E120" s="289"/>
      <c r="F120" s="289"/>
      <c r="G120" s="289"/>
      <c r="H120" s="179"/>
      <c r="I120" s="289">
        <f>I119/D119-1</f>
        <v>-1.9817677368212494E-2</v>
      </c>
      <c r="J120" s="289">
        <f t="shared" ref="J120" si="366">J119/E119-1</f>
        <v>0.16233766233766223</v>
      </c>
      <c r="K120" s="289">
        <f>K119/F119-1</f>
        <v>-0.1612600787549221</v>
      </c>
      <c r="L120" s="289">
        <f>L119/G119-1</f>
        <v>-8.6793938201141563E-2</v>
      </c>
      <c r="M120" s="416">
        <f>M119/H119-1</f>
        <v>-3.3925524440429511E-2</v>
      </c>
      <c r="N120" s="289">
        <f>N119/I119-1</f>
        <v>-0.24909017387788124</v>
      </c>
      <c r="O120" s="289">
        <f t="shared" ref="O120" si="367">O119/J119-1</f>
        <v>-0.28742053554228475</v>
      </c>
      <c r="P120" s="289">
        <f>P119/K119-1</f>
        <v>-7.4446680080482941E-2</v>
      </c>
      <c r="Q120" s="202">
        <v>-0.14935344827586197</v>
      </c>
      <c r="R120" s="416">
        <f>R119/M119-1</f>
        <v>-0.19480519480519476</v>
      </c>
      <c r="S120" s="508">
        <v>5.5E-2</v>
      </c>
      <c r="T120" s="508">
        <v>5.5E-2</v>
      </c>
      <c r="U120" s="508">
        <v>5.5E-2</v>
      </c>
      <c r="V120" s="508">
        <v>5.5E-2</v>
      </c>
      <c r="W120" s="416">
        <f>W119/R119-1</f>
        <v>5.4999999999999938E-2</v>
      </c>
      <c r="X120" s="508">
        <v>0.06</v>
      </c>
      <c r="Y120" s="508">
        <v>0.06</v>
      </c>
      <c r="Z120" s="508">
        <v>0.06</v>
      </c>
      <c r="AA120" s="508">
        <v>0.06</v>
      </c>
      <c r="AB120" s="507">
        <f>AB119/W119-1</f>
        <v>6.0000000000000053E-2</v>
      </c>
      <c r="AC120" s="508">
        <v>5.5E-2</v>
      </c>
      <c r="AD120" s="508">
        <v>5.5E-2</v>
      </c>
      <c r="AE120" s="508">
        <v>5.5E-2</v>
      </c>
      <c r="AF120" s="508">
        <v>5.5E-2</v>
      </c>
      <c r="AG120" s="507">
        <f>AG119/AB119-1</f>
        <v>5.4999999999999938E-2</v>
      </c>
      <c r="AH120" s="202">
        <v>0.05</v>
      </c>
      <c r="AI120" s="202">
        <v>0.05</v>
      </c>
      <c r="AJ120" s="202">
        <v>0.05</v>
      </c>
      <c r="AK120" s="202">
        <v>0.05</v>
      </c>
      <c r="AL120" s="416">
        <f>AL119/AG119-1</f>
        <v>5.0000000000000266E-2</v>
      </c>
      <c r="AM120" s="202">
        <v>0.05</v>
      </c>
      <c r="AN120" s="202">
        <v>0.05</v>
      </c>
      <c r="AO120" s="202">
        <v>0.05</v>
      </c>
      <c r="AP120" s="202">
        <v>0.05</v>
      </c>
      <c r="AQ120" s="416">
        <f>AQ119/AL119-1</f>
        <v>4.9999999999999822E-2</v>
      </c>
    </row>
    <row r="121" spans="1:43" outlineLevel="1" x14ac:dyDescent="0.25">
      <c r="A121" s="254"/>
      <c r="B121" s="605" t="s">
        <v>262</v>
      </c>
      <c r="C121" s="606"/>
      <c r="D121" s="169">
        <v>348.4</v>
      </c>
      <c r="E121" s="169">
        <v>305.39999999999998</v>
      </c>
      <c r="F121" s="169">
        <v>377.1</v>
      </c>
      <c r="G121" s="169">
        <v>359.1</v>
      </c>
      <c r="H121" s="209">
        <f>SUM(D121:G121)</f>
        <v>1390</v>
      </c>
      <c r="I121" s="169">
        <v>338.8</v>
      </c>
      <c r="J121" s="169">
        <v>351.6</v>
      </c>
      <c r="K121" s="169">
        <v>319.89999999999998</v>
      </c>
      <c r="L121" s="169">
        <v>327.8</v>
      </c>
      <c r="M121" s="209">
        <f>SUM(I121:L121)</f>
        <v>1338.1000000000001</v>
      </c>
      <c r="N121" s="169">
        <v>233.5</v>
      </c>
      <c r="O121" s="169">
        <v>231.9</v>
      </c>
      <c r="P121" s="169">
        <v>268.3</v>
      </c>
      <c r="Q121" s="169">
        <f t="shared" ref="Q121:V121" si="368">Q122*Q119</f>
        <v>255.79229468599038</v>
      </c>
      <c r="R121" s="209">
        <f>SUM(N121:Q121)</f>
        <v>989.49229468599037</v>
      </c>
      <c r="S121" s="169">
        <f t="shared" si="368"/>
        <v>253.93039637681159</v>
      </c>
      <c r="T121" s="169">
        <f t="shared" si="368"/>
        <v>252.90482934782608</v>
      </c>
      <c r="U121" s="169">
        <f t="shared" si="368"/>
        <v>283.05650000000003</v>
      </c>
      <c r="V121" s="169">
        <f t="shared" si="368"/>
        <v>269.86087089371983</v>
      </c>
      <c r="W121" s="209">
        <f>SUM(S121:V121)</f>
        <v>1059.7525966183575</v>
      </c>
      <c r="X121" s="169">
        <f t="shared" ref="X121:AA121" si="369">X122*X119</f>
        <v>269.16622015942028</v>
      </c>
      <c r="Y121" s="169">
        <f t="shared" si="369"/>
        <v>268.07911910869564</v>
      </c>
      <c r="Z121" s="169">
        <f t="shared" si="369"/>
        <v>300.03989000000001</v>
      </c>
      <c r="AA121" s="169">
        <f t="shared" si="369"/>
        <v>286.05252314734304</v>
      </c>
      <c r="AB121" s="209">
        <f>SUM(X121:AA121)</f>
        <v>1123.3377524154589</v>
      </c>
      <c r="AC121" s="169">
        <f t="shared" ref="AC121:AF121" si="370">AC122*AC119</f>
        <v>283.97036226818841</v>
      </c>
      <c r="AD121" s="169">
        <f t="shared" si="370"/>
        <v>282.82347065967389</v>
      </c>
      <c r="AE121" s="169">
        <f t="shared" si="370"/>
        <v>316.54208395000001</v>
      </c>
      <c r="AF121" s="169">
        <f t="shared" si="370"/>
        <v>301.78541192044685</v>
      </c>
      <c r="AG121" s="209">
        <f>SUM(AC121:AF121)</f>
        <v>1185.1213287983092</v>
      </c>
      <c r="AH121" s="169">
        <f t="shared" ref="AH121:AK121" si="371">AH122*AH119</f>
        <v>298.16888038159783</v>
      </c>
      <c r="AI121" s="169">
        <f t="shared" si="371"/>
        <v>296.9646441926576</v>
      </c>
      <c r="AJ121" s="169">
        <f t="shared" si="371"/>
        <v>332.36918814750004</v>
      </c>
      <c r="AK121" s="169">
        <f t="shared" si="371"/>
        <v>316.87468251646925</v>
      </c>
      <c r="AL121" s="209">
        <f>SUM(AH121:AK121)</f>
        <v>1244.3773952382248</v>
      </c>
      <c r="AM121" s="169">
        <f t="shared" ref="AM121:AP121" si="372">AM122*AM119</f>
        <v>313.07732440067775</v>
      </c>
      <c r="AN121" s="169">
        <f t="shared" si="372"/>
        <v>311.81287640229044</v>
      </c>
      <c r="AO121" s="169">
        <f t="shared" si="372"/>
        <v>348.98764755487508</v>
      </c>
      <c r="AP121" s="169">
        <f t="shared" si="372"/>
        <v>332.71841664229265</v>
      </c>
      <c r="AQ121" s="209">
        <f>SUM(AM121:AP121)</f>
        <v>1306.5962650001359</v>
      </c>
    </row>
    <row r="122" spans="1:43" s="469" customFormat="1" outlineLevel="1" x14ac:dyDescent="0.25">
      <c r="A122" s="470"/>
      <c r="B122" s="467" t="s">
        <v>341</v>
      </c>
      <c r="C122" s="468"/>
      <c r="D122" s="415">
        <f>D121/D119</f>
        <v>0.69044787950852149</v>
      </c>
      <c r="E122" s="415">
        <f t="shared" ref="E122:P122" si="373">E121/E119</f>
        <v>0.68383340797133896</v>
      </c>
      <c r="F122" s="415">
        <f t="shared" si="373"/>
        <v>0.70710669416838567</v>
      </c>
      <c r="G122" s="415">
        <f t="shared" si="373"/>
        <v>0.70675063963786655</v>
      </c>
      <c r="H122" s="476">
        <f t="shared" si="373"/>
        <v>0.69758104988457292</v>
      </c>
      <c r="I122" s="415">
        <f t="shared" si="373"/>
        <v>0.68499797816417307</v>
      </c>
      <c r="J122" s="415">
        <f t="shared" si="373"/>
        <v>0.6773261413985745</v>
      </c>
      <c r="K122" s="415">
        <f t="shared" si="373"/>
        <v>0.71517996870109535</v>
      </c>
      <c r="L122" s="475">
        <f t="shared" si="373"/>
        <v>0.70646551724137929</v>
      </c>
      <c r="M122" s="476">
        <f t="shared" si="373"/>
        <v>0.69511688311688313</v>
      </c>
      <c r="N122" s="475">
        <f t="shared" si="373"/>
        <v>0.62870220786214326</v>
      </c>
      <c r="O122" s="415">
        <f t="shared" si="373"/>
        <v>0.62692619626926205</v>
      </c>
      <c r="P122" s="415">
        <f t="shared" si="373"/>
        <v>0.6480676328502416</v>
      </c>
      <c r="Q122" s="477">
        <f>P122</f>
        <v>0.6480676328502416</v>
      </c>
      <c r="R122" s="476">
        <f t="shared" ref="R122" si="374">R121/R119</f>
        <v>0.63838212560386476</v>
      </c>
      <c r="S122" s="477">
        <f>Q122</f>
        <v>0.6480676328502416</v>
      </c>
      <c r="T122" s="477">
        <f>S122</f>
        <v>0.6480676328502416</v>
      </c>
      <c r="U122" s="477">
        <f>T122</f>
        <v>0.6480676328502416</v>
      </c>
      <c r="V122" s="477">
        <f>U122</f>
        <v>0.6480676328502416</v>
      </c>
      <c r="W122" s="476">
        <f t="shared" ref="W122" si="375">W121/W119</f>
        <v>0.6480676328502416</v>
      </c>
      <c r="X122" s="477">
        <f>V122</f>
        <v>0.6480676328502416</v>
      </c>
      <c r="Y122" s="477">
        <f>X122</f>
        <v>0.6480676328502416</v>
      </c>
      <c r="Z122" s="477">
        <f>Y122</f>
        <v>0.6480676328502416</v>
      </c>
      <c r="AA122" s="477">
        <f>Z122</f>
        <v>0.6480676328502416</v>
      </c>
      <c r="AB122" s="476">
        <f t="shared" ref="AB122" si="376">AB121/AB119</f>
        <v>0.64806763285024149</v>
      </c>
      <c r="AC122" s="477">
        <f>AA122</f>
        <v>0.6480676328502416</v>
      </c>
      <c r="AD122" s="477">
        <f>AC122</f>
        <v>0.6480676328502416</v>
      </c>
      <c r="AE122" s="477">
        <f>AD122</f>
        <v>0.6480676328502416</v>
      </c>
      <c r="AF122" s="477">
        <f>AE122</f>
        <v>0.6480676328502416</v>
      </c>
      <c r="AG122" s="476">
        <f t="shared" ref="AG122" si="377">AG121/AG119</f>
        <v>0.6480676328502416</v>
      </c>
      <c r="AH122" s="477">
        <f>AF122</f>
        <v>0.6480676328502416</v>
      </c>
      <c r="AI122" s="477">
        <f>AH122</f>
        <v>0.6480676328502416</v>
      </c>
      <c r="AJ122" s="477">
        <f>AI122</f>
        <v>0.6480676328502416</v>
      </c>
      <c r="AK122" s="477">
        <f>AJ122</f>
        <v>0.6480676328502416</v>
      </c>
      <c r="AL122" s="476">
        <f t="shared" ref="AL122" si="378">AL121/AL119</f>
        <v>0.6480676328502416</v>
      </c>
      <c r="AM122" s="477">
        <f>AK122</f>
        <v>0.6480676328502416</v>
      </c>
      <c r="AN122" s="477">
        <f>AM122</f>
        <v>0.6480676328502416</v>
      </c>
      <c r="AO122" s="477">
        <f>AN122</f>
        <v>0.6480676328502416</v>
      </c>
      <c r="AP122" s="477">
        <f>AO122</f>
        <v>0.6480676328502416</v>
      </c>
      <c r="AQ122" s="476">
        <f t="shared" ref="AQ122" si="379">AQ121/AQ119</f>
        <v>0.6480676328502416</v>
      </c>
    </row>
    <row r="123" spans="1:43" outlineLevel="1" x14ac:dyDescent="0.25">
      <c r="A123" s="254"/>
      <c r="B123" s="550" t="s">
        <v>142</v>
      </c>
      <c r="C123" s="36"/>
      <c r="D123" s="169">
        <v>18.600000000000001</v>
      </c>
      <c r="E123" s="169">
        <v>17.100000000000001</v>
      </c>
      <c r="F123" s="169">
        <v>20.2</v>
      </c>
      <c r="G123" s="169">
        <v>20.3</v>
      </c>
      <c r="H123" s="170">
        <f>SUM(D123:G123)</f>
        <v>76.2</v>
      </c>
      <c r="I123" s="169">
        <v>20.6</v>
      </c>
      <c r="J123" s="169">
        <v>17.7</v>
      </c>
      <c r="K123" s="169">
        <v>51.4</v>
      </c>
      <c r="L123" s="169">
        <v>18.5</v>
      </c>
      <c r="M123" s="170">
        <f>SUM(I123:L123)</f>
        <v>108.19999999999999</v>
      </c>
      <c r="N123" s="169">
        <v>11.1</v>
      </c>
      <c r="O123" s="169">
        <v>13.1</v>
      </c>
      <c r="P123" s="169">
        <v>-9.9</v>
      </c>
      <c r="Q123" s="169">
        <f t="shared" ref="Q123:V123" si="380">Q124*Q119</f>
        <v>11.841000000000001</v>
      </c>
      <c r="R123" s="170">
        <f>SUM(N123:Q123)</f>
        <v>26.140999999999998</v>
      </c>
      <c r="S123" s="169">
        <f t="shared" si="380"/>
        <v>11.754809999999997</v>
      </c>
      <c r="T123" s="169">
        <f t="shared" si="380"/>
        <v>11.707334999999999</v>
      </c>
      <c r="U123" s="169">
        <f t="shared" si="380"/>
        <v>13.1031</v>
      </c>
      <c r="V123" s="169">
        <f t="shared" si="380"/>
        <v>12.492255</v>
      </c>
      <c r="W123" s="170">
        <f>SUM(S123:V123)</f>
        <v>49.057499999999997</v>
      </c>
      <c r="X123" s="169">
        <f t="shared" ref="X123:AA123" si="381">X124*X119</f>
        <v>12.460098599999998</v>
      </c>
      <c r="Y123" s="169">
        <f t="shared" si="381"/>
        <v>12.409775099999999</v>
      </c>
      <c r="Z123" s="169">
        <f t="shared" si="381"/>
        <v>13.889286</v>
      </c>
      <c r="AA123" s="169">
        <f t="shared" si="381"/>
        <v>13.2417903</v>
      </c>
      <c r="AB123" s="170">
        <f>SUM(X123:AA123)</f>
        <v>52.000949999999996</v>
      </c>
      <c r="AC123" s="169">
        <f t="shared" ref="AC123:AF123" si="382">AC124*AC119</f>
        <v>13.145404022999999</v>
      </c>
      <c r="AD123" s="169">
        <f t="shared" si="382"/>
        <v>13.092312730499996</v>
      </c>
      <c r="AE123" s="169">
        <f t="shared" si="382"/>
        <v>14.653196729999999</v>
      </c>
      <c r="AF123" s="169">
        <f t="shared" si="382"/>
        <v>13.970088766499998</v>
      </c>
      <c r="AG123" s="170">
        <f>SUM(AC123:AF123)</f>
        <v>54.861002249999991</v>
      </c>
      <c r="AH123" s="169">
        <f t="shared" ref="AH123:AK123" si="383">AH124*AH119</f>
        <v>13.80267422415</v>
      </c>
      <c r="AI123" s="169">
        <f t="shared" si="383"/>
        <v>13.746928367024998</v>
      </c>
      <c r="AJ123" s="169">
        <f t="shared" si="383"/>
        <v>15.385856566499999</v>
      </c>
      <c r="AK123" s="169">
        <f t="shared" si="383"/>
        <v>14.668593204824999</v>
      </c>
      <c r="AL123" s="170">
        <f>SUM(AH123:AK123)</f>
        <v>57.604052362499999</v>
      </c>
      <c r="AM123" s="169">
        <f t="shared" ref="AM123:AP123" si="384">AM124*AM119</f>
        <v>14.492807935357501</v>
      </c>
      <c r="AN123" s="169">
        <f t="shared" si="384"/>
        <v>14.434274785376248</v>
      </c>
      <c r="AO123" s="169">
        <f t="shared" si="384"/>
        <v>16.155149394825003</v>
      </c>
      <c r="AP123" s="169">
        <f t="shared" si="384"/>
        <v>15.402022865066249</v>
      </c>
      <c r="AQ123" s="170">
        <f>SUM(AM123:AP123)</f>
        <v>60.484254980625003</v>
      </c>
    </row>
    <row r="124" spans="1:43" s="473" customFormat="1" outlineLevel="1" x14ac:dyDescent="0.25">
      <c r="A124" s="471"/>
      <c r="B124" s="467" t="s">
        <v>344</v>
      </c>
      <c r="C124" s="478"/>
      <c r="D124" s="475">
        <f>D123/D119</f>
        <v>3.6860879904875153E-2</v>
      </c>
      <c r="E124" s="475">
        <f t="shared" ref="E124:P124" si="385">E123/E119</f>
        <v>3.8289296909986566E-2</v>
      </c>
      <c r="F124" s="475">
        <f t="shared" si="385"/>
        <v>3.7877367335458469E-2</v>
      </c>
      <c r="G124" s="475">
        <f t="shared" si="385"/>
        <v>3.9952765203700058E-2</v>
      </c>
      <c r="H124" s="476">
        <f t="shared" si="385"/>
        <v>3.8241493526046375E-2</v>
      </c>
      <c r="I124" s="475">
        <f t="shared" si="385"/>
        <v>4.1649818034775576E-2</v>
      </c>
      <c r="J124" s="475">
        <f t="shared" si="385"/>
        <v>3.4097476401464072E-2</v>
      </c>
      <c r="K124" s="475">
        <f t="shared" si="385"/>
        <v>0.11491169237648111</v>
      </c>
      <c r="L124" s="475">
        <f t="shared" si="385"/>
        <v>3.9870689655172417E-2</v>
      </c>
      <c r="M124" s="476">
        <f t="shared" si="385"/>
        <v>5.62077922077922E-2</v>
      </c>
      <c r="N124" s="475">
        <f t="shared" si="385"/>
        <v>2.9886914378029081E-2</v>
      </c>
      <c r="O124" s="475">
        <f t="shared" si="385"/>
        <v>3.5414977020816439E-2</v>
      </c>
      <c r="P124" s="475">
        <f t="shared" si="385"/>
        <v>-2.391304347826087E-2</v>
      </c>
      <c r="Q124" s="477">
        <v>0.03</v>
      </c>
      <c r="R124" s="476">
        <f t="shared" ref="R124" si="386">R123/R119</f>
        <v>1.6865161290322579E-2</v>
      </c>
      <c r="S124" s="477">
        <f>Q124</f>
        <v>0.03</v>
      </c>
      <c r="T124" s="477">
        <f>S124</f>
        <v>0.03</v>
      </c>
      <c r="U124" s="477">
        <f>T124</f>
        <v>0.03</v>
      </c>
      <c r="V124" s="477">
        <f>U124</f>
        <v>0.03</v>
      </c>
      <c r="W124" s="476">
        <f t="shared" ref="W124" si="387">W123/W119</f>
        <v>0.03</v>
      </c>
      <c r="X124" s="477">
        <f>V124</f>
        <v>0.03</v>
      </c>
      <c r="Y124" s="477">
        <f>X124</f>
        <v>0.03</v>
      </c>
      <c r="Z124" s="477">
        <f>Y124</f>
        <v>0.03</v>
      </c>
      <c r="AA124" s="477">
        <f>Z124</f>
        <v>0.03</v>
      </c>
      <c r="AB124" s="476">
        <f t="shared" ref="AB124" si="388">AB123/AB119</f>
        <v>0.03</v>
      </c>
      <c r="AC124" s="477">
        <f>AA124</f>
        <v>0.03</v>
      </c>
      <c r="AD124" s="477">
        <f>AC124</f>
        <v>0.03</v>
      </c>
      <c r="AE124" s="477">
        <f>AD124</f>
        <v>0.03</v>
      </c>
      <c r="AF124" s="477">
        <f>AE124</f>
        <v>0.03</v>
      </c>
      <c r="AG124" s="476">
        <f t="shared" ref="AG124" si="389">AG123/AG119</f>
        <v>0.03</v>
      </c>
      <c r="AH124" s="477">
        <f>AF124</f>
        <v>0.03</v>
      </c>
      <c r="AI124" s="477">
        <f>AH124</f>
        <v>0.03</v>
      </c>
      <c r="AJ124" s="477">
        <f>AI124</f>
        <v>0.03</v>
      </c>
      <c r="AK124" s="477">
        <f>AJ124</f>
        <v>0.03</v>
      </c>
      <c r="AL124" s="476">
        <f t="shared" ref="AL124" si="390">AL123/AL119</f>
        <v>0.03</v>
      </c>
      <c r="AM124" s="477">
        <f>AK124</f>
        <v>0.03</v>
      </c>
      <c r="AN124" s="477">
        <f>AM124</f>
        <v>0.03</v>
      </c>
      <c r="AO124" s="477">
        <f>AN124</f>
        <v>0.03</v>
      </c>
      <c r="AP124" s="477">
        <f>AO124</f>
        <v>0.03</v>
      </c>
      <c r="AQ124" s="476">
        <f t="shared" ref="AQ124" si="391">AQ123/AQ119</f>
        <v>3.0000000000000006E-2</v>
      </c>
    </row>
    <row r="125" spans="1:43" outlineLevel="1" x14ac:dyDescent="0.25">
      <c r="A125" s="254"/>
      <c r="B125" s="550" t="s">
        <v>143</v>
      </c>
      <c r="C125" s="36"/>
      <c r="D125" s="205">
        <v>0</v>
      </c>
      <c r="E125" s="205">
        <v>12.3</v>
      </c>
      <c r="F125" s="205">
        <v>0.2</v>
      </c>
      <c r="G125" s="205">
        <v>0.3</v>
      </c>
      <c r="H125" s="59">
        <f>SUM(D125:G125)</f>
        <v>12.8</v>
      </c>
      <c r="I125" s="205">
        <v>0.3</v>
      </c>
      <c r="J125" s="205">
        <v>0.3</v>
      </c>
      <c r="K125" s="205">
        <v>0.3</v>
      </c>
      <c r="L125" s="205">
        <v>0.3</v>
      </c>
      <c r="M125" s="59">
        <f>SUM(I125:L125)</f>
        <v>1.2</v>
      </c>
      <c r="N125" s="205">
        <v>0.2</v>
      </c>
      <c r="O125" s="205">
        <v>0.3</v>
      </c>
      <c r="P125" s="205">
        <v>0.2</v>
      </c>
      <c r="Q125" s="205">
        <f>(P125/(P75+P110+P125+P138))*Q245</f>
        <v>0.21388509854834858</v>
      </c>
      <c r="R125" s="59">
        <f>SUM(N125:Q125)</f>
        <v>0.91388509854834854</v>
      </c>
      <c r="S125" s="205">
        <f>(Q125/(Q75+Q110+Q125+Q138))*S245</f>
        <v>0.22655625653054642</v>
      </c>
      <c r="T125" s="205">
        <f>(S125/(S75+S110+S125+S138))*T245</f>
        <v>0.22907523774921215</v>
      </c>
      <c r="U125" s="205">
        <f>(T125/(T75+T110+T125+T138))*U245</f>
        <v>0.23068504111462967</v>
      </c>
      <c r="V125" s="205">
        <f>(U125/(U75+U110+U125+U138))*V245</f>
        <v>0.2352358540672182</v>
      </c>
      <c r="W125" s="59">
        <f>SUM(S125:V125)</f>
        <v>0.92155238946160645</v>
      </c>
      <c r="X125" s="205">
        <f>(V125/(V75+V110+V125+V138))*X245</f>
        <v>0.23855436731015675</v>
      </c>
      <c r="Y125" s="205">
        <f>(X125/(X75+X110+X125+X138))*Y245</f>
        <v>0.2406810342821831</v>
      </c>
      <c r="Z125" s="205">
        <f>(Y125/(Y75+Y110+Y125+Y138))*Z245</f>
        <v>0.24243919364465141</v>
      </c>
      <c r="AA125" s="205">
        <f>(Z125/(Z75+Z110+Z125+Z138))*AA245</f>
        <v>0.2458263285668337</v>
      </c>
      <c r="AB125" s="59">
        <f>SUM(X125:AA125)</f>
        <v>0.96750092380382502</v>
      </c>
      <c r="AC125" s="205">
        <f>(AA125/(AA75+AA110+AA125+AA138))*AC245</f>
        <v>0.24831514238934541</v>
      </c>
      <c r="AD125" s="205">
        <f>(AC125/(AC75+AC110+AC125+AC138))*AD245</f>
        <v>0.24971969617931539</v>
      </c>
      <c r="AE125" s="205">
        <f>(AD125/(AD75+AD110+AD125+AD138))*AE245</f>
        <v>0.25078658917064439</v>
      </c>
      <c r="AF125" s="205">
        <f>(AE125/(AE75+AE110+AE125+AE138))*AF245</f>
        <v>0.25332469065777824</v>
      </c>
      <c r="AG125" s="59">
        <f>SUM(AC125:AF125)</f>
        <v>1.0021461183970835</v>
      </c>
      <c r="AH125" s="205">
        <f>(AF125/(AF75+AF110+AF125+AF138))*AH245</f>
        <v>0.25608633962743338</v>
      </c>
      <c r="AI125" s="205">
        <f>(AH125/(AH75+AH110+AH125+AH138))*AI245</f>
        <v>0.25849980856957838</v>
      </c>
      <c r="AJ125" s="205">
        <f>(AI125/(AI75+AI110+AI125+AI138))*AJ245</f>
        <v>0.26046533839915548</v>
      </c>
      <c r="AK125" s="205">
        <f>(AJ125/(AJ75+AJ110+AJ125+AJ138))*AK245</f>
        <v>0.26390133777817637</v>
      </c>
      <c r="AL125" s="59">
        <f>SUM(AH125:AK125)</f>
        <v>1.0389528243743436</v>
      </c>
      <c r="AM125" s="205">
        <f>(AK125/(AK75+AK110+AK125+AK138))*AM245</f>
        <v>0.2673675836112302</v>
      </c>
      <c r="AN125" s="205">
        <f>(AM125/(AM75+AM110+AM125+AM138))*AN245</f>
        <v>0.2705800553075044</v>
      </c>
      <c r="AO125" s="205">
        <f>(AN125/(AN75+AN110+AN125+AN138))*AO245</f>
        <v>0.2732437751430678</v>
      </c>
      <c r="AP125" s="205">
        <f>(AO125/(AO75+AO110+AO125+AO138))*AP245</f>
        <v>0.27741523423168596</v>
      </c>
      <c r="AQ125" s="59">
        <f>SUM(AM125:AP125)</f>
        <v>1.0886066482934884</v>
      </c>
    </row>
    <row r="126" spans="1:43" outlineLevel="1" x14ac:dyDescent="0.25">
      <c r="A126" s="254"/>
      <c r="B126" s="550" t="s">
        <v>144</v>
      </c>
      <c r="C126" s="36"/>
      <c r="D126" s="169">
        <v>3.2</v>
      </c>
      <c r="E126" s="169">
        <v>3.1</v>
      </c>
      <c r="F126" s="169">
        <v>2.7</v>
      </c>
      <c r="G126" s="169">
        <v>2.6</v>
      </c>
      <c r="H126" s="170">
        <f>SUM(D126:G126)</f>
        <v>11.6</v>
      </c>
      <c r="I126" s="169">
        <v>2.4</v>
      </c>
      <c r="J126" s="169">
        <v>3</v>
      </c>
      <c r="K126" s="169">
        <v>2.5</v>
      </c>
      <c r="L126" s="169">
        <v>2.5</v>
      </c>
      <c r="M126" s="170">
        <f>SUM(I126:L126)</f>
        <v>10.4</v>
      </c>
      <c r="N126" s="169">
        <v>2.2000000000000002</v>
      </c>
      <c r="O126" s="169">
        <v>2.2999999999999998</v>
      </c>
      <c r="P126" s="169">
        <v>2.9</v>
      </c>
      <c r="Q126" s="169">
        <f t="shared" ref="Q126:V126" si="392">Q127*Q119</f>
        <v>2.7648067632850242</v>
      </c>
      <c r="R126" s="170">
        <f>SUM(N126:Q126)</f>
        <v>10.164806763285025</v>
      </c>
      <c r="S126" s="169">
        <f t="shared" si="392"/>
        <v>2.7446818840579703</v>
      </c>
      <c r="T126" s="169">
        <f t="shared" si="392"/>
        <v>2.7335967391304341</v>
      </c>
      <c r="U126" s="169">
        <f t="shared" si="392"/>
        <v>3.0594999999999994</v>
      </c>
      <c r="V126" s="169">
        <f t="shared" si="392"/>
        <v>2.9168711352657004</v>
      </c>
      <c r="W126" s="170">
        <f>SUM(S126:V126)</f>
        <v>11.454649758454103</v>
      </c>
      <c r="X126" s="169">
        <f t="shared" ref="X126:AA126" si="393">X127*X119</f>
        <v>2.9093627971014491</v>
      </c>
      <c r="Y126" s="169">
        <f t="shared" si="393"/>
        <v>2.8976125434782602</v>
      </c>
      <c r="Z126" s="169">
        <f t="shared" si="393"/>
        <v>3.2430699999999999</v>
      </c>
      <c r="AA126" s="169">
        <f t="shared" si="393"/>
        <v>3.0918834033816425</v>
      </c>
      <c r="AB126" s="170">
        <f>SUM(X126:AA126)</f>
        <v>12.141928743961351</v>
      </c>
      <c r="AC126" s="169">
        <f t="shared" ref="AC126:AF126" si="394">AC127*AC119</f>
        <v>3.0693777509420284</v>
      </c>
      <c r="AD126" s="169">
        <f t="shared" si="394"/>
        <v>3.0569812333695645</v>
      </c>
      <c r="AE126" s="169">
        <f t="shared" si="394"/>
        <v>3.4214388499999995</v>
      </c>
      <c r="AF126" s="169">
        <f t="shared" si="394"/>
        <v>3.2619369905676323</v>
      </c>
      <c r="AG126" s="170">
        <f>SUM(AC126:AF126)</f>
        <v>12.809734824879223</v>
      </c>
      <c r="AH126" s="169">
        <f t="shared" ref="AH126:AK126" si="395">AH127*AH119</f>
        <v>3.2228466384891301</v>
      </c>
      <c r="AI126" s="169">
        <f t="shared" si="395"/>
        <v>3.2098302950380426</v>
      </c>
      <c r="AJ126" s="169">
        <f t="shared" si="395"/>
        <v>3.5925107924999997</v>
      </c>
      <c r="AK126" s="169">
        <f t="shared" si="395"/>
        <v>3.4250338400960141</v>
      </c>
      <c r="AL126" s="170">
        <f>SUM(AH126:AK126)</f>
        <v>13.450221566123187</v>
      </c>
      <c r="AM126" s="169">
        <f t="shared" ref="AM126:AP126" si="396">AM127*AM119</f>
        <v>3.3839889704135868</v>
      </c>
      <c r="AN126" s="169">
        <f t="shared" si="396"/>
        <v>3.370321809789945</v>
      </c>
      <c r="AO126" s="169">
        <f t="shared" si="396"/>
        <v>3.7721363321250001</v>
      </c>
      <c r="AP126" s="169">
        <f t="shared" si="396"/>
        <v>3.5962855321008145</v>
      </c>
      <c r="AQ126" s="170">
        <f>SUM(AM126:AP126)</f>
        <v>14.122732644429348</v>
      </c>
    </row>
    <row r="127" spans="1:43" s="473" customFormat="1" outlineLevel="1" x14ac:dyDescent="0.25">
      <c r="A127" s="471"/>
      <c r="B127" s="467" t="s">
        <v>343</v>
      </c>
      <c r="C127" s="478"/>
      <c r="D127" s="475">
        <f>D126/D119</f>
        <v>6.3416567578279829E-3</v>
      </c>
      <c r="E127" s="475">
        <f t="shared" ref="E127:P127" si="397">E126/E119</f>
        <v>6.9413345275414241E-3</v>
      </c>
      <c r="F127" s="475">
        <f t="shared" si="397"/>
        <v>5.0628164260266275E-3</v>
      </c>
      <c r="G127" s="475">
        <f t="shared" si="397"/>
        <v>5.1171029324936033E-3</v>
      </c>
      <c r="H127" s="476">
        <f t="shared" si="397"/>
        <v>5.8215396968784505E-3</v>
      </c>
      <c r="I127" s="475">
        <f t="shared" si="397"/>
        <v>4.8524059846340476E-3</v>
      </c>
      <c r="J127" s="475">
        <f t="shared" si="397"/>
        <v>5.7792332883837404E-3</v>
      </c>
      <c r="K127" s="475">
        <f t="shared" si="397"/>
        <v>5.5890900961323492E-3</v>
      </c>
      <c r="L127" s="475">
        <f t="shared" si="397"/>
        <v>5.387931034482759E-3</v>
      </c>
      <c r="M127" s="476">
        <f t="shared" si="397"/>
        <v>5.4025974025974028E-3</v>
      </c>
      <c r="N127" s="475">
        <f t="shared" si="397"/>
        <v>5.9235325794291874E-3</v>
      </c>
      <c r="O127" s="475">
        <f t="shared" si="397"/>
        <v>6.2178967288456337E-3</v>
      </c>
      <c r="P127" s="475">
        <f t="shared" si="397"/>
        <v>7.0048309178743955E-3</v>
      </c>
      <c r="Q127" s="477">
        <f>P127</f>
        <v>7.0048309178743955E-3</v>
      </c>
      <c r="R127" s="476">
        <f t="shared" ref="R127" si="398">R126/R119</f>
        <v>6.557939847280661E-3</v>
      </c>
      <c r="S127" s="477">
        <f>Q127</f>
        <v>7.0048309178743955E-3</v>
      </c>
      <c r="T127" s="477">
        <f>S127</f>
        <v>7.0048309178743955E-3</v>
      </c>
      <c r="U127" s="477">
        <f>T127</f>
        <v>7.0048309178743955E-3</v>
      </c>
      <c r="V127" s="477">
        <f>U127</f>
        <v>7.0048309178743955E-3</v>
      </c>
      <c r="W127" s="476">
        <f t="shared" ref="W127" si="399">W126/W119</f>
        <v>7.0048309178743938E-3</v>
      </c>
      <c r="X127" s="477">
        <f>V127</f>
        <v>7.0048309178743955E-3</v>
      </c>
      <c r="Y127" s="477">
        <f>X127</f>
        <v>7.0048309178743955E-3</v>
      </c>
      <c r="Z127" s="477">
        <f>Y127</f>
        <v>7.0048309178743955E-3</v>
      </c>
      <c r="AA127" s="477">
        <f>Z127</f>
        <v>7.0048309178743955E-3</v>
      </c>
      <c r="AB127" s="476">
        <f t="shared" ref="AB127" si="400">AB126/AB119</f>
        <v>7.0048309178743955E-3</v>
      </c>
      <c r="AC127" s="477">
        <f>AA127</f>
        <v>7.0048309178743955E-3</v>
      </c>
      <c r="AD127" s="477">
        <f>AC127</f>
        <v>7.0048309178743955E-3</v>
      </c>
      <c r="AE127" s="477">
        <f>AD127</f>
        <v>7.0048309178743955E-3</v>
      </c>
      <c r="AF127" s="477">
        <f>AE127</f>
        <v>7.0048309178743955E-3</v>
      </c>
      <c r="AG127" s="476">
        <f t="shared" ref="AG127" si="401">AG126/AG119</f>
        <v>7.0048309178743955E-3</v>
      </c>
      <c r="AH127" s="477">
        <f>AF127</f>
        <v>7.0048309178743955E-3</v>
      </c>
      <c r="AI127" s="477">
        <f>AH127</f>
        <v>7.0048309178743955E-3</v>
      </c>
      <c r="AJ127" s="477">
        <f>AI127</f>
        <v>7.0048309178743955E-3</v>
      </c>
      <c r="AK127" s="477">
        <f>AJ127</f>
        <v>7.0048309178743955E-3</v>
      </c>
      <c r="AL127" s="476">
        <f t="shared" ref="AL127" si="402">AL126/AL119</f>
        <v>7.0048309178743946E-3</v>
      </c>
      <c r="AM127" s="477">
        <f>AK127</f>
        <v>7.0048309178743955E-3</v>
      </c>
      <c r="AN127" s="477">
        <f>AM127</f>
        <v>7.0048309178743955E-3</v>
      </c>
      <c r="AO127" s="477">
        <f>AN127</f>
        <v>7.0048309178743955E-3</v>
      </c>
      <c r="AP127" s="477">
        <f>AO127</f>
        <v>7.0048309178743955E-3</v>
      </c>
      <c r="AQ127" s="476">
        <f t="shared" ref="AQ127" si="403">AQ126/AQ119</f>
        <v>7.0048309178743972E-3</v>
      </c>
    </row>
    <row r="128" spans="1:43" ht="17.25" outlineLevel="1" x14ac:dyDescent="0.4">
      <c r="A128" s="254"/>
      <c r="B128" s="550" t="s">
        <v>152</v>
      </c>
      <c r="C128" s="36"/>
      <c r="D128" s="206">
        <v>0</v>
      </c>
      <c r="E128" s="206">
        <v>0</v>
      </c>
      <c r="F128" s="206">
        <v>0</v>
      </c>
      <c r="G128" s="206">
        <v>0</v>
      </c>
      <c r="H128" s="210">
        <f>SUM(D128:G128)</f>
        <v>0</v>
      </c>
      <c r="I128" s="206">
        <v>0</v>
      </c>
      <c r="J128" s="206">
        <v>0</v>
      </c>
      <c r="K128" s="206">
        <v>0</v>
      </c>
      <c r="L128" s="206">
        <v>0</v>
      </c>
      <c r="M128" s="210">
        <f>SUM(I128:L128)</f>
        <v>0</v>
      </c>
      <c r="N128" s="206">
        <v>0</v>
      </c>
      <c r="O128" s="288">
        <v>0</v>
      </c>
      <c r="P128" s="206">
        <v>0</v>
      </c>
      <c r="Q128" s="292">
        <v>0</v>
      </c>
      <c r="R128" s="210">
        <f>SUM(N128:Q128)</f>
        <v>0</v>
      </c>
      <c r="S128" s="292">
        <v>0</v>
      </c>
      <c r="T128" s="292">
        <v>0</v>
      </c>
      <c r="U128" s="292">
        <v>0</v>
      </c>
      <c r="V128" s="292">
        <v>0</v>
      </c>
      <c r="W128" s="210">
        <f>SUM(S128:V128)</f>
        <v>0</v>
      </c>
      <c r="X128" s="292">
        <v>0</v>
      </c>
      <c r="Y128" s="292">
        <v>0</v>
      </c>
      <c r="Z128" s="292">
        <v>0</v>
      </c>
      <c r="AA128" s="292">
        <v>0</v>
      </c>
      <c r="AB128" s="210">
        <f>SUM(X128:AA128)</f>
        <v>0</v>
      </c>
      <c r="AC128" s="292">
        <v>0</v>
      </c>
      <c r="AD128" s="292">
        <v>0</v>
      </c>
      <c r="AE128" s="292">
        <v>0</v>
      </c>
      <c r="AF128" s="292">
        <v>0</v>
      </c>
      <c r="AG128" s="210">
        <f>SUM(AC128:AF128)</f>
        <v>0</v>
      </c>
      <c r="AH128" s="292">
        <v>0</v>
      </c>
      <c r="AI128" s="292">
        <v>0</v>
      </c>
      <c r="AJ128" s="292">
        <v>0</v>
      </c>
      <c r="AK128" s="292">
        <v>0</v>
      </c>
      <c r="AL128" s="210">
        <f>SUM(AH128:AK128)</f>
        <v>0</v>
      </c>
      <c r="AM128" s="292">
        <v>0</v>
      </c>
      <c r="AN128" s="292">
        <v>0</v>
      </c>
      <c r="AO128" s="292">
        <v>0</v>
      </c>
      <c r="AP128" s="292">
        <v>0</v>
      </c>
      <c r="AQ128" s="210">
        <f>SUM(AM128:AP128)</f>
        <v>0</v>
      </c>
    </row>
    <row r="129" spans="1:43" outlineLevel="1" x14ac:dyDescent="0.25">
      <c r="A129" s="254"/>
      <c r="B129" s="167" t="s">
        <v>174</v>
      </c>
      <c r="C129" s="39"/>
      <c r="D129" s="171">
        <f>D121+D123+D125+D126+D128</f>
        <v>370.2</v>
      </c>
      <c r="E129" s="171">
        <f t="shared" ref="E129:AQ129" si="404">E121+E123+E125+E126+E128</f>
        <v>337.90000000000003</v>
      </c>
      <c r="F129" s="171">
        <f t="shared" si="404"/>
        <v>400.2</v>
      </c>
      <c r="G129" s="171">
        <f t="shared" si="404"/>
        <v>382.30000000000007</v>
      </c>
      <c r="H129" s="50">
        <f t="shared" si="404"/>
        <v>1490.6</v>
      </c>
      <c r="I129" s="171">
        <f t="shared" si="404"/>
        <v>362.1</v>
      </c>
      <c r="J129" s="171">
        <f t="shared" si="404"/>
        <v>372.6</v>
      </c>
      <c r="K129" s="171">
        <f t="shared" si="404"/>
        <v>374.09999999999997</v>
      </c>
      <c r="L129" s="171">
        <f t="shared" si="404"/>
        <v>349.1</v>
      </c>
      <c r="M129" s="50">
        <f t="shared" si="404"/>
        <v>1457.9000000000003</v>
      </c>
      <c r="N129" s="171">
        <f t="shared" si="404"/>
        <v>246.99999999999997</v>
      </c>
      <c r="O129" s="171">
        <f t="shared" si="404"/>
        <v>247.60000000000002</v>
      </c>
      <c r="P129" s="171">
        <f t="shared" si="404"/>
        <v>261.5</v>
      </c>
      <c r="Q129" s="171">
        <f t="shared" si="404"/>
        <v>270.61198654782379</v>
      </c>
      <c r="R129" s="50">
        <f t="shared" si="404"/>
        <v>1026.7119865478237</v>
      </c>
      <c r="S129" s="171">
        <f t="shared" si="404"/>
        <v>268.65644451740013</v>
      </c>
      <c r="T129" s="171">
        <f t="shared" si="404"/>
        <v>267.57483632470576</v>
      </c>
      <c r="U129" s="171">
        <f t="shared" si="404"/>
        <v>299.44978504111464</v>
      </c>
      <c r="V129" s="171">
        <f t="shared" si="404"/>
        <v>285.50523288305277</v>
      </c>
      <c r="W129" s="50">
        <f t="shared" si="404"/>
        <v>1121.186298766273</v>
      </c>
      <c r="X129" s="171">
        <f t="shared" si="404"/>
        <v>284.77423592383184</v>
      </c>
      <c r="Y129" s="171">
        <f t="shared" si="404"/>
        <v>283.62718778645609</v>
      </c>
      <c r="Z129" s="171">
        <f t="shared" si="404"/>
        <v>317.41468519364469</v>
      </c>
      <c r="AA129" s="171">
        <f t="shared" si="404"/>
        <v>302.63202317929148</v>
      </c>
      <c r="AB129" s="50">
        <f t="shared" si="404"/>
        <v>1188.4481320832242</v>
      </c>
      <c r="AC129" s="171">
        <f t="shared" si="404"/>
        <v>300.43345918451979</v>
      </c>
      <c r="AD129" s="171">
        <f t="shared" si="404"/>
        <v>299.22248431972281</v>
      </c>
      <c r="AE129" s="171">
        <f t="shared" si="404"/>
        <v>334.86750611917063</v>
      </c>
      <c r="AF129" s="171">
        <f t="shared" si="404"/>
        <v>319.27076236817226</v>
      </c>
      <c r="AG129" s="50">
        <f t="shared" si="404"/>
        <v>1253.7942119915854</v>
      </c>
      <c r="AH129" s="171">
        <f t="shared" si="404"/>
        <v>315.45048758386434</v>
      </c>
      <c r="AI129" s="171">
        <f t="shared" si="404"/>
        <v>314.17990266329025</v>
      </c>
      <c r="AJ129" s="171">
        <f t="shared" si="404"/>
        <v>351.60802084489922</v>
      </c>
      <c r="AK129" s="171">
        <f t="shared" si="404"/>
        <v>335.23221089916848</v>
      </c>
      <c r="AL129" s="50">
        <f t="shared" si="404"/>
        <v>1316.4706219912223</v>
      </c>
      <c r="AM129" s="171">
        <f t="shared" si="404"/>
        <v>331.22148889006013</v>
      </c>
      <c r="AN129" s="171">
        <f t="shared" si="404"/>
        <v>329.88805305276418</v>
      </c>
      <c r="AO129" s="171">
        <f t="shared" si="404"/>
        <v>369.18817705696813</v>
      </c>
      <c r="AP129" s="171">
        <f t="shared" si="404"/>
        <v>351.99414027369141</v>
      </c>
      <c r="AQ129" s="50">
        <f t="shared" si="404"/>
        <v>1382.2918592734839</v>
      </c>
    </row>
    <row r="130" spans="1:43" ht="17.25" outlineLevel="1" x14ac:dyDescent="0.4">
      <c r="A130" s="254"/>
      <c r="B130" s="168" t="s">
        <v>145</v>
      </c>
      <c r="C130" s="144"/>
      <c r="D130" s="173">
        <v>41.4</v>
      </c>
      <c r="E130" s="260">
        <v>40.200000000000003</v>
      </c>
      <c r="F130" s="260">
        <v>48.8</v>
      </c>
      <c r="G130" s="260">
        <v>65.099999999999994</v>
      </c>
      <c r="H130" s="481">
        <f>SUM(D130:G130)</f>
        <v>195.49999999999997</v>
      </c>
      <c r="I130" s="260">
        <v>43</v>
      </c>
      <c r="J130" s="260">
        <v>43.1</v>
      </c>
      <c r="K130" s="260">
        <v>51</v>
      </c>
      <c r="L130" s="260">
        <v>83</v>
      </c>
      <c r="M130" s="481">
        <f>SUM(I130:L130)</f>
        <v>220.1</v>
      </c>
      <c r="N130" s="260">
        <v>56.4</v>
      </c>
      <c r="O130" s="260">
        <v>50.3</v>
      </c>
      <c r="P130" s="260">
        <v>63.5</v>
      </c>
      <c r="Q130" s="177">
        <f>AVERAGE(P130,O130,N130,L130)</f>
        <v>63.3</v>
      </c>
      <c r="R130" s="481">
        <f>SUM(N130:Q130)</f>
        <v>233.5</v>
      </c>
      <c r="S130" s="177">
        <f>AVERAGE(Q130,P130,O130,N130)</f>
        <v>58.375</v>
      </c>
      <c r="T130" s="177">
        <f>AVERAGE(S130,Q130,P130,O130)</f>
        <v>58.868750000000006</v>
      </c>
      <c r="U130" s="177">
        <f>AVERAGE(T130,S130,Q130,P130)</f>
        <v>61.010937499999997</v>
      </c>
      <c r="V130" s="177">
        <f>AVERAGE(U130,T130,S130,Q130)</f>
        <v>60.388671875</v>
      </c>
      <c r="W130" s="481">
        <f>SUM(S130:V130)</f>
        <v>238.64335937499999</v>
      </c>
      <c r="X130" s="177">
        <f>AVERAGE(V130,U130,T130,S130)</f>
        <v>59.660839843749997</v>
      </c>
      <c r="Y130" s="177">
        <f>AVERAGE(X130,V130,U130,T130)</f>
        <v>59.9822998046875</v>
      </c>
      <c r="Z130" s="177">
        <f>AVERAGE(Y130,X130,V130,U130)</f>
        <v>60.260687255859381</v>
      </c>
      <c r="AA130" s="177">
        <f>AVERAGE(Z130,Y130,X130,V130)</f>
        <v>60.073124694824216</v>
      </c>
      <c r="AB130" s="481">
        <f>SUM(X130:AA130)</f>
        <v>239.97695159912109</v>
      </c>
      <c r="AC130" s="177">
        <f>AVERAGE(AA130,Z130,Y130,X130)</f>
        <v>59.994237899780273</v>
      </c>
      <c r="AD130" s="177">
        <f>AVERAGE(AC130,AA130,Z130,Y130)</f>
        <v>60.077587413787839</v>
      </c>
      <c r="AE130" s="177">
        <f>AVERAGE(AD130,AC130,AA130,Z130)</f>
        <v>60.101409316062927</v>
      </c>
      <c r="AF130" s="177">
        <f>AVERAGE(AE130,AD130,AC130,AA130)</f>
        <v>60.061589831113821</v>
      </c>
      <c r="AG130" s="481">
        <f>SUM(AC130:AF130)</f>
        <v>240.23482446074487</v>
      </c>
      <c r="AH130" s="177">
        <f>AVERAGE(AF130,AE130,AD130,AC130)</f>
        <v>60.058706115186212</v>
      </c>
      <c r="AI130" s="177">
        <f>AVERAGE(AH130,AF130,AE130,AD130)</f>
        <v>60.0748231690377</v>
      </c>
      <c r="AJ130" s="177">
        <f>AVERAGE(AI130,AH130,AF130,AE130)</f>
        <v>60.074132107850161</v>
      </c>
      <c r="AK130" s="177">
        <f>AVERAGE(AJ130,AI130,AH130,AF130)</f>
        <v>60.067312805796973</v>
      </c>
      <c r="AL130" s="481">
        <f>SUM(AH130:AK130)</f>
        <v>240.27497419787105</v>
      </c>
      <c r="AM130" s="177">
        <f>AVERAGE(AK130,AJ130,AI130,AH130)</f>
        <v>60.068743549467769</v>
      </c>
      <c r="AN130" s="177">
        <f>AVERAGE(AM130,AK130,AJ130,AI130)</f>
        <v>60.071252908038147</v>
      </c>
      <c r="AO130" s="177">
        <f>AVERAGE(AN130,AM130,AK130,AJ130)</f>
        <v>60.070360342788263</v>
      </c>
      <c r="AP130" s="177">
        <f>AVERAGE(AO130,AN130,AM130,AK130)</f>
        <v>60.069417401522784</v>
      </c>
      <c r="AQ130" s="481">
        <f>SUM(AM130:AP130)</f>
        <v>240.27977420181696</v>
      </c>
    </row>
    <row r="131" spans="1:43" outlineLevel="1" x14ac:dyDescent="0.25">
      <c r="A131" s="254"/>
      <c r="B131" s="167" t="s">
        <v>175</v>
      </c>
      <c r="C131" s="144"/>
      <c r="D131" s="365">
        <f t="shared" ref="D131:AQ131" si="405">D119-D129+D130</f>
        <v>175.80000000000004</v>
      </c>
      <c r="E131" s="365">
        <f t="shared" si="405"/>
        <v>148.89999999999998</v>
      </c>
      <c r="F131" s="365">
        <f t="shared" si="405"/>
        <v>181.89999999999998</v>
      </c>
      <c r="G131" s="365">
        <f t="shared" si="405"/>
        <v>190.89999999999995</v>
      </c>
      <c r="H131" s="239">
        <f t="shared" si="405"/>
        <v>697.5</v>
      </c>
      <c r="I131" s="365">
        <f t="shared" si="405"/>
        <v>175.5</v>
      </c>
      <c r="J131" s="365">
        <f t="shared" si="405"/>
        <v>189.6</v>
      </c>
      <c r="K131" s="365">
        <f t="shared" si="405"/>
        <v>124.20000000000005</v>
      </c>
      <c r="L131" s="207">
        <f t="shared" si="405"/>
        <v>197.89999999999998</v>
      </c>
      <c r="M131" s="239">
        <f t="shared" si="405"/>
        <v>687.1999999999997</v>
      </c>
      <c r="N131" s="207">
        <f t="shared" si="405"/>
        <v>180.8</v>
      </c>
      <c r="O131" s="207">
        <f t="shared" si="405"/>
        <v>172.59999999999997</v>
      </c>
      <c r="P131" s="207">
        <f t="shared" si="405"/>
        <v>216</v>
      </c>
      <c r="Q131" s="207">
        <f t="shared" si="405"/>
        <v>187.38801345217627</v>
      </c>
      <c r="R131" s="239">
        <f t="shared" si="405"/>
        <v>756.7880134521763</v>
      </c>
      <c r="S131" s="207">
        <f t="shared" si="405"/>
        <v>181.54555548259981</v>
      </c>
      <c r="T131" s="207">
        <f t="shared" si="405"/>
        <v>181.53841367529421</v>
      </c>
      <c r="U131" s="207">
        <f t="shared" si="405"/>
        <v>198.33115245888536</v>
      </c>
      <c r="V131" s="207">
        <f t="shared" si="405"/>
        <v>191.29193899194723</v>
      </c>
      <c r="W131" s="239">
        <f t="shared" si="405"/>
        <v>752.70706060872703</v>
      </c>
      <c r="X131" s="207">
        <f t="shared" si="405"/>
        <v>190.22322391991815</v>
      </c>
      <c r="Y131" s="207">
        <f t="shared" si="405"/>
        <v>190.01428201823137</v>
      </c>
      <c r="Z131" s="207">
        <f t="shared" si="405"/>
        <v>205.8222020622147</v>
      </c>
      <c r="AA131" s="207">
        <f t="shared" si="405"/>
        <v>198.83411151553275</v>
      </c>
      <c r="AB131" s="239">
        <f t="shared" si="405"/>
        <v>784.89381951589689</v>
      </c>
      <c r="AC131" s="207">
        <f t="shared" si="405"/>
        <v>197.74091281526046</v>
      </c>
      <c r="AD131" s="207">
        <f t="shared" si="405"/>
        <v>197.26552744406496</v>
      </c>
      <c r="AE131" s="207">
        <f t="shared" si="405"/>
        <v>213.67379419689229</v>
      </c>
      <c r="AF131" s="207">
        <f t="shared" si="405"/>
        <v>206.46045301294154</v>
      </c>
      <c r="AG131" s="239">
        <f t="shared" si="405"/>
        <v>815.14068746915927</v>
      </c>
      <c r="AH131" s="207">
        <f t="shared" si="405"/>
        <v>204.69735933632188</v>
      </c>
      <c r="AI131" s="207">
        <f t="shared" si="405"/>
        <v>204.12586607324738</v>
      </c>
      <c r="AJ131" s="207">
        <f t="shared" si="405"/>
        <v>221.32799681295097</v>
      </c>
      <c r="AK131" s="207">
        <f t="shared" si="405"/>
        <v>213.78820873412849</v>
      </c>
      <c r="AL131" s="239">
        <f t="shared" si="405"/>
        <v>843.93943095664883</v>
      </c>
      <c r="AM131" s="207">
        <f t="shared" si="405"/>
        <v>211.94085250465767</v>
      </c>
      <c r="AN131" s="207">
        <f t="shared" si="405"/>
        <v>211.32569270114891</v>
      </c>
      <c r="AO131" s="207">
        <f t="shared" si="405"/>
        <v>229.38716311332018</v>
      </c>
      <c r="AP131" s="207">
        <f t="shared" si="405"/>
        <v>221.47603929670635</v>
      </c>
      <c r="AQ131" s="239">
        <f t="shared" si="405"/>
        <v>874.12974761583291</v>
      </c>
    </row>
    <row r="132" spans="1:43" outlineLevel="1" x14ac:dyDescent="0.25">
      <c r="A132" s="254"/>
      <c r="B132" s="167" t="s">
        <v>176</v>
      </c>
      <c r="C132" s="144"/>
      <c r="D132" s="366">
        <f>+D131/D119</f>
        <v>0.34839476813317488</v>
      </c>
      <c r="E132" s="366">
        <f>+E131/E119</f>
        <v>0.33340797133900574</v>
      </c>
      <c r="F132" s="366">
        <f>+F131/F119</f>
        <v>0.34108381773860863</v>
      </c>
      <c r="G132" s="366">
        <f>+G131/G119</f>
        <v>0.37571344223578024</v>
      </c>
      <c r="H132" s="306">
        <f>H131/H119</f>
        <v>0.35004516711833789</v>
      </c>
      <c r="I132" s="366">
        <f t="shared" ref="I132:AQ132" si="406">+I131/I119</f>
        <v>0.3548321876263647</v>
      </c>
      <c r="J132" s="366">
        <f t="shared" si="406"/>
        <v>0.36524754382585239</v>
      </c>
      <c r="K132" s="366">
        <f t="shared" si="406"/>
        <v>0.27766599597585523</v>
      </c>
      <c r="L132" s="208">
        <f t="shared" si="406"/>
        <v>0.42650862068965512</v>
      </c>
      <c r="M132" s="240">
        <f t="shared" si="406"/>
        <v>0.35698701298701285</v>
      </c>
      <c r="N132" s="208">
        <f t="shared" si="406"/>
        <v>0.48680667743672595</v>
      </c>
      <c r="O132" s="208">
        <f t="shared" si="406"/>
        <v>0.46661259799945926</v>
      </c>
      <c r="P132" s="208">
        <f t="shared" si="406"/>
        <v>0.52173913043478259</v>
      </c>
      <c r="Q132" s="208">
        <f t="shared" si="406"/>
        <v>0.47476061173594186</v>
      </c>
      <c r="R132" s="240">
        <f t="shared" si="406"/>
        <v>0.4882503312594686</v>
      </c>
      <c r="S132" s="208">
        <f t="shared" si="406"/>
        <v>0.46333089726486393</v>
      </c>
      <c r="T132" s="208">
        <f t="shared" si="406"/>
        <v>0.46519147271849887</v>
      </c>
      <c r="U132" s="208">
        <f t="shared" si="406"/>
        <v>0.45408602344228166</v>
      </c>
      <c r="V132" s="208">
        <f t="shared" si="406"/>
        <v>0.45938528870555534</v>
      </c>
      <c r="W132" s="240">
        <f t="shared" si="406"/>
        <v>0.46030090849027794</v>
      </c>
      <c r="X132" s="208">
        <f t="shared" si="406"/>
        <v>0.45799771741754475</v>
      </c>
      <c r="Y132" s="208">
        <f t="shared" si="406"/>
        <v>0.45934986046176951</v>
      </c>
      <c r="Z132" s="208">
        <f t="shared" si="406"/>
        <v>0.44456324550206833</v>
      </c>
      <c r="AA132" s="208">
        <f t="shared" si="406"/>
        <v>0.45046955210172618</v>
      </c>
      <c r="AB132" s="240">
        <f t="shared" si="406"/>
        <v>0.45281508482973687</v>
      </c>
      <c r="AC132" s="208">
        <f t="shared" si="406"/>
        <v>0.45127767652317324</v>
      </c>
      <c r="AD132" s="208">
        <f t="shared" si="406"/>
        <v>0.45201836720073069</v>
      </c>
      <c r="AE132" s="208">
        <f t="shared" si="406"/>
        <v>0.43746180059010026</v>
      </c>
      <c r="AF132" s="208">
        <f t="shared" si="406"/>
        <v>0.44336250784897591</v>
      </c>
      <c r="AG132" s="240">
        <f t="shared" si="406"/>
        <v>0.44574870347132206</v>
      </c>
      <c r="AH132" s="208">
        <f t="shared" si="406"/>
        <v>0.44490804320695532</v>
      </c>
      <c r="AI132" s="208">
        <f t="shared" si="406"/>
        <v>0.44546503907641155</v>
      </c>
      <c r="AJ132" s="208">
        <f t="shared" si="406"/>
        <v>0.43155477731708575</v>
      </c>
      <c r="AK132" s="208">
        <f t="shared" si="406"/>
        <v>0.43723663015715697</v>
      </c>
      <c r="AL132" s="240">
        <f t="shared" si="406"/>
        <v>0.43952086511853627</v>
      </c>
      <c r="AM132" s="208">
        <f t="shared" si="406"/>
        <v>0.43871592057932624</v>
      </c>
      <c r="AN132" s="208">
        <f t="shared" si="406"/>
        <v>0.43921643971039404</v>
      </c>
      <c r="AO132" s="208">
        <f t="shared" si="406"/>
        <v>0.42597036556059342</v>
      </c>
      <c r="AP132" s="208">
        <f t="shared" si="406"/>
        <v>0.43139016459787677</v>
      </c>
      <c r="AQ132" s="240">
        <f t="shared" si="406"/>
        <v>0.43356560210380907</v>
      </c>
    </row>
    <row r="133" spans="1:43" ht="18" x14ac:dyDescent="0.4">
      <c r="A133" s="254"/>
      <c r="B133" s="565" t="s">
        <v>177</v>
      </c>
      <c r="C133" s="566"/>
      <c r="D133" s="32" t="s">
        <v>119</v>
      </c>
      <c r="E133" s="32" t="s">
        <v>243</v>
      </c>
      <c r="F133" s="32" t="s">
        <v>247</v>
      </c>
      <c r="G133" s="32" t="s">
        <v>257</v>
      </c>
      <c r="H133" s="86" t="s">
        <v>258</v>
      </c>
      <c r="I133" s="32" t="s">
        <v>259</v>
      </c>
      <c r="J133" s="32" t="s">
        <v>260</v>
      </c>
      <c r="K133" s="32" t="s">
        <v>261</v>
      </c>
      <c r="L133" s="32" t="s">
        <v>322</v>
      </c>
      <c r="M133" s="86" t="s">
        <v>333</v>
      </c>
      <c r="N133" s="32" t="s">
        <v>339</v>
      </c>
      <c r="O133" s="32" t="s">
        <v>347</v>
      </c>
      <c r="P133" s="32" t="s">
        <v>349</v>
      </c>
      <c r="Q133" s="30" t="s">
        <v>129</v>
      </c>
      <c r="R133" s="89" t="s">
        <v>130</v>
      </c>
      <c r="S133" s="30" t="s">
        <v>131</v>
      </c>
      <c r="T133" s="30" t="s">
        <v>132</v>
      </c>
      <c r="U133" s="30" t="s">
        <v>133</v>
      </c>
      <c r="V133" s="30" t="s">
        <v>134</v>
      </c>
      <c r="W133" s="89" t="s">
        <v>135</v>
      </c>
      <c r="X133" s="30" t="s">
        <v>136</v>
      </c>
      <c r="Y133" s="30" t="s">
        <v>137</v>
      </c>
      <c r="Z133" s="30" t="s">
        <v>138</v>
      </c>
      <c r="AA133" s="30" t="s">
        <v>139</v>
      </c>
      <c r="AB133" s="89" t="s">
        <v>140</v>
      </c>
      <c r="AC133" s="30" t="s">
        <v>252</v>
      </c>
      <c r="AD133" s="30" t="s">
        <v>253</v>
      </c>
      <c r="AE133" s="30" t="s">
        <v>254</v>
      </c>
      <c r="AF133" s="30" t="s">
        <v>255</v>
      </c>
      <c r="AG133" s="89" t="s">
        <v>256</v>
      </c>
      <c r="AH133" s="30" t="s">
        <v>285</v>
      </c>
      <c r="AI133" s="30" t="s">
        <v>286</v>
      </c>
      <c r="AJ133" s="30" t="s">
        <v>287</v>
      </c>
      <c r="AK133" s="30" t="s">
        <v>288</v>
      </c>
      <c r="AL133" s="89" t="s">
        <v>289</v>
      </c>
      <c r="AM133" s="30" t="s">
        <v>356</v>
      </c>
      <c r="AN133" s="30" t="s">
        <v>357</v>
      </c>
      <c r="AO133" s="30" t="s">
        <v>358</v>
      </c>
      <c r="AP133" s="30" t="s">
        <v>359</v>
      </c>
      <c r="AQ133" s="89" t="s">
        <v>360</v>
      </c>
    </row>
    <row r="134" spans="1:43" s="20" customFormat="1" outlineLevel="1" x14ac:dyDescent="0.25">
      <c r="A134" s="269"/>
      <c r="B134" s="595" t="s">
        <v>303</v>
      </c>
      <c r="C134" s="596"/>
      <c r="D134" s="169">
        <v>11.6</v>
      </c>
      <c r="E134" s="169">
        <v>15.8</v>
      </c>
      <c r="F134" s="169">
        <v>23.3</v>
      </c>
      <c r="G134" s="169">
        <v>15.4</v>
      </c>
      <c r="H134" s="59">
        <f>SUM(D134:G134)</f>
        <v>66.100000000000009</v>
      </c>
      <c r="I134" s="169">
        <v>20.5</v>
      </c>
      <c r="J134" s="169">
        <v>12</v>
      </c>
      <c r="K134" s="169">
        <v>19.7</v>
      </c>
      <c r="L134" s="169">
        <v>13.9</v>
      </c>
      <c r="M134" s="59">
        <f>SUM(I134:L134)</f>
        <v>66.100000000000009</v>
      </c>
      <c r="N134" s="169">
        <v>20.5</v>
      </c>
      <c r="O134" s="169">
        <v>22.6</v>
      </c>
      <c r="P134" s="169">
        <v>23.8</v>
      </c>
      <c r="Q134" s="169">
        <f t="shared" ref="Q134" si="407">+L134*(1+Q135)</f>
        <v>15.290000000000001</v>
      </c>
      <c r="R134" s="59">
        <f>SUM(N134:Q134)</f>
        <v>82.190000000000012</v>
      </c>
      <c r="S134" s="169">
        <f>+N134*(1+S135)</f>
        <v>22.55</v>
      </c>
      <c r="T134" s="169">
        <f>+O134*(1+T135)</f>
        <v>24.860000000000003</v>
      </c>
      <c r="U134" s="169">
        <f>+P134*(1+U135)</f>
        <v>26.180000000000003</v>
      </c>
      <c r="V134" s="169">
        <f t="shared" ref="V134" si="408">+Q134*(1+V135)</f>
        <v>16.819000000000003</v>
      </c>
      <c r="W134" s="59">
        <f>SUM(S134:V134)</f>
        <v>90.409000000000006</v>
      </c>
      <c r="X134" s="169">
        <f>+S134*(1+X135)</f>
        <v>24.805000000000003</v>
      </c>
      <c r="Y134" s="169">
        <f>+T134*(1+Y135)</f>
        <v>27.346000000000007</v>
      </c>
      <c r="Z134" s="169">
        <f>+U134*(1+Z135)</f>
        <v>28.798000000000005</v>
      </c>
      <c r="AA134" s="169">
        <f t="shared" ref="AA134" si="409">+V134*(1+AA135)</f>
        <v>18.500900000000005</v>
      </c>
      <c r="AB134" s="59">
        <f>SUM(X134:AA134)</f>
        <v>99.449900000000014</v>
      </c>
      <c r="AC134" s="169">
        <f>+X134*(1+AC135)</f>
        <v>27.285500000000006</v>
      </c>
      <c r="AD134" s="169">
        <f>+Y134*(1+AD135)</f>
        <v>30.080600000000011</v>
      </c>
      <c r="AE134" s="169">
        <f>+Z134*(1+AE135)</f>
        <v>31.677800000000008</v>
      </c>
      <c r="AF134" s="169">
        <f t="shared" ref="AF134" si="410">+AA134*(1+AF135)</f>
        <v>20.350990000000007</v>
      </c>
      <c r="AG134" s="59">
        <f>SUM(AC134:AF134)</f>
        <v>109.39489000000003</v>
      </c>
      <c r="AH134" s="169">
        <f>+AC134*(1+AH135)</f>
        <v>30.014050000000008</v>
      </c>
      <c r="AI134" s="169">
        <f>+AD134*(1+AI135)</f>
        <v>33.088660000000012</v>
      </c>
      <c r="AJ134" s="169">
        <f>+AE134*(1+AJ135)</f>
        <v>34.845580000000012</v>
      </c>
      <c r="AK134" s="169">
        <f t="shared" ref="AK134" si="411">+AF134*(1+AK135)</f>
        <v>22.386089000000009</v>
      </c>
      <c r="AL134" s="59">
        <f>SUM(AH134:AK134)</f>
        <v>120.33437900000004</v>
      </c>
      <c r="AM134" s="169">
        <f>+AH134*(1+AM135)</f>
        <v>33.01545500000001</v>
      </c>
      <c r="AN134" s="169">
        <f>+AI134*(1+AN135)</f>
        <v>36.397526000000013</v>
      </c>
      <c r="AO134" s="169">
        <f>+AJ134*(1+AO135)</f>
        <v>38.330138000000019</v>
      </c>
      <c r="AP134" s="169">
        <f t="shared" ref="AP134" si="412">+AK134*(1+AP135)</f>
        <v>24.624697900000012</v>
      </c>
      <c r="AQ134" s="59">
        <f>SUM(AM134:AP134)</f>
        <v>132.36781690000007</v>
      </c>
    </row>
    <row r="135" spans="1:43" s="20" customFormat="1" outlineLevel="1" x14ac:dyDescent="0.25">
      <c r="A135" s="269"/>
      <c r="B135" s="78" t="s">
        <v>304</v>
      </c>
      <c r="C135" s="540"/>
      <c r="D135" s="56"/>
      <c r="E135" s="56"/>
      <c r="F135" s="56"/>
      <c r="G135" s="285"/>
      <c r="H135" s="318"/>
      <c r="I135" s="285">
        <f t="shared" ref="I135:J135" si="413">I134/D134-1</f>
        <v>0.76724137931034497</v>
      </c>
      <c r="J135" s="285">
        <f t="shared" si="413"/>
        <v>-0.24050632911392411</v>
      </c>
      <c r="K135" s="285">
        <f>K134/F134-1</f>
        <v>-0.15450643776824036</v>
      </c>
      <c r="L135" s="285">
        <f>L134/G134-1</f>
        <v>-9.740259740259738E-2</v>
      </c>
      <c r="M135" s="311">
        <f>M134/H134-1</f>
        <v>0</v>
      </c>
      <c r="N135" s="285">
        <f t="shared" ref="N135" si="414">N134/I134-1</f>
        <v>0</v>
      </c>
      <c r="O135" s="285">
        <v>0.1</v>
      </c>
      <c r="P135" s="285">
        <v>0.1</v>
      </c>
      <c r="Q135" s="64">
        <v>0.1</v>
      </c>
      <c r="R135" s="311">
        <f>R134/M134-1</f>
        <v>0.2434190620272314</v>
      </c>
      <c r="S135" s="64">
        <v>0.1</v>
      </c>
      <c r="T135" s="64">
        <v>0.1</v>
      </c>
      <c r="U135" s="64">
        <f>AVERAGE(T135,S135,Q135,P135)</f>
        <v>0.1</v>
      </c>
      <c r="V135" s="64">
        <f>AVERAGE(U135,T135,S135,Q135)</f>
        <v>0.1</v>
      </c>
      <c r="W135" s="311">
        <f>W134/R134-1</f>
        <v>9.9999999999999867E-2</v>
      </c>
      <c r="X135" s="64">
        <f>AVERAGE(V135,U135,T135,S135)</f>
        <v>0.1</v>
      </c>
      <c r="Y135" s="64">
        <f>AVERAGE(X135,V135,U135,T135)</f>
        <v>0.1</v>
      </c>
      <c r="Z135" s="64">
        <f>AVERAGE(Y135,X135,V135,U135)</f>
        <v>0.1</v>
      </c>
      <c r="AA135" s="64">
        <f>AVERAGE(Z135,Y135,X135,V135)</f>
        <v>0.1</v>
      </c>
      <c r="AB135" s="311">
        <f>AB134/W134-1</f>
        <v>0.10000000000000009</v>
      </c>
      <c r="AC135" s="64">
        <f>AVERAGE(AA135,Z135,Y135,X135)</f>
        <v>0.1</v>
      </c>
      <c r="AD135" s="64">
        <f>AVERAGE(AC135,AA135,Z135,Y135)</f>
        <v>0.1</v>
      </c>
      <c r="AE135" s="64">
        <f>AVERAGE(AD135,AC135,AA135,Z135)</f>
        <v>0.1</v>
      </c>
      <c r="AF135" s="64">
        <f>AVERAGE(AE135,AD135,AC135,AA135)</f>
        <v>0.1</v>
      </c>
      <c r="AG135" s="311">
        <f>AG134/AB134-1</f>
        <v>0.10000000000000009</v>
      </c>
      <c r="AH135" s="64">
        <f>AVERAGE(AF135,AE135,AD135,AC135)</f>
        <v>0.1</v>
      </c>
      <c r="AI135" s="64">
        <f>AVERAGE(AH135,AF135,AE135,AD135)</f>
        <v>0.1</v>
      </c>
      <c r="AJ135" s="64">
        <f>AVERAGE(AI135,AH135,AF135,AE135)</f>
        <v>0.1</v>
      </c>
      <c r="AK135" s="64">
        <f>AVERAGE(AJ135,AI135,AH135,AF135)</f>
        <v>0.1</v>
      </c>
      <c r="AL135" s="311">
        <f>AL134/AG134-1</f>
        <v>0.10000000000000009</v>
      </c>
      <c r="AM135" s="64">
        <f>AVERAGE(AK135,AJ135,AI135,AH135)</f>
        <v>0.1</v>
      </c>
      <c r="AN135" s="64">
        <f>AVERAGE(AM135,AK135,AJ135,AI135)</f>
        <v>0.1</v>
      </c>
      <c r="AO135" s="64">
        <f>AVERAGE(AN135,AM135,AK135,AJ135)</f>
        <v>0.1</v>
      </c>
      <c r="AP135" s="64">
        <f>AVERAGE(AO135,AN135,AM135,AK135)</f>
        <v>0.1</v>
      </c>
      <c r="AQ135" s="311">
        <f>AQ134/AL134-1</f>
        <v>0.10000000000000009</v>
      </c>
    </row>
    <row r="136" spans="1:43" outlineLevel="1" x14ac:dyDescent="0.25">
      <c r="A136" s="254"/>
      <c r="B136" s="605" t="s">
        <v>262</v>
      </c>
      <c r="C136" s="606"/>
      <c r="D136" s="169">
        <v>13.4</v>
      </c>
      <c r="E136" s="169">
        <v>15.9</v>
      </c>
      <c r="F136" s="169">
        <v>22.4</v>
      </c>
      <c r="G136" s="261">
        <v>15.5</v>
      </c>
      <c r="H136" s="450"/>
      <c r="I136" s="261">
        <v>20.7</v>
      </c>
      <c r="J136" s="261">
        <v>10.199999999999999</v>
      </c>
      <c r="K136" s="261">
        <v>20.8</v>
      </c>
      <c r="L136" s="261">
        <v>11.6</v>
      </c>
      <c r="M136" s="59">
        <f>SUM(I136:L136)</f>
        <v>63.300000000000004</v>
      </c>
      <c r="N136" s="261">
        <v>19</v>
      </c>
      <c r="O136" s="261">
        <v>19.399999999999999</v>
      </c>
      <c r="P136" s="261">
        <v>19.8</v>
      </c>
      <c r="Q136" s="232">
        <f>AVERAGE(P136,O136,N136,L136)</f>
        <v>17.45</v>
      </c>
      <c r="R136" s="59">
        <f>SUM(N136:Q136)</f>
        <v>75.650000000000006</v>
      </c>
      <c r="S136" s="232">
        <f>AVERAGE(Q136,P136,O136,N136)</f>
        <v>18.912500000000001</v>
      </c>
      <c r="T136" s="232">
        <f>AVERAGE(S136,Q136,P136,O136)</f>
        <v>18.890625</v>
      </c>
      <c r="U136" s="232">
        <f>AVERAGE(T136,S136,Q136,P136)</f>
        <v>18.763281249999999</v>
      </c>
      <c r="V136" s="232">
        <f>AVERAGE(U136,T136,S136,Q136)</f>
        <v>18.504101562500001</v>
      </c>
      <c r="W136" s="59">
        <f>SUM(S136:V136)</f>
        <v>75.070507812499997</v>
      </c>
      <c r="X136" s="232">
        <f>AVERAGE(V136,U136,T136,S136)</f>
        <v>18.767626953125003</v>
      </c>
      <c r="Y136" s="232">
        <f>AVERAGE(X136,V136,U136,T136)</f>
        <v>18.731408691406251</v>
      </c>
      <c r="Z136" s="232">
        <f>AVERAGE(Y136,X136,V136,U136)</f>
        <v>18.691604614257813</v>
      </c>
      <c r="AA136" s="232">
        <f>AVERAGE(Z136,Y136,X136,V136)</f>
        <v>18.673685455322268</v>
      </c>
      <c r="AB136" s="59">
        <f>SUM(X136:AA136)</f>
        <v>74.864325714111331</v>
      </c>
      <c r="AC136" s="232">
        <f>AVERAGE(AA136,Z136,Y136,X136)</f>
        <v>18.716081428527836</v>
      </c>
      <c r="AD136" s="232">
        <f>AVERAGE(AC136,AA136,Z136,Y136)</f>
        <v>18.703195047378543</v>
      </c>
      <c r="AE136" s="232">
        <f>AVERAGE(AD136,AC136,AA136,Z136)</f>
        <v>18.696141636371614</v>
      </c>
      <c r="AF136" s="232">
        <f>AVERAGE(AE136,AD136,AC136,AA136)</f>
        <v>18.697275891900066</v>
      </c>
      <c r="AG136" s="59">
        <f>SUM(AC136:AF136)</f>
        <v>74.812694004178056</v>
      </c>
      <c r="AH136" s="232">
        <f>AVERAGE(AF136,AE136,AD136,AC136)</f>
        <v>18.703173501044517</v>
      </c>
      <c r="AI136" s="232">
        <f>AVERAGE(AH136,AF136,AE136,AD136)</f>
        <v>18.699946519173686</v>
      </c>
      <c r="AJ136" s="232">
        <f>AVERAGE(AI136,AH136,AF136,AE136)</f>
        <v>18.69913438712247</v>
      </c>
      <c r="AK136" s="232">
        <f>AVERAGE(AJ136,AI136,AH136,AF136)</f>
        <v>18.699882574810186</v>
      </c>
      <c r="AL136" s="59">
        <f>SUM(AH136:AK136)</f>
        <v>74.802136982150856</v>
      </c>
      <c r="AM136" s="232">
        <f>AVERAGE(AK136,AJ136,AI136,AH136)</f>
        <v>18.700534245537717</v>
      </c>
      <c r="AN136" s="232">
        <f>AVERAGE(AM136,AK136,AJ136,AI136)</f>
        <v>18.699874431661016</v>
      </c>
      <c r="AO136" s="232">
        <f>AVERAGE(AN136,AM136,AK136,AJ136)</f>
        <v>18.699856409782846</v>
      </c>
      <c r="AP136" s="232">
        <f>AVERAGE(AO136,AN136,AM136,AK136)</f>
        <v>18.700036915447942</v>
      </c>
      <c r="AQ136" s="59">
        <f>SUM(AM136:AP136)</f>
        <v>74.800302002429518</v>
      </c>
    </row>
    <row r="137" spans="1:43" outlineLevel="1" x14ac:dyDescent="0.25">
      <c r="A137" s="254"/>
      <c r="B137" s="550" t="s">
        <v>142</v>
      </c>
      <c r="C137" s="36"/>
      <c r="D137" s="169">
        <v>3.2</v>
      </c>
      <c r="E137" s="169">
        <v>4.3</v>
      </c>
      <c r="F137" s="169">
        <v>5.8</v>
      </c>
      <c r="G137" s="261">
        <f>5.2+0.1</f>
        <v>5.3</v>
      </c>
      <c r="H137" s="450"/>
      <c r="I137" s="261">
        <v>2.8</v>
      </c>
      <c r="J137" s="261">
        <v>3.7</v>
      </c>
      <c r="K137" s="261">
        <v>4</v>
      </c>
      <c r="L137" s="261">
        <v>3.4</v>
      </c>
      <c r="M137" s="59">
        <f t="shared" ref="M137:M140" si="415">SUM(I137:L137)</f>
        <v>13.9</v>
      </c>
      <c r="N137" s="261">
        <v>3.6</v>
      </c>
      <c r="O137" s="261">
        <v>3.4</v>
      </c>
      <c r="P137" s="261">
        <v>3.3</v>
      </c>
      <c r="Q137" s="232">
        <f t="shared" ref="Q137" si="416">AVERAGE(P137,O137,N137,L137)</f>
        <v>3.4249999999999998</v>
      </c>
      <c r="R137" s="59">
        <f t="shared" ref="R137:R140" si="417">SUM(N137:Q137)</f>
        <v>13.725000000000001</v>
      </c>
      <c r="S137" s="232">
        <f t="shared" ref="S137" si="418">AVERAGE(Q137,P137,O137,N137)</f>
        <v>3.4312499999999999</v>
      </c>
      <c r="T137" s="232">
        <f t="shared" ref="T137" si="419">AVERAGE(S137,Q137,P137,O137)</f>
        <v>3.3890625000000001</v>
      </c>
      <c r="U137" s="232">
        <f t="shared" ref="U137" si="420">AVERAGE(T137,S137,Q137,P137)</f>
        <v>3.3863281250000004</v>
      </c>
      <c r="V137" s="232">
        <f t="shared" ref="V137" si="421">AVERAGE(U137,T137,S137,Q137)</f>
        <v>3.4079101562499998</v>
      </c>
      <c r="W137" s="59">
        <f t="shared" ref="W137:W140" si="422">SUM(S137:V137)</f>
        <v>13.614550781249999</v>
      </c>
      <c r="X137" s="232">
        <f t="shared" ref="X137" si="423">AVERAGE(V137,U137,T137,S137)</f>
        <v>3.4036376953125003</v>
      </c>
      <c r="Y137" s="232">
        <f t="shared" ref="Y137" si="424">AVERAGE(X137,V137,U137,T137)</f>
        <v>3.3967346191406249</v>
      </c>
      <c r="Z137" s="232">
        <f t="shared" ref="Z137" si="425">AVERAGE(Y137,X137,V137,U137)</f>
        <v>3.3986526489257813</v>
      </c>
      <c r="AA137" s="232">
        <f t="shared" ref="AA137" si="426">AVERAGE(Z137,Y137,X137,V137)</f>
        <v>3.4017337799072269</v>
      </c>
      <c r="AB137" s="59">
        <f t="shared" ref="AB137:AB140" si="427">SUM(X137:AA137)</f>
        <v>13.600758743286134</v>
      </c>
      <c r="AC137" s="232">
        <f t="shared" ref="AC137" si="428">AVERAGE(AA137,Z137,Y137,X137)</f>
        <v>3.4001896858215335</v>
      </c>
      <c r="AD137" s="232">
        <f t="shared" ref="AD137" si="429">AVERAGE(AC137,AA137,Z137,Y137)</f>
        <v>3.3993276834487918</v>
      </c>
      <c r="AE137" s="232">
        <f t="shared" ref="AE137" si="430">AVERAGE(AD137,AC137,AA137,Z137)</f>
        <v>3.399975949525833</v>
      </c>
      <c r="AF137" s="232">
        <f t="shared" ref="AF137" si="431">AVERAGE(AE137,AD137,AC137,AA137)</f>
        <v>3.4003067746758462</v>
      </c>
      <c r="AG137" s="59">
        <f t="shared" ref="AG137:AG140" si="432">SUM(AC137:AF137)</f>
        <v>13.599800093472004</v>
      </c>
      <c r="AH137" s="232">
        <f t="shared" ref="AH137" si="433">AVERAGE(AF137,AE137,AD137,AC137)</f>
        <v>3.3999500233680013</v>
      </c>
      <c r="AI137" s="232">
        <f t="shared" ref="AI137" si="434">AVERAGE(AH137,AF137,AE137,AD137)</f>
        <v>3.3998901077546182</v>
      </c>
      <c r="AJ137" s="232">
        <f t="shared" ref="AJ137" si="435">AVERAGE(AI137,AH137,AF137,AE137)</f>
        <v>3.4000307138310748</v>
      </c>
      <c r="AK137" s="232">
        <f t="shared" ref="AK137" si="436">AVERAGE(AJ137,AI137,AH137,AF137)</f>
        <v>3.4000444049073848</v>
      </c>
      <c r="AL137" s="59">
        <f t="shared" ref="AL137:AL140" si="437">SUM(AH137:AK137)</f>
        <v>13.59991524986108</v>
      </c>
      <c r="AM137" s="232">
        <f t="shared" ref="AM137" si="438">AVERAGE(AK137,AJ137,AI137,AH137)</f>
        <v>3.3999788124652697</v>
      </c>
      <c r="AN137" s="232">
        <f t="shared" ref="AN137" si="439">AVERAGE(AM137,AK137,AJ137,AI137)</f>
        <v>3.3999860097395871</v>
      </c>
      <c r="AO137" s="232">
        <f t="shared" ref="AO137" si="440">AVERAGE(AN137,AM137,AK137,AJ137)</f>
        <v>3.4000099852358292</v>
      </c>
      <c r="AP137" s="232">
        <f t="shared" ref="AP137" si="441">AVERAGE(AO137,AN137,AM137,AK137)</f>
        <v>3.4000048030870178</v>
      </c>
      <c r="AQ137" s="59">
        <f t="shared" ref="AQ137:AQ140" si="442">SUM(AM137:AP137)</f>
        <v>13.599979610527704</v>
      </c>
    </row>
    <row r="138" spans="1:43" outlineLevel="1" x14ac:dyDescent="0.25">
      <c r="A138" s="254"/>
      <c r="B138" s="550" t="s">
        <v>143</v>
      </c>
      <c r="C138" s="36"/>
      <c r="D138" s="205">
        <v>39.5</v>
      </c>
      <c r="E138" s="205">
        <v>40.5</v>
      </c>
      <c r="F138" s="205">
        <v>39.6</v>
      </c>
      <c r="G138" s="287">
        <v>37.299999999999997</v>
      </c>
      <c r="H138" s="318"/>
      <c r="I138" s="287">
        <v>34.9</v>
      </c>
      <c r="J138" s="287">
        <v>34.5</v>
      </c>
      <c r="K138" s="287">
        <v>40.9</v>
      </c>
      <c r="L138" s="287">
        <v>39.5</v>
      </c>
      <c r="M138" s="59">
        <f t="shared" si="415"/>
        <v>149.80000000000001</v>
      </c>
      <c r="N138" s="287">
        <v>37</v>
      </c>
      <c r="O138" s="287">
        <v>37</v>
      </c>
      <c r="P138" s="287">
        <v>35.5</v>
      </c>
      <c r="Q138" s="205">
        <f>(P138/(P75+P110+P125+P138))*Q245</f>
        <v>37.964604992331871</v>
      </c>
      <c r="R138" s="59">
        <f t="shared" si="417"/>
        <v>147.46460499233189</v>
      </c>
      <c r="S138" s="205">
        <f>(Q138/(Q75+Q110+Q125+Q138))*S245</f>
        <v>40.213735534171988</v>
      </c>
      <c r="T138" s="205">
        <f>(S138/(S75+S110+S125+S138))*T245</f>
        <v>40.660854700485153</v>
      </c>
      <c r="U138" s="205">
        <f>(T138/(T75+T110+T125+T138))*U245</f>
        <v>40.946594797846764</v>
      </c>
      <c r="V138" s="205">
        <f>(U138/(U75+U110+U125+U138))*V245</f>
        <v>41.754364096931226</v>
      </c>
      <c r="W138" s="59">
        <f t="shared" si="422"/>
        <v>163.57554912943513</v>
      </c>
      <c r="X138" s="205">
        <f>(V138/(V75+V110+V125+V138))*X245</f>
        <v>42.343400197552818</v>
      </c>
      <c r="Y138" s="205">
        <f>(X138/(X75+X110+X125+X138))*Y245</f>
        <v>42.720883585087499</v>
      </c>
      <c r="Z138" s="205">
        <f>(Y138/(Y75+Y110+Y125+Y138))*Z245</f>
        <v>43.032956871925627</v>
      </c>
      <c r="AA138" s="205">
        <f>(Z138/(Z75+Z110+Z125+Z138))*AA245</f>
        <v>43.634173320612987</v>
      </c>
      <c r="AB138" s="59">
        <f t="shared" si="427"/>
        <v>171.73141397517895</v>
      </c>
      <c r="AC138" s="205">
        <f>(AA138/(AA75+AA110+AA125+AA138))*AC245</f>
        <v>44.075937774108816</v>
      </c>
      <c r="AD138" s="205">
        <f>(AC138/(AC75+AC110+AC125+AC138))*AD245</f>
        <v>44.325246071828481</v>
      </c>
      <c r="AE138" s="205">
        <f>(AD138/(AD75+AD110+AD125+AD138))*AE245</f>
        <v>44.514619577789382</v>
      </c>
      <c r="AF138" s="205">
        <f>(AE138/(AE75+AE110+AE125+AE138))*AF245</f>
        <v>44.965132591755633</v>
      </c>
      <c r="AG138" s="59">
        <f t="shared" si="432"/>
        <v>177.88093601548232</v>
      </c>
      <c r="AH138" s="205">
        <f>(AF138/(AF75+AF110+AF125+AF138))*AH245</f>
        <v>45.455325283869428</v>
      </c>
      <c r="AI138" s="205">
        <f>(AH138/(AH75+AH110+AH125+AH138))*AI245</f>
        <v>45.88371602110017</v>
      </c>
      <c r="AJ138" s="205">
        <f>(AI138/(AI75+AI110+AI125+AI138))*AJ245</f>
        <v>46.232597565850106</v>
      </c>
      <c r="AK138" s="205">
        <f>(AJ138/(AJ75+AJ110+AJ125+AJ138))*AK245</f>
        <v>46.842487455626312</v>
      </c>
      <c r="AL138" s="59">
        <f t="shared" si="437"/>
        <v>184.41412632644602</v>
      </c>
      <c r="AM138" s="205">
        <f>(AK138/(AK75+AK110+AK125+AK138))*AM245</f>
        <v>47.457746090993375</v>
      </c>
      <c r="AN138" s="205">
        <f>(AM138/(AM75+AM110+AM125+AM138))*AN245</f>
        <v>48.027959817082049</v>
      </c>
      <c r="AO138" s="205">
        <f>(AN138/(AN75+AN110+AN125+AN138))*AO245</f>
        <v>48.500770087894551</v>
      </c>
      <c r="AP138" s="205">
        <f>(AO138/(AO75+AO110+AO125+AO138))*AP245</f>
        <v>49.241204076124276</v>
      </c>
      <c r="AQ138" s="59">
        <f t="shared" si="442"/>
        <v>193.22768007209424</v>
      </c>
    </row>
    <row r="139" spans="1:43" outlineLevel="1" x14ac:dyDescent="0.25">
      <c r="A139" s="254"/>
      <c r="B139" s="550" t="s">
        <v>144</v>
      </c>
      <c r="C139" s="36"/>
      <c r="D139" s="169">
        <v>300.39999999999998</v>
      </c>
      <c r="E139" s="169">
        <v>303.89999999999998</v>
      </c>
      <c r="F139" s="169">
        <v>299</v>
      </c>
      <c r="G139" s="261">
        <v>267.39999999999998</v>
      </c>
      <c r="H139" s="450"/>
      <c r="I139" s="261">
        <v>292.2</v>
      </c>
      <c r="J139" s="261">
        <v>271.60000000000002</v>
      </c>
      <c r="K139" s="261">
        <v>269.10000000000002</v>
      </c>
      <c r="L139" s="261">
        <v>288.8</v>
      </c>
      <c r="M139" s="59">
        <f t="shared" si="415"/>
        <v>1121.7</v>
      </c>
      <c r="N139" s="261">
        <v>316.5</v>
      </c>
      <c r="O139" s="261">
        <v>304.60000000000002</v>
      </c>
      <c r="P139" s="261">
        <v>326.5</v>
      </c>
      <c r="Q139" s="232">
        <f>AVERAGE(P139,O139,N139,L139)-20</f>
        <v>289.10000000000002</v>
      </c>
      <c r="R139" s="59">
        <f t="shared" si="417"/>
        <v>1236.7</v>
      </c>
      <c r="S139" s="232">
        <f t="shared" ref="S139:S140" si="443">AVERAGE(Q139,P139,O139,N139)</f>
        <v>309.17500000000001</v>
      </c>
      <c r="T139" s="232">
        <f t="shared" ref="T139:T140" si="444">AVERAGE(S139,Q139,P139,O139)</f>
        <v>307.34375</v>
      </c>
      <c r="U139" s="232">
        <f t="shared" ref="U139:U140" si="445">AVERAGE(T139,S139,Q139,P139)</f>
        <v>308.02968750000002</v>
      </c>
      <c r="V139" s="232">
        <f t="shared" ref="V139:V140" si="446">AVERAGE(U139,T139,S139,Q139)</f>
        <v>303.412109375</v>
      </c>
      <c r="W139" s="59">
        <f t="shared" si="422"/>
        <v>1227.9605468750001</v>
      </c>
      <c r="X139" s="232">
        <f t="shared" ref="X139:X140" si="447">AVERAGE(V139,U139,T139,S139)</f>
        <v>306.99013671875002</v>
      </c>
      <c r="Y139" s="232">
        <f t="shared" ref="Y139:Y140" si="448">AVERAGE(X139,V139,U139,T139)</f>
        <v>306.44392089843751</v>
      </c>
      <c r="Z139" s="232">
        <f t="shared" ref="Z139:Z140" si="449">AVERAGE(Y139,X139,V139,U139)</f>
        <v>306.21896362304688</v>
      </c>
      <c r="AA139" s="232">
        <f t="shared" ref="AA139:AA140" si="450">AVERAGE(Z139,Y139,X139,V139)</f>
        <v>305.76628265380862</v>
      </c>
      <c r="AB139" s="59">
        <f t="shared" si="427"/>
        <v>1225.419303894043</v>
      </c>
      <c r="AC139" s="232">
        <f t="shared" ref="AC139:AC140" si="451">AVERAGE(AA139,Z139,Y139,X139)</f>
        <v>306.35482597351074</v>
      </c>
      <c r="AD139" s="232">
        <f t="shared" ref="AD139:AD140" si="452">AVERAGE(AC139,AA139,Z139,Y139)</f>
        <v>306.19599828720095</v>
      </c>
      <c r="AE139" s="232">
        <f t="shared" ref="AE139:AE140" si="453">AVERAGE(AD139,AC139,AA139,Z139)</f>
        <v>306.1340176343918</v>
      </c>
      <c r="AF139" s="232">
        <f t="shared" ref="AF139:AF140" si="454">AVERAGE(AE139,AD139,AC139,AA139)</f>
        <v>306.11278113722801</v>
      </c>
      <c r="AG139" s="59">
        <f t="shared" si="432"/>
        <v>1224.7976230323316</v>
      </c>
      <c r="AH139" s="232">
        <f t="shared" ref="AH139:AH140" si="455">AVERAGE(AF139,AE139,AD139,AC139)</f>
        <v>306.19940575808289</v>
      </c>
      <c r="AI139" s="232">
        <f t="shared" ref="AI139:AI140" si="456">AVERAGE(AH139,AF139,AE139,AD139)</f>
        <v>306.1605507042259</v>
      </c>
      <c r="AJ139" s="232">
        <f t="shared" ref="AJ139:AJ140" si="457">AVERAGE(AI139,AH139,AF139,AE139)</f>
        <v>306.15168880848216</v>
      </c>
      <c r="AK139" s="232">
        <f t="shared" ref="AK139:AK140" si="458">AVERAGE(AJ139,AI139,AH139,AF139)</f>
        <v>306.15610660200474</v>
      </c>
      <c r="AL139" s="59">
        <f t="shared" si="437"/>
        <v>1224.6677518727956</v>
      </c>
      <c r="AM139" s="232">
        <f t="shared" ref="AM139:AM140" si="459">AVERAGE(AK139,AJ139,AI139,AH139)</f>
        <v>306.16693796819891</v>
      </c>
      <c r="AN139" s="232">
        <f t="shared" ref="AN139:AN140" si="460">AVERAGE(AM139,AK139,AJ139,AI139)</f>
        <v>306.15882102072794</v>
      </c>
      <c r="AO139" s="232">
        <f t="shared" ref="AO139:AO140" si="461">AVERAGE(AN139,AM139,AK139,AJ139)</f>
        <v>306.15838859985342</v>
      </c>
      <c r="AP139" s="232">
        <f t="shared" ref="AP139:AP140" si="462">AVERAGE(AO139,AN139,AM139,AK139)</f>
        <v>306.16006354769627</v>
      </c>
      <c r="AQ139" s="59">
        <f t="shared" si="442"/>
        <v>1224.6442111364765</v>
      </c>
    </row>
    <row r="140" spans="1:43" ht="17.25" outlineLevel="1" x14ac:dyDescent="0.4">
      <c r="A140" s="254"/>
      <c r="B140" s="550" t="s">
        <v>152</v>
      </c>
      <c r="C140" s="36"/>
      <c r="D140" s="288">
        <v>13.9</v>
      </c>
      <c r="E140" s="288">
        <v>0.6</v>
      </c>
      <c r="F140" s="288">
        <v>6</v>
      </c>
      <c r="G140" s="288">
        <v>-0.9</v>
      </c>
      <c r="H140" s="319"/>
      <c r="I140" s="288">
        <v>0.3</v>
      </c>
      <c r="J140" s="288">
        <v>0</v>
      </c>
      <c r="K140" s="288">
        <v>22.1</v>
      </c>
      <c r="L140" s="288">
        <v>0</v>
      </c>
      <c r="M140" s="481">
        <f t="shared" si="415"/>
        <v>22.400000000000002</v>
      </c>
      <c r="N140" s="288">
        <v>0</v>
      </c>
      <c r="O140" s="288">
        <v>0</v>
      </c>
      <c r="P140" s="288">
        <v>0</v>
      </c>
      <c r="Q140" s="292">
        <f t="shared" ref="Q140" si="463">AVERAGE(P140,O140,N140,L140)</f>
        <v>0</v>
      </c>
      <c r="R140" s="481">
        <f t="shared" si="417"/>
        <v>0</v>
      </c>
      <c r="S140" s="292">
        <f t="shared" si="443"/>
        <v>0</v>
      </c>
      <c r="T140" s="292">
        <f t="shared" si="444"/>
        <v>0</v>
      </c>
      <c r="U140" s="292">
        <f t="shared" si="445"/>
        <v>0</v>
      </c>
      <c r="V140" s="292">
        <f t="shared" si="446"/>
        <v>0</v>
      </c>
      <c r="W140" s="481">
        <f t="shared" si="422"/>
        <v>0</v>
      </c>
      <c r="X140" s="292">
        <f t="shared" si="447"/>
        <v>0</v>
      </c>
      <c r="Y140" s="292">
        <f t="shared" si="448"/>
        <v>0</v>
      </c>
      <c r="Z140" s="292">
        <f t="shared" si="449"/>
        <v>0</v>
      </c>
      <c r="AA140" s="292">
        <f t="shared" si="450"/>
        <v>0</v>
      </c>
      <c r="AB140" s="481">
        <f t="shared" si="427"/>
        <v>0</v>
      </c>
      <c r="AC140" s="292">
        <f t="shared" si="451"/>
        <v>0</v>
      </c>
      <c r="AD140" s="292">
        <f t="shared" si="452"/>
        <v>0</v>
      </c>
      <c r="AE140" s="292">
        <f t="shared" si="453"/>
        <v>0</v>
      </c>
      <c r="AF140" s="292">
        <f t="shared" si="454"/>
        <v>0</v>
      </c>
      <c r="AG140" s="481">
        <f t="shared" si="432"/>
        <v>0</v>
      </c>
      <c r="AH140" s="292">
        <f t="shared" si="455"/>
        <v>0</v>
      </c>
      <c r="AI140" s="292">
        <f t="shared" si="456"/>
        <v>0</v>
      </c>
      <c r="AJ140" s="292">
        <f t="shared" si="457"/>
        <v>0</v>
      </c>
      <c r="AK140" s="292">
        <f t="shared" si="458"/>
        <v>0</v>
      </c>
      <c r="AL140" s="481">
        <f t="shared" si="437"/>
        <v>0</v>
      </c>
      <c r="AM140" s="292">
        <f t="shared" si="459"/>
        <v>0</v>
      </c>
      <c r="AN140" s="292">
        <f t="shared" si="460"/>
        <v>0</v>
      </c>
      <c r="AO140" s="292">
        <f t="shared" si="461"/>
        <v>0</v>
      </c>
      <c r="AP140" s="292">
        <f t="shared" si="462"/>
        <v>0</v>
      </c>
      <c r="AQ140" s="481">
        <f t="shared" si="442"/>
        <v>0</v>
      </c>
    </row>
    <row r="141" spans="1:43" outlineLevel="1" x14ac:dyDescent="0.25">
      <c r="A141" s="254"/>
      <c r="B141" s="167" t="s">
        <v>178</v>
      </c>
      <c r="C141" s="39"/>
      <c r="D141" s="259">
        <f>SUM(D136:D140)</f>
        <v>370.4</v>
      </c>
      <c r="E141" s="259">
        <f>SUM(E136:E140)</f>
        <v>365.2</v>
      </c>
      <c r="F141" s="259">
        <f>SUM(F136:F140)</f>
        <v>372.8</v>
      </c>
      <c r="G141" s="259">
        <f>SUM(G136:G140)</f>
        <v>324.60000000000002</v>
      </c>
      <c r="H141" s="318"/>
      <c r="I141" s="259">
        <f t="shared" ref="I141:AQ141" si="464">SUM(I136:I140)</f>
        <v>350.9</v>
      </c>
      <c r="J141" s="259">
        <f t="shared" si="464"/>
        <v>320</v>
      </c>
      <c r="K141" s="259">
        <f t="shared" si="464"/>
        <v>356.90000000000003</v>
      </c>
      <c r="L141" s="171">
        <f t="shared" si="464"/>
        <v>343.3</v>
      </c>
      <c r="M141" s="172">
        <f t="shared" si="464"/>
        <v>1371.1000000000001</v>
      </c>
      <c r="N141" s="171">
        <f t="shared" si="464"/>
        <v>376.1</v>
      </c>
      <c r="O141" s="171">
        <f t="shared" si="464"/>
        <v>364.40000000000003</v>
      </c>
      <c r="P141" s="171">
        <f t="shared" si="464"/>
        <v>385.1</v>
      </c>
      <c r="Q141" s="171">
        <f t="shared" si="464"/>
        <v>347.93960499233191</v>
      </c>
      <c r="R141" s="172">
        <f t="shared" si="464"/>
        <v>1473.539604992332</v>
      </c>
      <c r="S141" s="171">
        <f t="shared" si="464"/>
        <v>371.73248553417199</v>
      </c>
      <c r="T141" s="171">
        <f t="shared" si="464"/>
        <v>370.28429220048514</v>
      </c>
      <c r="U141" s="171">
        <f t="shared" si="464"/>
        <v>371.12589167284676</v>
      </c>
      <c r="V141" s="171">
        <f t="shared" si="464"/>
        <v>367.07848519068125</v>
      </c>
      <c r="W141" s="172">
        <f t="shared" si="464"/>
        <v>1480.2211545981852</v>
      </c>
      <c r="X141" s="171">
        <f t="shared" si="464"/>
        <v>371.50480156474032</v>
      </c>
      <c r="Y141" s="171">
        <f t="shared" si="464"/>
        <v>371.29294779407189</v>
      </c>
      <c r="Z141" s="171">
        <f t="shared" si="464"/>
        <v>371.34217775815608</v>
      </c>
      <c r="AA141" s="171">
        <f t="shared" si="464"/>
        <v>371.47587520965112</v>
      </c>
      <c r="AB141" s="172">
        <f t="shared" si="464"/>
        <v>1485.6158023266194</v>
      </c>
      <c r="AC141" s="171">
        <f t="shared" si="464"/>
        <v>372.54703486196894</v>
      </c>
      <c r="AD141" s="171">
        <f t="shared" si="464"/>
        <v>372.62376708985676</v>
      </c>
      <c r="AE141" s="171">
        <f t="shared" si="464"/>
        <v>372.74475479807859</v>
      </c>
      <c r="AF141" s="171">
        <f t="shared" si="464"/>
        <v>373.17549639555955</v>
      </c>
      <c r="AG141" s="172">
        <f t="shared" si="464"/>
        <v>1491.091053145464</v>
      </c>
      <c r="AH141" s="171">
        <f t="shared" si="464"/>
        <v>373.75785456636481</v>
      </c>
      <c r="AI141" s="171">
        <f t="shared" si="464"/>
        <v>374.14410335225438</v>
      </c>
      <c r="AJ141" s="171">
        <f t="shared" si="464"/>
        <v>374.48345147528585</v>
      </c>
      <c r="AK141" s="171">
        <f t="shared" si="464"/>
        <v>375.09852103734863</v>
      </c>
      <c r="AL141" s="172">
        <f t="shared" si="464"/>
        <v>1497.4839304312536</v>
      </c>
      <c r="AM141" s="171">
        <f t="shared" si="464"/>
        <v>375.72519711719531</v>
      </c>
      <c r="AN141" s="171">
        <f t="shared" si="464"/>
        <v>376.28664127921058</v>
      </c>
      <c r="AO141" s="171">
        <f t="shared" si="464"/>
        <v>376.75902508276664</v>
      </c>
      <c r="AP141" s="171">
        <f t="shared" si="464"/>
        <v>377.50130934235551</v>
      </c>
      <c r="AQ141" s="172">
        <f t="shared" si="464"/>
        <v>1506.2721728215279</v>
      </c>
    </row>
    <row r="142" spans="1:43" outlineLevel="1" x14ac:dyDescent="0.25">
      <c r="A142" s="254"/>
      <c r="B142" s="167" t="s">
        <v>179</v>
      </c>
      <c r="C142" s="144"/>
      <c r="D142" s="365">
        <f>D134-D141</f>
        <v>-358.79999999999995</v>
      </c>
      <c r="E142" s="365">
        <f>E134-E141</f>
        <v>-349.4</v>
      </c>
      <c r="F142" s="365">
        <f>F134-F141</f>
        <v>-349.5</v>
      </c>
      <c r="G142" s="365">
        <f>G134-G141</f>
        <v>-309.20000000000005</v>
      </c>
      <c r="H142" s="367"/>
      <c r="I142" s="365">
        <f t="shared" ref="I142:AQ142" si="465">I134-I141</f>
        <v>-330.4</v>
      </c>
      <c r="J142" s="365">
        <f t="shared" si="465"/>
        <v>-308</v>
      </c>
      <c r="K142" s="365">
        <f t="shared" si="465"/>
        <v>-337.20000000000005</v>
      </c>
      <c r="L142" s="207">
        <f t="shared" si="465"/>
        <v>-329.40000000000003</v>
      </c>
      <c r="M142" s="482">
        <f t="shared" si="465"/>
        <v>-1305.0000000000002</v>
      </c>
      <c r="N142" s="207">
        <f t="shared" si="465"/>
        <v>-355.6</v>
      </c>
      <c r="O142" s="207">
        <f t="shared" si="465"/>
        <v>-341.8</v>
      </c>
      <c r="P142" s="207">
        <f t="shared" si="465"/>
        <v>-361.3</v>
      </c>
      <c r="Q142" s="207">
        <f t="shared" si="465"/>
        <v>-332.64960499233189</v>
      </c>
      <c r="R142" s="482">
        <f t="shared" si="465"/>
        <v>-1391.3496049923319</v>
      </c>
      <c r="S142" s="207">
        <f t="shared" si="465"/>
        <v>-349.18248553417197</v>
      </c>
      <c r="T142" s="207">
        <f t="shared" si="465"/>
        <v>-345.42429220048513</v>
      </c>
      <c r="U142" s="207">
        <f t="shared" si="465"/>
        <v>-344.94589167284676</v>
      </c>
      <c r="V142" s="207">
        <f t="shared" si="465"/>
        <v>-350.25948519068123</v>
      </c>
      <c r="W142" s="482">
        <f t="shared" si="465"/>
        <v>-1389.8121545981851</v>
      </c>
      <c r="X142" s="207">
        <f t="shared" si="465"/>
        <v>-346.69980156474031</v>
      </c>
      <c r="Y142" s="207">
        <f t="shared" si="465"/>
        <v>-343.94694779407189</v>
      </c>
      <c r="Z142" s="207">
        <f t="shared" si="465"/>
        <v>-342.54417775815608</v>
      </c>
      <c r="AA142" s="207">
        <f t="shared" si="465"/>
        <v>-352.97497520965112</v>
      </c>
      <c r="AB142" s="482">
        <f t="shared" si="465"/>
        <v>-1386.1659023266193</v>
      </c>
      <c r="AC142" s="207">
        <f t="shared" si="465"/>
        <v>-345.26153486196893</v>
      </c>
      <c r="AD142" s="207">
        <f t="shared" si="465"/>
        <v>-342.54316708985675</v>
      </c>
      <c r="AE142" s="207">
        <f t="shared" si="465"/>
        <v>-341.0669547980786</v>
      </c>
      <c r="AF142" s="207">
        <f t="shared" si="465"/>
        <v>-352.82450639555952</v>
      </c>
      <c r="AG142" s="482">
        <f t="shared" si="465"/>
        <v>-1381.696163145464</v>
      </c>
      <c r="AH142" s="207">
        <f t="shared" si="465"/>
        <v>-343.74380456636482</v>
      </c>
      <c r="AI142" s="207">
        <f t="shared" si="465"/>
        <v>-341.05544335225437</v>
      </c>
      <c r="AJ142" s="207">
        <f t="shared" si="465"/>
        <v>-339.63787147528581</v>
      </c>
      <c r="AK142" s="207">
        <f t="shared" si="465"/>
        <v>-352.71243203734861</v>
      </c>
      <c r="AL142" s="482">
        <f t="shared" si="465"/>
        <v>-1377.1495514312535</v>
      </c>
      <c r="AM142" s="207">
        <f t="shared" si="465"/>
        <v>-342.70974211719528</v>
      </c>
      <c r="AN142" s="207">
        <f t="shared" si="465"/>
        <v>-339.88911527921056</v>
      </c>
      <c r="AO142" s="207">
        <f t="shared" si="465"/>
        <v>-338.42888708276661</v>
      </c>
      <c r="AP142" s="207">
        <f t="shared" si="465"/>
        <v>-352.87661144235551</v>
      </c>
      <c r="AQ142" s="482">
        <f t="shared" si="465"/>
        <v>-1373.9043559215279</v>
      </c>
    </row>
    <row r="143" spans="1:43" ht="18" x14ac:dyDescent="0.4">
      <c r="A143" s="254"/>
      <c r="B143" s="565" t="s">
        <v>99</v>
      </c>
      <c r="C143" s="566"/>
      <c r="D143" s="32" t="s">
        <v>119</v>
      </c>
      <c r="E143" s="32" t="s">
        <v>243</v>
      </c>
      <c r="F143" s="32" t="s">
        <v>247</v>
      </c>
      <c r="G143" s="32" t="s">
        <v>257</v>
      </c>
      <c r="H143" s="86" t="s">
        <v>258</v>
      </c>
      <c r="I143" s="32" t="s">
        <v>259</v>
      </c>
      <c r="J143" s="32" t="s">
        <v>260</v>
      </c>
      <c r="K143" s="32" t="s">
        <v>261</v>
      </c>
      <c r="L143" s="32" t="s">
        <v>322</v>
      </c>
      <c r="M143" s="86" t="s">
        <v>333</v>
      </c>
      <c r="N143" s="32" t="s">
        <v>339</v>
      </c>
      <c r="O143" s="32" t="s">
        <v>347</v>
      </c>
      <c r="P143" s="32" t="s">
        <v>349</v>
      </c>
      <c r="Q143" s="30" t="s">
        <v>129</v>
      </c>
      <c r="R143" s="89" t="s">
        <v>130</v>
      </c>
      <c r="S143" s="30" t="s">
        <v>131</v>
      </c>
      <c r="T143" s="30" t="s">
        <v>132</v>
      </c>
      <c r="U143" s="30" t="s">
        <v>133</v>
      </c>
      <c r="V143" s="30" t="s">
        <v>134</v>
      </c>
      <c r="W143" s="89" t="s">
        <v>135</v>
      </c>
      <c r="X143" s="30" t="s">
        <v>136</v>
      </c>
      <c r="Y143" s="30" t="s">
        <v>137</v>
      </c>
      <c r="Z143" s="30" t="s">
        <v>138</v>
      </c>
      <c r="AA143" s="30" t="s">
        <v>139</v>
      </c>
      <c r="AB143" s="89" t="s">
        <v>140</v>
      </c>
      <c r="AC143" s="30" t="s">
        <v>252</v>
      </c>
      <c r="AD143" s="30" t="s">
        <v>253</v>
      </c>
      <c r="AE143" s="30" t="s">
        <v>254</v>
      </c>
      <c r="AF143" s="30" t="s">
        <v>255</v>
      </c>
      <c r="AG143" s="89" t="s">
        <v>256</v>
      </c>
      <c r="AH143" s="30" t="s">
        <v>285</v>
      </c>
      <c r="AI143" s="30" t="s">
        <v>286</v>
      </c>
      <c r="AJ143" s="30" t="s">
        <v>287</v>
      </c>
      <c r="AK143" s="30" t="s">
        <v>288</v>
      </c>
      <c r="AL143" s="89" t="s">
        <v>289</v>
      </c>
      <c r="AM143" s="30" t="s">
        <v>356</v>
      </c>
      <c r="AN143" s="30" t="s">
        <v>357</v>
      </c>
      <c r="AO143" s="30" t="s">
        <v>358</v>
      </c>
      <c r="AP143" s="30" t="s">
        <v>359</v>
      </c>
      <c r="AQ143" s="89" t="s">
        <v>360</v>
      </c>
    </row>
    <row r="144" spans="1:43" s="211" customFormat="1" ht="15.6" customHeight="1" outlineLevel="1" x14ac:dyDescent="0.25">
      <c r="A144" s="329"/>
      <c r="B144" s="187" t="s">
        <v>181</v>
      </c>
      <c r="C144" s="212"/>
      <c r="D144" s="189">
        <f>+D56+D91-D13</f>
        <v>0</v>
      </c>
      <c r="E144" s="189">
        <f>+E56+E91-E13</f>
        <v>0</v>
      </c>
      <c r="F144" s="290">
        <f>+F56+F91-F13</f>
        <v>0</v>
      </c>
      <c r="G144" s="189">
        <f>+G56+G91-G13</f>
        <v>0</v>
      </c>
      <c r="H144" s="191"/>
      <c r="I144" s="189">
        <f>+I56+I91-I13</f>
        <v>0</v>
      </c>
      <c r="J144" s="189">
        <f>+J56+J91-J13</f>
        <v>0</v>
      </c>
      <c r="K144" s="290">
        <f>+K56+K91-K13</f>
        <v>0</v>
      </c>
      <c r="L144" s="189">
        <f>+L56+L91-L13</f>
        <v>0</v>
      </c>
      <c r="M144" s="191"/>
      <c r="N144" s="189">
        <f>+N56+N91-N13</f>
        <v>0</v>
      </c>
      <c r="O144" s="189">
        <f>+O56+O91-O13</f>
        <v>0</v>
      </c>
      <c r="P144" s="290">
        <f>+P56+P91-P13</f>
        <v>0</v>
      </c>
      <c r="Q144" s="189">
        <f>+Q56+Q91-Q13</f>
        <v>0</v>
      </c>
      <c r="R144" s="191"/>
      <c r="S144" s="189">
        <f>+S56+S91-S13</f>
        <v>0</v>
      </c>
      <c r="T144" s="189">
        <f>+T56+T91-T13</f>
        <v>0</v>
      </c>
      <c r="U144" s="290">
        <f>+U56+U91-U13</f>
        <v>0</v>
      </c>
      <c r="V144" s="189">
        <f>+V56+V91-V13</f>
        <v>0</v>
      </c>
      <c r="W144" s="191"/>
      <c r="X144" s="189">
        <f>+X56+X91-X13</f>
        <v>0</v>
      </c>
      <c r="Y144" s="189">
        <f>+Y56+Y91-Y13</f>
        <v>0</v>
      </c>
      <c r="Z144" s="290">
        <f>+Z56+Z91-Z13</f>
        <v>0</v>
      </c>
      <c r="AA144" s="189">
        <f>+AA56+AA91-AA13</f>
        <v>0</v>
      </c>
      <c r="AB144" s="191"/>
      <c r="AC144" s="189">
        <f>+AC56+AC91-AC13</f>
        <v>0</v>
      </c>
      <c r="AD144" s="189">
        <f>+AD56+AD91-AD13</f>
        <v>0</v>
      </c>
      <c r="AE144" s="290">
        <f>+AE56+AE91-AE13</f>
        <v>0</v>
      </c>
      <c r="AF144" s="189">
        <f>+AF56+AF91-AF13</f>
        <v>0</v>
      </c>
      <c r="AG144" s="191"/>
      <c r="AH144" s="189">
        <f>+AH56+AH91-AH13</f>
        <v>0</v>
      </c>
      <c r="AI144" s="189">
        <f>+AI56+AI91-AI13</f>
        <v>0</v>
      </c>
      <c r="AJ144" s="290">
        <f>+AJ56+AJ91-AJ13</f>
        <v>0</v>
      </c>
      <c r="AK144" s="189">
        <f>+AK56+AK91-AK13</f>
        <v>0</v>
      </c>
      <c r="AL144" s="191"/>
      <c r="AM144" s="189">
        <f>+AM56+AM91-AM13</f>
        <v>0</v>
      </c>
      <c r="AN144" s="189">
        <f>+AN56+AN91-AN13</f>
        <v>0</v>
      </c>
      <c r="AO144" s="290">
        <f>+AO56+AO91-AO13</f>
        <v>0</v>
      </c>
      <c r="AP144" s="189">
        <f>+AP56+AP91-AP13</f>
        <v>0</v>
      </c>
      <c r="AQ144" s="191"/>
    </row>
    <row r="145" spans="1:43" s="211" customFormat="1" ht="15.6" customHeight="1" outlineLevel="1" x14ac:dyDescent="0.25">
      <c r="A145" s="329"/>
      <c r="B145" s="187" t="s">
        <v>182</v>
      </c>
      <c r="C145" s="212"/>
      <c r="D145" s="189">
        <f>+D63+D98-D14</f>
        <v>0</v>
      </c>
      <c r="E145" s="189">
        <f>+E63+E98-E14</f>
        <v>0</v>
      </c>
      <c r="F145" s="290">
        <f>+F63+F98-F14</f>
        <v>0</v>
      </c>
      <c r="G145" s="189">
        <f>+G63+G98-G14</f>
        <v>0</v>
      </c>
      <c r="H145" s="191"/>
      <c r="I145" s="189">
        <f>+I63+I98-I14</f>
        <v>0</v>
      </c>
      <c r="J145" s="189">
        <f>+J63+J98-J14</f>
        <v>0</v>
      </c>
      <c r="K145" s="290">
        <f>+K63+K98-K14</f>
        <v>0</v>
      </c>
      <c r="L145" s="189">
        <f>+L63+L98-L14</f>
        <v>0</v>
      </c>
      <c r="M145" s="191"/>
      <c r="N145" s="189">
        <f>+N63+N98-N14</f>
        <v>0</v>
      </c>
      <c r="O145" s="189">
        <f>+O63+O98-O14</f>
        <v>0</v>
      </c>
      <c r="P145" s="290">
        <f>+P63+P98-P14</f>
        <v>0</v>
      </c>
      <c r="Q145" s="189">
        <f>+Q63+Q98-Q14</f>
        <v>0</v>
      </c>
      <c r="R145" s="191"/>
      <c r="S145" s="189">
        <f>+S63+S98-S14</f>
        <v>0</v>
      </c>
      <c r="T145" s="189">
        <f>+T63+T98-T14</f>
        <v>0</v>
      </c>
      <c r="U145" s="290">
        <f>+U63+U98-U14</f>
        <v>0</v>
      </c>
      <c r="V145" s="189">
        <f>+V63+V98-V14</f>
        <v>0</v>
      </c>
      <c r="W145" s="191"/>
      <c r="X145" s="189">
        <f>+X63+X98-X14</f>
        <v>0</v>
      </c>
      <c r="Y145" s="189">
        <f>+Y63+Y98-Y14</f>
        <v>0</v>
      </c>
      <c r="Z145" s="290">
        <f>+Z63+Z98-Z14</f>
        <v>0</v>
      </c>
      <c r="AA145" s="189">
        <f>+AA63+AA98-AA14</f>
        <v>0</v>
      </c>
      <c r="AB145" s="191"/>
      <c r="AC145" s="189">
        <f>+AC63+AC98-AC14</f>
        <v>0</v>
      </c>
      <c r="AD145" s="189">
        <f>+AD63+AD98-AD14</f>
        <v>0</v>
      </c>
      <c r="AE145" s="290">
        <f>+AE63+AE98-AE14</f>
        <v>0</v>
      </c>
      <c r="AF145" s="189">
        <f>+AF63+AF98-AF14</f>
        <v>0</v>
      </c>
      <c r="AG145" s="191"/>
      <c r="AH145" s="189">
        <f>+AH63+AH98-AH14</f>
        <v>0</v>
      </c>
      <c r="AI145" s="189">
        <f>+AI63+AI98-AI14</f>
        <v>0</v>
      </c>
      <c r="AJ145" s="290">
        <f>+AJ63+AJ98-AJ14</f>
        <v>0</v>
      </c>
      <c r="AK145" s="189">
        <f>+AK63+AK98-AK14</f>
        <v>0</v>
      </c>
      <c r="AL145" s="191"/>
      <c r="AM145" s="189">
        <f>+AM63+AM98-AM14</f>
        <v>0</v>
      </c>
      <c r="AN145" s="189">
        <f>+AN63+AN98-AN14</f>
        <v>0</v>
      </c>
      <c r="AO145" s="290">
        <f>+AO63+AO98-AO14</f>
        <v>0</v>
      </c>
      <c r="AP145" s="189">
        <f>+AP63+AP98-AP14</f>
        <v>0</v>
      </c>
      <c r="AQ145" s="191"/>
    </row>
    <row r="146" spans="1:43" s="211" customFormat="1" ht="15.6" customHeight="1" outlineLevel="1" x14ac:dyDescent="0.25">
      <c r="A146" s="329"/>
      <c r="B146" s="187" t="s">
        <v>183</v>
      </c>
      <c r="C146" s="212"/>
      <c r="D146" s="189">
        <f>+D64+D99+D119+D134-D15</f>
        <v>0</v>
      </c>
      <c r="E146" s="189">
        <f>+E64+E99+E119+E134-E15</f>
        <v>0</v>
      </c>
      <c r="F146" s="290">
        <f>+F64+F99+F119+F134-F15</f>
        <v>0</v>
      </c>
      <c r="G146" s="189">
        <f>+G64+G99+G119+G134-G15</f>
        <v>0</v>
      </c>
      <c r="H146" s="191"/>
      <c r="I146" s="189">
        <f>+I64+I99+I119+I134-I15</f>
        <v>0</v>
      </c>
      <c r="J146" s="189">
        <f>+J64+J99+J119+J134-J15</f>
        <v>0</v>
      </c>
      <c r="K146" s="290">
        <f>+K64+K99+K119+K134-K15</f>
        <v>0</v>
      </c>
      <c r="L146" s="189">
        <f>+L64+L99+L119+L134-L15</f>
        <v>0</v>
      </c>
      <c r="M146" s="191"/>
      <c r="N146" s="189">
        <f>+N64+N99+N119+N134-N15</f>
        <v>0</v>
      </c>
      <c r="O146" s="189">
        <f>+O64+O99+O119+O134-O15</f>
        <v>0</v>
      </c>
      <c r="P146" s="290">
        <f>+P64+P99+P119+P134-P15</f>
        <v>0</v>
      </c>
      <c r="Q146" s="189">
        <f>+Q64+Q99+Q119+Q134-Q15</f>
        <v>0</v>
      </c>
      <c r="R146" s="191"/>
      <c r="S146" s="189">
        <f>+S64+S99+S119+S134-S15</f>
        <v>0</v>
      </c>
      <c r="T146" s="189">
        <f>+T64+T99+T119+T134-T15</f>
        <v>0</v>
      </c>
      <c r="U146" s="290">
        <f>+U64+U99+U119+U134-U15</f>
        <v>0</v>
      </c>
      <c r="V146" s="189">
        <f>+V64+V99+V119+V134-V15</f>
        <v>0</v>
      </c>
      <c r="W146" s="191"/>
      <c r="X146" s="189">
        <f>+X64+X99+X119+X134-X15</f>
        <v>0</v>
      </c>
      <c r="Y146" s="189">
        <f>+Y64+Y99+Y119+Y134-Y15</f>
        <v>0</v>
      </c>
      <c r="Z146" s="290">
        <f>+Z64+Z99+Z119+Z134-Z15</f>
        <v>0</v>
      </c>
      <c r="AA146" s="189">
        <f>+AA64+AA99+AA119+AA134-AA15</f>
        <v>0</v>
      </c>
      <c r="AB146" s="191"/>
      <c r="AC146" s="189">
        <f>+AC64+AC99+AC119+AC134-AC15</f>
        <v>0</v>
      </c>
      <c r="AD146" s="189">
        <f>+AD64+AD99+AD119+AD134-AD15</f>
        <v>0</v>
      </c>
      <c r="AE146" s="290">
        <f>+AE64+AE99+AE119+AE134-AE15</f>
        <v>0</v>
      </c>
      <c r="AF146" s="189">
        <f>+AF64+AF99+AF119+AF134-AF15</f>
        <v>0</v>
      </c>
      <c r="AG146" s="191"/>
      <c r="AH146" s="189">
        <f>+AH64+AH99+AH119+AH134-AH15</f>
        <v>0</v>
      </c>
      <c r="AI146" s="189">
        <f>+AI64+AI99+AI119+AI134-AI15</f>
        <v>0</v>
      </c>
      <c r="AJ146" s="290">
        <f>+AJ64+AJ99+AJ119+AJ134-AJ15</f>
        <v>0</v>
      </c>
      <c r="AK146" s="189">
        <f>+AK64+AK99+AK119+AK134-AK15</f>
        <v>0</v>
      </c>
      <c r="AL146" s="191"/>
      <c r="AM146" s="189">
        <f>+AM64+AM99+AM119+AM134-AM15</f>
        <v>0</v>
      </c>
      <c r="AN146" s="189">
        <f>+AN64+AN99+AN119+AN134-AN15</f>
        <v>0</v>
      </c>
      <c r="AO146" s="290">
        <f>+AO64+AO99+AO119+AO134-AO15</f>
        <v>0</v>
      </c>
      <c r="AP146" s="189">
        <f>+AP64+AP99+AP119+AP134-AP15</f>
        <v>0</v>
      </c>
      <c r="AQ146" s="191"/>
    </row>
    <row r="147" spans="1:43" s="211" customFormat="1" ht="15.6" customHeight="1" outlineLevel="1" x14ac:dyDescent="0.25">
      <c r="A147" s="329"/>
      <c r="B147" s="187" t="s">
        <v>145</v>
      </c>
      <c r="C147" s="212"/>
      <c r="D147" s="189">
        <f>+D130+D115-D24</f>
        <v>0</v>
      </c>
      <c r="E147" s="189">
        <f>+E130+E115-E24</f>
        <v>0</v>
      </c>
      <c r="F147" s="290">
        <f>+F130+F115-F24</f>
        <v>0</v>
      </c>
      <c r="G147" s="189">
        <f>+G130+G115-G24</f>
        <v>0</v>
      </c>
      <c r="H147" s="191"/>
      <c r="I147" s="189">
        <f>+I130+I115-I24</f>
        <v>0</v>
      </c>
      <c r="J147" s="189">
        <f>+J130+J115-J24</f>
        <v>0</v>
      </c>
      <c r="K147" s="290">
        <f>+K130+K115-K24</f>
        <v>0</v>
      </c>
      <c r="L147" s="189">
        <f>+L130+L115-L24</f>
        <v>0</v>
      </c>
      <c r="M147" s="191"/>
      <c r="N147" s="189">
        <f>+N130+N115-N24</f>
        <v>0</v>
      </c>
      <c r="O147" s="189">
        <f>+O130+O115-O24</f>
        <v>0</v>
      </c>
      <c r="P147" s="290">
        <f>+P130+P115-P24</f>
        <v>0</v>
      </c>
      <c r="Q147" s="189">
        <f>+Q130+Q115-Q24</f>
        <v>0</v>
      </c>
      <c r="R147" s="191"/>
      <c r="S147" s="189">
        <f>+S130+S115-S24</f>
        <v>0</v>
      </c>
      <c r="T147" s="189">
        <f>+T130+T115-T24</f>
        <v>0</v>
      </c>
      <c r="U147" s="290">
        <f>+U130+U115-U24</f>
        <v>0</v>
      </c>
      <c r="V147" s="189">
        <f>+V130+V115-V24</f>
        <v>0</v>
      </c>
      <c r="W147" s="191"/>
      <c r="X147" s="189">
        <f>+X130+X115-X24</f>
        <v>0</v>
      </c>
      <c r="Y147" s="189">
        <f>+Y130+Y115-Y24</f>
        <v>0</v>
      </c>
      <c r="Z147" s="290">
        <f>+Z130+Z115-Z24</f>
        <v>0</v>
      </c>
      <c r="AA147" s="189">
        <f>+AA130+AA115-AA24</f>
        <v>0</v>
      </c>
      <c r="AB147" s="191"/>
      <c r="AC147" s="189">
        <f>+AC130+AC115-AC24</f>
        <v>0</v>
      </c>
      <c r="AD147" s="189">
        <f>+AD130+AD115-AD24</f>
        <v>0</v>
      </c>
      <c r="AE147" s="290">
        <f>+AE130+AE115-AE24</f>
        <v>0</v>
      </c>
      <c r="AF147" s="189">
        <f>+AF130+AF115-AF24</f>
        <v>0</v>
      </c>
      <c r="AG147" s="191"/>
      <c r="AH147" s="189">
        <f>+AH130+AH115-AH24</f>
        <v>0</v>
      </c>
      <c r="AI147" s="189">
        <f>+AI130+AI115-AI24</f>
        <v>0</v>
      </c>
      <c r="AJ147" s="290">
        <f>+AJ130+AJ115-AJ24</f>
        <v>0</v>
      </c>
      <c r="AK147" s="189">
        <f>+AK130+AK115-AK24</f>
        <v>0</v>
      </c>
      <c r="AL147" s="191"/>
      <c r="AM147" s="189">
        <f>+AM130+AM115-AM24</f>
        <v>0</v>
      </c>
      <c r="AN147" s="189">
        <f>+AN130+AN115-AN24</f>
        <v>0</v>
      </c>
      <c r="AO147" s="290">
        <f>+AO130+AO115-AO24</f>
        <v>0</v>
      </c>
      <c r="AP147" s="189">
        <f>+AP130+AP115-AP24</f>
        <v>0</v>
      </c>
      <c r="AQ147" s="191"/>
    </row>
    <row r="148" spans="1:43" s="211" customFormat="1" ht="15.6" customHeight="1" outlineLevel="1" x14ac:dyDescent="0.25">
      <c r="A148" s="329"/>
      <c r="B148" s="187" t="s">
        <v>184</v>
      </c>
      <c r="C148" s="212"/>
      <c r="D148" s="189">
        <f>+D80+D116+D131+D142-D25</f>
        <v>0</v>
      </c>
      <c r="E148" s="189">
        <f>+E80+E116+E131+E142-E25</f>
        <v>0</v>
      </c>
      <c r="F148" s="290">
        <f>+F80+F116+F131+F142-F25</f>
        <v>0</v>
      </c>
      <c r="G148" s="189">
        <f>+G80+G116+G131+G142-G25</f>
        <v>9.9999999998544808E-2</v>
      </c>
      <c r="H148" s="191"/>
      <c r="I148" s="189">
        <f>+I80+I116+I131+I142-I25</f>
        <v>0</v>
      </c>
      <c r="J148" s="189">
        <f>+J80+J116+J131+J142-J25</f>
        <v>6.8212102632969618E-13</v>
      </c>
      <c r="K148" s="290">
        <f>+K80+K116+K131+K142-K25</f>
        <v>0</v>
      </c>
      <c r="L148" s="189">
        <f>+L80+L116+L131+L142-L25</f>
        <v>0</v>
      </c>
      <c r="M148" s="191"/>
      <c r="N148" s="189">
        <f>+N80+N116+N131+N142-N25</f>
        <v>0</v>
      </c>
      <c r="O148" s="189">
        <f>+O80+O116+O131+O142-O25</f>
        <v>0</v>
      </c>
      <c r="P148" s="290">
        <f>+P80+P116+P131+P142-P25</f>
        <v>0</v>
      </c>
      <c r="Q148" s="189">
        <f>+Q80+Q116+Q131+Q142-Q25</f>
        <v>0</v>
      </c>
      <c r="R148" s="191"/>
      <c r="S148" s="189">
        <f>+S80+S116+S131+S142-S25</f>
        <v>0</v>
      </c>
      <c r="T148" s="189">
        <f>+T80+T116+T131+T142-T25</f>
        <v>0</v>
      </c>
      <c r="U148" s="290">
        <f>+U80+U116+U131+U142-U25</f>
        <v>0</v>
      </c>
      <c r="V148" s="189">
        <f>+V80+V116+V131+V142-V25</f>
        <v>0</v>
      </c>
      <c r="W148" s="191"/>
      <c r="X148" s="189">
        <f>+X80+X116+X131+X142-X25</f>
        <v>0</v>
      </c>
      <c r="Y148" s="189">
        <f>+Y80+Y116+Y131+Y142-Y25</f>
        <v>0</v>
      </c>
      <c r="Z148" s="290">
        <f>+Z80+Z116+Z131+Z142-Z25</f>
        <v>0</v>
      </c>
      <c r="AA148" s="189">
        <f>+AA80+AA116+AA131+AA142-AA25</f>
        <v>2.0463630789890885E-12</v>
      </c>
      <c r="AB148" s="191"/>
      <c r="AC148" s="189">
        <f>+AC80+AC116+AC131+AC142-AC25</f>
        <v>0</v>
      </c>
      <c r="AD148" s="189">
        <f>+AD80+AD116+AD131+AD142-AD25</f>
        <v>-1.8189894035458565E-12</v>
      </c>
      <c r="AE148" s="290">
        <f>+AE80+AE116+AE131+AE142-AE25</f>
        <v>2.2737367544323206E-12</v>
      </c>
      <c r="AF148" s="189">
        <f>+AF80+AF116+AF131+AF142-AF25</f>
        <v>-2.9558577807620168E-12</v>
      </c>
      <c r="AG148" s="191"/>
      <c r="AH148" s="189">
        <f>+AH80+AH116+AH131+AH142-AH25</f>
        <v>0</v>
      </c>
      <c r="AI148" s="189">
        <f>+AI80+AI116+AI131+AI142-AI25</f>
        <v>-3.1832314562052488E-12</v>
      </c>
      <c r="AJ148" s="290">
        <f>+AJ80+AJ116+AJ131+AJ142-AJ25</f>
        <v>0</v>
      </c>
      <c r="AK148" s="189">
        <f>+AK80+AK116+AK131+AK142-AK25</f>
        <v>0</v>
      </c>
      <c r="AL148" s="191"/>
      <c r="AM148" s="189">
        <f>+AM80+AM116+AM131+AM142-AM25</f>
        <v>0</v>
      </c>
      <c r="AN148" s="189">
        <f>+AN80+AN116+AN131+AN142-AN25</f>
        <v>0</v>
      </c>
      <c r="AO148" s="290">
        <f>+AO80+AO116+AO131+AO142-AO25</f>
        <v>0</v>
      </c>
      <c r="AP148" s="189">
        <f>+AP80+AP116+AP131+AP142-AP25</f>
        <v>0</v>
      </c>
      <c r="AQ148" s="191"/>
    </row>
    <row r="149" spans="1:43" ht="15" customHeight="1" x14ac:dyDescent="0.4">
      <c r="A149" s="254"/>
      <c r="B149" s="565" t="s">
        <v>55</v>
      </c>
      <c r="C149" s="566"/>
      <c r="D149" s="32" t="s">
        <v>119</v>
      </c>
      <c r="E149" s="32" t="s">
        <v>243</v>
      </c>
      <c r="F149" s="32" t="s">
        <v>247</v>
      </c>
      <c r="G149" s="32" t="s">
        <v>257</v>
      </c>
      <c r="H149" s="86" t="s">
        <v>258</v>
      </c>
      <c r="I149" s="32" t="s">
        <v>259</v>
      </c>
      <c r="J149" s="32" t="s">
        <v>260</v>
      </c>
      <c r="K149" s="32" t="s">
        <v>261</v>
      </c>
      <c r="L149" s="32" t="s">
        <v>322</v>
      </c>
      <c r="M149" s="86" t="s">
        <v>333</v>
      </c>
      <c r="N149" s="32" t="s">
        <v>339</v>
      </c>
      <c r="O149" s="32" t="s">
        <v>347</v>
      </c>
      <c r="P149" s="32" t="s">
        <v>349</v>
      </c>
      <c r="Q149" s="30" t="s">
        <v>129</v>
      </c>
      <c r="R149" s="89" t="s">
        <v>130</v>
      </c>
      <c r="S149" s="30" t="s">
        <v>131</v>
      </c>
      <c r="T149" s="30" t="s">
        <v>132</v>
      </c>
      <c r="U149" s="30" t="s">
        <v>133</v>
      </c>
      <c r="V149" s="30" t="s">
        <v>134</v>
      </c>
      <c r="W149" s="89" t="s">
        <v>135</v>
      </c>
      <c r="X149" s="30" t="s">
        <v>136</v>
      </c>
      <c r="Y149" s="30" t="s">
        <v>137</v>
      </c>
      <c r="Z149" s="30" t="s">
        <v>138</v>
      </c>
      <c r="AA149" s="30" t="s">
        <v>139</v>
      </c>
      <c r="AB149" s="89" t="s">
        <v>140</v>
      </c>
      <c r="AC149" s="30" t="s">
        <v>252</v>
      </c>
      <c r="AD149" s="30" t="s">
        <v>253</v>
      </c>
      <c r="AE149" s="30" t="s">
        <v>254</v>
      </c>
      <c r="AF149" s="30" t="s">
        <v>255</v>
      </c>
      <c r="AG149" s="89" t="s">
        <v>256</v>
      </c>
      <c r="AH149" s="30" t="s">
        <v>285</v>
      </c>
      <c r="AI149" s="30" t="s">
        <v>286</v>
      </c>
      <c r="AJ149" s="30" t="s">
        <v>287</v>
      </c>
      <c r="AK149" s="30" t="s">
        <v>288</v>
      </c>
      <c r="AL149" s="89" t="s">
        <v>289</v>
      </c>
      <c r="AM149" s="30" t="s">
        <v>356</v>
      </c>
      <c r="AN149" s="30" t="s">
        <v>357</v>
      </c>
      <c r="AO149" s="30" t="s">
        <v>358</v>
      </c>
      <c r="AP149" s="30" t="s">
        <v>359</v>
      </c>
      <c r="AQ149" s="89" t="s">
        <v>360</v>
      </c>
    </row>
    <row r="150" spans="1:43" s="43" customFormat="1" outlineLevel="1" x14ac:dyDescent="0.25">
      <c r="A150" s="307"/>
      <c r="B150" s="595" t="s">
        <v>115</v>
      </c>
      <c r="C150" s="596"/>
      <c r="D150" s="56"/>
      <c r="E150" s="56"/>
      <c r="F150" s="56"/>
      <c r="G150" s="56"/>
      <c r="H150" s="330"/>
      <c r="I150" s="56">
        <f t="shared" ref="I150:AQ150" si="466">I16/D16-1</f>
        <v>7.0016735266180907E-2</v>
      </c>
      <c r="J150" s="56">
        <f t="shared" si="466"/>
        <v>-4.9192026514851106E-2</v>
      </c>
      <c r="K150" s="56">
        <f t="shared" si="466"/>
        <v>-0.38119595485856661</v>
      </c>
      <c r="L150" s="277">
        <f t="shared" si="466"/>
        <v>-8.061360604713208E-2</v>
      </c>
      <c r="M150" s="311">
        <f t="shared" si="466"/>
        <v>-0.11281621813298315</v>
      </c>
      <c r="N150" s="56">
        <f t="shared" si="466"/>
        <v>-4.8991841738174613E-2</v>
      </c>
      <c r="O150" s="56">
        <f t="shared" si="466"/>
        <v>0.11213036009139876</v>
      </c>
      <c r="P150" s="56">
        <f t="shared" si="466"/>
        <v>0.77553823926482068</v>
      </c>
      <c r="Q150" s="56">
        <f t="shared" si="466"/>
        <v>0.33465601454317095</v>
      </c>
      <c r="R150" s="54">
        <f t="shared" si="466"/>
        <v>0.2413004814955666</v>
      </c>
      <c r="S150" s="56">
        <f t="shared" si="466"/>
        <v>0.16503847531964055</v>
      </c>
      <c r="T150" s="56">
        <f t="shared" si="466"/>
        <v>0.13720333763432135</v>
      </c>
      <c r="U150" s="56">
        <f t="shared" si="466"/>
        <v>0.11253941374688781</v>
      </c>
      <c r="V150" s="56">
        <f t="shared" si="466"/>
        <v>2.2747598322885088E-2</v>
      </c>
      <c r="W150" s="54">
        <f t="shared" si="466"/>
        <v>0.1048460836202938</v>
      </c>
      <c r="X150" s="56">
        <f t="shared" si="466"/>
        <v>8.1310742207490572E-2</v>
      </c>
      <c r="Y150" s="56">
        <f t="shared" si="466"/>
        <v>9.7909041675582786E-2</v>
      </c>
      <c r="Z150" s="56">
        <f t="shared" si="466"/>
        <v>9.1247048149111665E-2</v>
      </c>
      <c r="AA150" s="56">
        <f t="shared" si="466"/>
        <v>8.6451380300039293E-2</v>
      </c>
      <c r="AB150" s="459">
        <f t="shared" si="466"/>
        <v>8.9131886130013438E-2</v>
      </c>
      <c r="AC150" s="381">
        <f t="shared" si="466"/>
        <v>7.8150644197375163E-2</v>
      </c>
      <c r="AD150" s="381">
        <f t="shared" si="466"/>
        <v>8.2106142053831377E-2</v>
      </c>
      <c r="AE150" s="381">
        <f t="shared" si="466"/>
        <v>8.1272745540469593E-2</v>
      </c>
      <c r="AF150" s="381">
        <f t="shared" si="466"/>
        <v>8.1253560976018768E-2</v>
      </c>
      <c r="AG150" s="459">
        <f t="shared" si="466"/>
        <v>8.0709543460964595E-2</v>
      </c>
      <c r="AH150" s="381">
        <f t="shared" si="466"/>
        <v>8.3864782157352824E-2</v>
      </c>
      <c r="AI150" s="381">
        <f t="shared" si="466"/>
        <v>8.3517729030205601E-2</v>
      </c>
      <c r="AJ150" s="381">
        <f t="shared" si="466"/>
        <v>7.9137077677681633E-2</v>
      </c>
      <c r="AK150" s="381">
        <f t="shared" si="466"/>
        <v>7.9913476871850131E-2</v>
      </c>
      <c r="AL150" s="382">
        <f t="shared" si="466"/>
        <v>8.1521646856405283E-2</v>
      </c>
      <c r="AM150" s="381">
        <f t="shared" si="466"/>
        <v>8.0433174791145534E-2</v>
      </c>
      <c r="AN150" s="381">
        <f t="shared" si="466"/>
        <v>7.9768281385108608E-2</v>
      </c>
      <c r="AO150" s="381">
        <f t="shared" si="466"/>
        <v>7.8070878912083641E-2</v>
      </c>
      <c r="AP150" s="381">
        <f t="shared" si="466"/>
        <v>7.8423050998634336E-2</v>
      </c>
      <c r="AQ150" s="382">
        <f t="shared" si="466"/>
        <v>7.913821854928238E-2</v>
      </c>
    </row>
    <row r="151" spans="1:43" s="43" customFormat="1" outlineLevel="1" x14ac:dyDescent="0.25">
      <c r="A151" s="307"/>
      <c r="B151" s="595" t="s">
        <v>24</v>
      </c>
      <c r="C151" s="596"/>
      <c r="D151" s="53">
        <f t="shared" ref="D151:AQ151" si="467">D25/D16</f>
        <v>0.15313522396610738</v>
      </c>
      <c r="E151" s="53">
        <f t="shared" si="467"/>
        <v>0.13601547756862614</v>
      </c>
      <c r="F151" s="53">
        <f t="shared" si="467"/>
        <v>0.16434119888612064</v>
      </c>
      <c r="G151" s="53">
        <f t="shared" si="467"/>
        <v>0.16054542759745088</v>
      </c>
      <c r="H151" s="55">
        <f t="shared" si="467"/>
        <v>0.15383309567461143</v>
      </c>
      <c r="I151" s="53">
        <f t="shared" si="467"/>
        <v>0.1718730185568752</v>
      </c>
      <c r="J151" s="53">
        <f t="shared" si="467"/>
        <v>8.1291592307820446E-2</v>
      </c>
      <c r="K151" s="53">
        <f t="shared" si="467"/>
        <v>-0.16671798394164022</v>
      </c>
      <c r="L151" s="277">
        <f t="shared" si="467"/>
        <v>9.0003385404072211E-2</v>
      </c>
      <c r="M151" s="330">
        <f t="shared" si="467"/>
        <v>6.6400204098988183E-2</v>
      </c>
      <c r="N151" s="53">
        <f t="shared" si="467"/>
        <v>0.13534536403235845</v>
      </c>
      <c r="O151" s="53">
        <f t="shared" si="467"/>
        <v>0.14811037792441512</v>
      </c>
      <c r="P151" s="53">
        <f t="shared" si="467"/>
        <v>0.19858600680317468</v>
      </c>
      <c r="Q151" s="53">
        <f t="shared" si="467"/>
        <v>0.19420928941492807</v>
      </c>
      <c r="R151" s="459">
        <f t="shared" si="467"/>
        <v>0.17119432518813024</v>
      </c>
      <c r="S151" s="53">
        <f t="shared" si="467"/>
        <v>0.18309382694163293</v>
      </c>
      <c r="T151" s="53">
        <f t="shared" si="467"/>
        <v>0.1698626245866148</v>
      </c>
      <c r="U151" s="53">
        <f t="shared" si="467"/>
        <v>0.19274830517737954</v>
      </c>
      <c r="V151" s="53">
        <f t="shared" si="467"/>
        <v>0.19449836856451339</v>
      </c>
      <c r="W151" s="55">
        <f t="shared" si="467"/>
        <v>0.18547356705153031</v>
      </c>
      <c r="X151" s="53">
        <f t="shared" si="467"/>
        <v>0.19290801956880982</v>
      </c>
      <c r="Y151" s="53">
        <f t="shared" si="467"/>
        <v>0.18092605721649033</v>
      </c>
      <c r="Z151" s="53">
        <f t="shared" si="467"/>
        <v>0.18327701750070757</v>
      </c>
      <c r="AA151" s="53">
        <f t="shared" si="467"/>
        <v>0.19973902218659423</v>
      </c>
      <c r="AB151" s="330">
        <f t="shared" si="467"/>
        <v>0.18936200747043069</v>
      </c>
      <c r="AC151" s="53">
        <f t="shared" si="467"/>
        <v>0.19417495326298098</v>
      </c>
      <c r="AD151" s="53">
        <f t="shared" si="467"/>
        <v>0.18262012606483538</v>
      </c>
      <c r="AE151" s="53">
        <f t="shared" si="467"/>
        <v>0.18446627766468041</v>
      </c>
      <c r="AF151" s="53">
        <f t="shared" si="467"/>
        <v>0.20070785088503246</v>
      </c>
      <c r="AG151" s="55">
        <f t="shared" si="467"/>
        <v>0.19062799118015378</v>
      </c>
      <c r="AH151" s="53">
        <f t="shared" si="467"/>
        <v>0.19832484586291518</v>
      </c>
      <c r="AI151" s="53">
        <f t="shared" si="467"/>
        <v>0.18695805537907789</v>
      </c>
      <c r="AJ151" s="53">
        <f t="shared" si="467"/>
        <v>0.18800207778140612</v>
      </c>
      <c r="AK151" s="53">
        <f t="shared" si="467"/>
        <v>0.20382931706215007</v>
      </c>
      <c r="AL151" s="55">
        <f t="shared" si="467"/>
        <v>0.19439264211479701</v>
      </c>
      <c r="AM151" s="53">
        <f t="shared" si="467"/>
        <v>0.20042229878599327</v>
      </c>
      <c r="AN151" s="53">
        <f t="shared" si="467"/>
        <v>0.189348415806917</v>
      </c>
      <c r="AO151" s="53">
        <f t="shared" si="467"/>
        <v>0.18974609321387595</v>
      </c>
      <c r="AP151" s="53">
        <f t="shared" si="467"/>
        <v>0.20522979354860835</v>
      </c>
      <c r="AQ151" s="55">
        <f t="shared" si="467"/>
        <v>0.19628633388114436</v>
      </c>
    </row>
    <row r="152" spans="1:43" s="43" customFormat="1" outlineLevel="1" x14ac:dyDescent="0.25">
      <c r="A152" s="307"/>
      <c r="B152" s="595" t="s">
        <v>227</v>
      </c>
      <c r="C152" s="596"/>
      <c r="D152" s="53">
        <f t="shared" ref="D152:AQ152" si="468">+D27/D16</f>
        <v>0.17394123056975294</v>
      </c>
      <c r="E152" s="53">
        <f t="shared" si="468"/>
        <v>0.15843892227913536</v>
      </c>
      <c r="F152" s="53">
        <f t="shared" si="468"/>
        <v>0.18270555474131628</v>
      </c>
      <c r="G152" s="53">
        <f t="shared" si="468"/>
        <v>0.17201719282644154</v>
      </c>
      <c r="H152" s="55">
        <f t="shared" si="468"/>
        <v>0.17201964645435841</v>
      </c>
      <c r="I152" s="53">
        <f t="shared" si="468"/>
        <v>0.1819616463062376</v>
      </c>
      <c r="J152" s="53">
        <f t="shared" si="468"/>
        <v>9.2432910252347358E-2</v>
      </c>
      <c r="K152" s="53">
        <f t="shared" si="468"/>
        <v>-0.12558205632268285</v>
      </c>
      <c r="L152" s="277">
        <f t="shared" si="468"/>
        <v>0.13183730715287523</v>
      </c>
      <c r="M152" s="330">
        <f t="shared" si="468"/>
        <v>9.0704141508631861E-2</v>
      </c>
      <c r="N152" s="53">
        <f t="shared" si="468"/>
        <v>0.15533232583637069</v>
      </c>
      <c r="O152" s="53">
        <f t="shared" si="468"/>
        <v>0.1613377324535093</v>
      </c>
      <c r="P152" s="53">
        <f t="shared" si="468"/>
        <v>0.20548255852731262</v>
      </c>
      <c r="Q152" s="53">
        <f t="shared" si="468"/>
        <v>0.20045400139719041</v>
      </c>
      <c r="R152" s="459">
        <f t="shared" si="468"/>
        <v>0.18237854967996964</v>
      </c>
      <c r="S152" s="53">
        <f t="shared" si="468"/>
        <v>0.19737025636080163</v>
      </c>
      <c r="T152" s="53">
        <f t="shared" si="468"/>
        <v>0.18533730255011985</v>
      </c>
      <c r="U152" s="53">
        <f t="shared" si="468"/>
        <v>0.20757541105308161</v>
      </c>
      <c r="V152" s="53">
        <f t="shared" si="468"/>
        <v>0.20836434769702414</v>
      </c>
      <c r="W152" s="55">
        <f t="shared" si="468"/>
        <v>0.20006634721621433</v>
      </c>
      <c r="X152" s="53">
        <f t="shared" si="468"/>
        <v>0.20462741932238068</v>
      </c>
      <c r="Y152" s="53">
        <f t="shared" si="468"/>
        <v>0.19236583521519349</v>
      </c>
      <c r="Z152" s="53">
        <f t="shared" si="468"/>
        <v>0.19383825529636595</v>
      </c>
      <c r="AA152" s="53">
        <f t="shared" si="468"/>
        <v>0.21079111640078244</v>
      </c>
      <c r="AB152" s="459">
        <f t="shared" si="468"/>
        <v>0.20054032702635513</v>
      </c>
      <c r="AC152" s="53">
        <f t="shared" si="468"/>
        <v>0.20594723409011342</v>
      </c>
      <c r="AD152" s="53">
        <f t="shared" si="468"/>
        <v>0.19453903907561973</v>
      </c>
      <c r="AE152" s="53">
        <f t="shared" si="468"/>
        <v>0.19525092441332687</v>
      </c>
      <c r="AF152" s="53">
        <f t="shared" si="468"/>
        <v>0.21115728898100256</v>
      </c>
      <c r="AG152" s="459">
        <f t="shared" si="468"/>
        <v>0.20183245997089924</v>
      </c>
      <c r="AH152" s="53">
        <f t="shared" si="468"/>
        <v>0.20861624456402439</v>
      </c>
      <c r="AI152" s="53">
        <f t="shared" si="468"/>
        <v>0.19746706324790606</v>
      </c>
      <c r="AJ152" s="53">
        <f t="shared" si="468"/>
        <v>0.19774808460011731</v>
      </c>
      <c r="AK152" s="53">
        <f t="shared" si="468"/>
        <v>0.21355042173767774</v>
      </c>
      <c r="AL152" s="55">
        <f t="shared" si="468"/>
        <v>0.20444551211151227</v>
      </c>
      <c r="AM152" s="53">
        <f t="shared" si="468"/>
        <v>0.21018134906712158</v>
      </c>
      <c r="AN152" s="53">
        <f t="shared" si="468"/>
        <v>0.19925085634749051</v>
      </c>
      <c r="AO152" s="53">
        <f t="shared" si="468"/>
        <v>0.19882966549739239</v>
      </c>
      <c r="AP152" s="53">
        <f t="shared" si="468"/>
        <v>0.21418415135349514</v>
      </c>
      <c r="AQ152" s="55">
        <f t="shared" si="468"/>
        <v>0.20569457353434092</v>
      </c>
    </row>
    <row r="153" spans="1:43" s="43" customFormat="1" outlineLevel="1" x14ac:dyDescent="0.25">
      <c r="A153" s="307"/>
      <c r="B153" s="595" t="s">
        <v>2</v>
      </c>
      <c r="C153" s="596"/>
      <c r="D153" s="53">
        <f t="shared" ref="D153:K153" si="469">D32/D31</f>
        <v>0.2124287933713101</v>
      </c>
      <c r="E153" s="53">
        <f t="shared" si="469"/>
        <v>0.1965853658536586</v>
      </c>
      <c r="F153" s="53">
        <f t="shared" si="469"/>
        <v>0.18110799689903978</v>
      </c>
      <c r="G153" s="285">
        <f t="shared" si="469"/>
        <v>0.20083682008368189</v>
      </c>
      <c r="H153" s="330">
        <f t="shared" si="469"/>
        <v>0.19515471765706843</v>
      </c>
      <c r="I153" s="285">
        <f t="shared" si="469"/>
        <v>0.22600104913446431</v>
      </c>
      <c r="J153" s="285">
        <f t="shared" si="469"/>
        <v>0.16760635571501836</v>
      </c>
      <c r="K153" s="285">
        <f t="shared" si="469"/>
        <v>0.16490147783251249</v>
      </c>
      <c r="L153" s="285">
        <v>0.25</v>
      </c>
      <c r="M153" s="330">
        <f>M32/M31</f>
        <v>0.20585709378220463</v>
      </c>
      <c r="N153" s="285">
        <f>N32/N31</f>
        <v>0.23023629840405785</v>
      </c>
      <c r="O153" s="285">
        <f t="shared" ref="O153:P153" si="470">O32/O31</f>
        <v>0.25901786717608721</v>
      </c>
      <c r="P153" s="285">
        <f t="shared" si="470"/>
        <v>0.18217246510309659</v>
      </c>
      <c r="Q153" s="64">
        <v>0.20749999999999999</v>
      </c>
      <c r="R153" s="459">
        <f>R32/R31</f>
        <v>0.21366361405219519</v>
      </c>
      <c r="S153" s="64">
        <f>AVERAGE(N153,O153,P153,Q153)-0.165057231271624%</f>
        <v>0.2180810853580942</v>
      </c>
      <c r="T153" s="64">
        <f>AVERAGE(O153,P153,Q153,S153)-0.165057231271624%</f>
        <v>0.21504228209660328</v>
      </c>
      <c r="U153" s="64">
        <f>AVERAGE(P153,Q153,S153,T153)-0.165057231271624%</f>
        <v>0.20404838582673229</v>
      </c>
      <c r="V153" s="64">
        <f>AVERAGE(Q153,S153,T153,U153)-0.165057231271624%</f>
        <v>0.20951736600764123</v>
      </c>
      <c r="W153" s="55">
        <f>W32/W31</f>
        <v>0.21126407117974849</v>
      </c>
      <c r="X153" s="64">
        <f>AVERAGE(S153,T153,U153,V153)</f>
        <v>0.21167227982226777</v>
      </c>
      <c r="Y153" s="64">
        <f>AVERAGE(T153,U153,V153,X153)</f>
        <v>0.21007007843831116</v>
      </c>
      <c r="Z153" s="64">
        <f>AVERAGE(U153,V153,X153,Y153)</f>
        <v>0.20882702752373811</v>
      </c>
      <c r="AA153" s="64">
        <f>AVERAGE(V153,X153,Y153,Z153)</f>
        <v>0.21002168794798959</v>
      </c>
      <c r="AB153" s="55">
        <f>AB32/AB31</f>
        <v>0.21013850307768625</v>
      </c>
      <c r="AC153" s="64">
        <f>AVERAGE(X153,Y153,Z153,AA153)</f>
        <v>0.21014776843307667</v>
      </c>
      <c r="AD153" s="64">
        <f>AVERAGE(Y153,Z153,AA153,AC153)</f>
        <v>0.2097666405857789</v>
      </c>
      <c r="AE153" s="64">
        <f>AVERAGE(Z153,AA153,AC153,AD153)</f>
        <v>0.2096907811226458</v>
      </c>
      <c r="AF153" s="64">
        <f>AVERAGE(AA153,AC153,AD153,AE153)</f>
        <v>0.20990671952237275</v>
      </c>
      <c r="AG153" s="55">
        <f>AG32/AG31</f>
        <v>0.20987979574673366</v>
      </c>
      <c r="AH153" s="64">
        <f>AVERAGE(AC153,AD153,AE153,AF153)</f>
        <v>0.20987797741596853</v>
      </c>
      <c r="AI153" s="64">
        <f>AVERAGE(AD153,AE153,AF153,AH153)</f>
        <v>0.2098105296616915</v>
      </c>
      <c r="AJ153" s="64">
        <f>AVERAGE(AE153,AF153,AH153,AI153)</f>
        <v>0.20982150193066962</v>
      </c>
      <c r="AK153" s="64">
        <f>AVERAGE(AF153,AH153,AI153,AJ153)</f>
        <v>0.20985418213267562</v>
      </c>
      <c r="AL153" s="55">
        <f>AL32/AL31</f>
        <v>0.20984189785749779</v>
      </c>
      <c r="AM153" s="64">
        <f>AVERAGE(AH153,AI153,AJ153,AK153)</f>
        <v>0.20984104778525131</v>
      </c>
      <c r="AN153" s="64">
        <f>AVERAGE(AI153,AJ153,AK153,AM153)</f>
        <v>0.20983181537757201</v>
      </c>
      <c r="AO153" s="64">
        <f>AVERAGE(AJ153,AK153,AM153,AN153)</f>
        <v>0.20983713680654215</v>
      </c>
      <c r="AP153" s="64">
        <f>AVERAGE(AK153,AM153,AN153,AO153)</f>
        <v>0.20984104552551028</v>
      </c>
      <c r="AQ153" s="55">
        <f>AQ32/AQ31</f>
        <v>0.20983795504739794</v>
      </c>
    </row>
    <row r="154" spans="1:43" s="43" customFormat="1" outlineLevel="1" x14ac:dyDescent="0.25">
      <c r="A154" s="307"/>
      <c r="B154" s="595" t="s">
        <v>228</v>
      </c>
      <c r="C154" s="596"/>
      <c r="D154" s="53"/>
      <c r="E154" s="53">
        <f>+E29/((E187+E188+E193)+(D187+D188+D193)/2)</f>
        <v>3.0327214684756584E-3</v>
      </c>
      <c r="F154" s="53">
        <f>+F29/((F187+F188+F193)+(E187+E188+E193)/2)</f>
        <v>6.4321029136466161E-3</v>
      </c>
      <c r="G154" s="53">
        <f>+G29/((G187+G188+G193)+(F187+F188+F193)/2)</f>
        <v>2.9603261807251862E-3</v>
      </c>
      <c r="H154" s="55"/>
      <c r="I154" s="53">
        <f>+I29/((I187+I188+I193)+(G187+G188+G193)/2)</f>
        <v>3.3143988743550958E-3</v>
      </c>
      <c r="J154" s="53">
        <f>+J29/((J187+J188+J193)+(I187+I188+I193)/2)</f>
        <v>4.4659305324505627E-4</v>
      </c>
      <c r="K154" s="53">
        <f>+K29/((K187+K188+K193)+(J187+J188+J193)/2)</f>
        <v>2.1779393606804753E-3</v>
      </c>
      <c r="L154" s="53">
        <f>+L29/((L187+L188+L193)+(K187+K188+K193)/2)</f>
        <v>1.2911830642186198E-3</v>
      </c>
      <c r="M154" s="55">
        <f>+M29/((M187+M188+M193)+(H187+H188+H193)/2)</f>
        <v>6.2749436914687554E-3</v>
      </c>
      <c r="N154" s="53">
        <f>+N29/((N187+N188+N193)+(L187+L188+L193)/2)</f>
        <v>1.9686289451959073E-3</v>
      </c>
      <c r="O154" s="53">
        <f>+O29/((O187+O188+O193)+(N187+N188+N193)/2)</f>
        <v>2.465933063458573E-3</v>
      </c>
      <c r="P154" s="53">
        <f>+P29/((P187+P188+P193)+(O187+O188+O193)/2)</f>
        <v>4.9067713444553383E-3</v>
      </c>
      <c r="Q154" s="65">
        <f>AVERAGE(P154,O154,N154,L154)</f>
        <v>2.6581291043321098E-3</v>
      </c>
      <c r="R154" s="55">
        <f>+R29/((R187+R188+R193)+(M187+M188+M193)/2)</f>
        <v>1.1497732509839771E-2</v>
      </c>
      <c r="S154" s="65">
        <f>AVERAGE(Q154,P154,O154,N154)</f>
        <v>2.9998656143604822E-3</v>
      </c>
      <c r="T154" s="65">
        <f>AVERAGE(S154,Q154,P154,O154)</f>
        <v>3.2576747816516261E-3</v>
      </c>
      <c r="U154" s="65">
        <f>AVERAGE(T154,S154,Q154,P154)</f>
        <v>3.4556102111998892E-3</v>
      </c>
      <c r="V154" s="65">
        <f>AVERAGE(U154,T154,S154,Q154)</f>
        <v>3.0928199278860268E-3</v>
      </c>
      <c r="W154" s="55">
        <f>+W29/((W187+W188+W193)+(R187+R188+R193)/2)</f>
        <v>1.0108584986398692E-2</v>
      </c>
      <c r="X154" s="65">
        <f>AVERAGE(V154,U154,T154,S154)</f>
        <v>3.2014926337745058E-3</v>
      </c>
      <c r="Y154" s="65">
        <f>AVERAGE(X154,V154,U154,T154)</f>
        <v>3.2518993886280117E-3</v>
      </c>
      <c r="Z154" s="65">
        <f>AVERAGE(Y154,X154,V154,U154)</f>
        <v>3.2504555403721084E-3</v>
      </c>
      <c r="AA154" s="65">
        <f>AVERAGE(Z154,Y154,X154,V154)</f>
        <v>3.199166872665163E-3</v>
      </c>
      <c r="AB154" s="55">
        <f>+AB29/((AB187+AB188+AB193)+(W187+W188+W193)/2)</f>
        <v>1.0169206963699358E-2</v>
      </c>
      <c r="AC154" s="65">
        <f>AVERAGE(AA154,Z154,Y154,X154)</f>
        <v>3.2257536088599473E-3</v>
      </c>
      <c r="AD154" s="65">
        <f>AVERAGE(AC154,AA154,Z154,Y154)</f>
        <v>3.2318188526313076E-3</v>
      </c>
      <c r="AE154" s="65">
        <f>AVERAGE(AD154,AC154,AA154,Z154)</f>
        <v>3.2267987186321316E-3</v>
      </c>
      <c r="AF154" s="65">
        <f>AVERAGE(AE154,AD154,AC154,AA154)</f>
        <v>3.2208845131971369E-3</v>
      </c>
      <c r="AG154" s="55">
        <f>+AG29/((AG187+AG188+AG193)+(AB187+AB188+AB193)/2)</f>
        <v>9.5606645639696643E-3</v>
      </c>
      <c r="AH154" s="65">
        <f>AVERAGE(AF154,AE154,AD154,AC154)</f>
        <v>3.2263139233301309E-3</v>
      </c>
      <c r="AI154" s="65">
        <f>AVERAGE(AH154,AF154,AE154,AD154)</f>
        <v>3.2264540019476765E-3</v>
      </c>
      <c r="AJ154" s="65">
        <f>AVERAGE(AI154,AH154,AF154,AE154)</f>
        <v>3.2251127892767694E-3</v>
      </c>
      <c r="AK154" s="65">
        <f>AVERAGE(AJ154,AI154,AH154,AF154)</f>
        <v>3.2246913069379282E-3</v>
      </c>
      <c r="AL154" s="55">
        <f>+AL29/((AL187+AL188+AL193)+(AG187+AG188+AG193)/2)</f>
        <v>9.0226420064636829E-3</v>
      </c>
      <c r="AM154" s="65">
        <f>AVERAGE(AK154,AJ154,AI154,AH154)</f>
        <v>3.2256430053731262E-3</v>
      </c>
      <c r="AN154" s="65">
        <f>AVERAGE(AM154,AK154,AJ154,AI154)</f>
        <v>3.225475275883875E-3</v>
      </c>
      <c r="AO154" s="65">
        <f>AVERAGE(AN154,AM154,AK154,AJ154)</f>
        <v>3.2252305943679246E-3</v>
      </c>
      <c r="AP154" s="65">
        <f>AVERAGE(AO154,AN154,AM154,AK154)</f>
        <v>3.2252600456407136E-3</v>
      </c>
      <c r="AQ154" s="55">
        <f>+AQ29/((AQ187+AQ188+AQ193)+(AL187+AL188+AL193)/2)</f>
        <v>8.8536606548832528E-3</v>
      </c>
    </row>
    <row r="155" spans="1:43" s="43" customFormat="1" outlineLevel="1" x14ac:dyDescent="0.25">
      <c r="A155" s="307"/>
      <c r="B155" s="595" t="s">
        <v>229</v>
      </c>
      <c r="C155" s="596"/>
      <c r="D155" s="53"/>
      <c r="E155" s="53">
        <f>-E30/((((E209+E212)+(D209+D212))/2))</f>
        <v>8.0557251242696429E-3</v>
      </c>
      <c r="F155" s="53">
        <f>-F30/((((F209+F212)+(E209+E212))/2))</f>
        <v>8.4807318557490342E-3</v>
      </c>
      <c r="G155" s="53">
        <f>-G30/((((G209+G212)+(F209+F212))/2))</f>
        <v>8.572925858076421E-3</v>
      </c>
      <c r="H155" s="55"/>
      <c r="I155" s="53">
        <f>-I30/((((I209+I212)+(G209+G212))/2))</f>
        <v>8.0554679008449908E-3</v>
      </c>
      <c r="J155" s="53">
        <f>-J30/((((J209+J212)+(I209+I212))/2))</f>
        <v>7.730372102084551E-3</v>
      </c>
      <c r="K155" s="53">
        <f>-K30/((((K209+K212)+(J209+J212))/2))</f>
        <v>7.8322294946980078E-3</v>
      </c>
      <c r="L155" s="53">
        <f>-L30/((((L209+L212)+(K209+K212))/2))</f>
        <v>7.5346594333936109E-3</v>
      </c>
      <c r="M155" s="55">
        <f>-M30/((((M209+M212)+(H209+H212))/2))</f>
        <v>3.1756877082932039E-2</v>
      </c>
      <c r="N155" s="53">
        <f>-N30/((((N209+N212)+(L209+L212))/2))</f>
        <v>7.481930548840208E-3</v>
      </c>
      <c r="O155" s="53">
        <f>-O30/((((O209+O212)+(N209+N212))/2))</f>
        <v>7.5250206938069089E-3</v>
      </c>
      <c r="P155" s="53">
        <f>-P30/((((P209+P212)+(O209+O212))/2))</f>
        <v>7.7494216976973845E-3</v>
      </c>
      <c r="Q155" s="65">
        <f>AVERAGE(P155,O155,N155,L155)</f>
        <v>7.5727580934345281E-3</v>
      </c>
      <c r="R155" s="55">
        <f>-R30/((((R209+R212)+(M209+M212))/2))</f>
        <v>2.993836094631111E-2</v>
      </c>
      <c r="S155" s="65">
        <f>AVERAGE(Q155,P155,O155,N155)</f>
        <v>7.5822827584447567E-3</v>
      </c>
      <c r="T155" s="65">
        <f>AVERAGE(S155,Q155,P155,O155)</f>
        <v>7.6073708108458944E-3</v>
      </c>
      <c r="U155" s="65">
        <f>AVERAGE(T155,S155,Q155,P155)</f>
        <v>7.6279583401056405E-3</v>
      </c>
      <c r="V155" s="65">
        <f>AVERAGE(U155,T155,S155,Q155)</f>
        <v>7.5975925007077047E-3</v>
      </c>
      <c r="W155" s="55">
        <f>-W30/((((W209+W212)+(R209+R212))/2))</f>
        <v>3.069516389849453E-2</v>
      </c>
      <c r="X155" s="65">
        <f>AVERAGE(V155,U155,T155,S155)</f>
        <v>7.6038011025259993E-3</v>
      </c>
      <c r="Y155" s="65">
        <f>AVERAGE(X155,V155,U155,T155)</f>
        <v>7.6091806885463086E-3</v>
      </c>
      <c r="Z155" s="65">
        <f>AVERAGE(Y155,X155,V155,U155)</f>
        <v>7.6096331579714131E-3</v>
      </c>
      <c r="AA155" s="65">
        <f>AVERAGE(Z155,Y155,X155,V155)</f>
        <v>7.6050518624378562E-3</v>
      </c>
      <c r="AB155" s="55">
        <f>-AB30/((((AB209+AB212)+(W209+W212))/2))</f>
        <v>3.0741463443062313E-2</v>
      </c>
      <c r="AC155" s="65">
        <f>AVERAGE(AA155,Z155,Y155,X155)</f>
        <v>7.6069167028703947E-3</v>
      </c>
      <c r="AD155" s="65">
        <f>AVERAGE(AC155,AA155,Z155,Y155)</f>
        <v>7.6076956029564931E-3</v>
      </c>
      <c r="AE155" s="65">
        <f>AVERAGE(AD155,AC155,AA155,Z155)</f>
        <v>7.6073243315590393E-3</v>
      </c>
      <c r="AF155" s="65">
        <f>AVERAGE(AE155,AD155,AC155,AA155)</f>
        <v>7.6067471249559454E-3</v>
      </c>
      <c r="AG155" s="55">
        <f>-AG30/((((AG209+AG212)+(AB209+AB212))/2))</f>
        <v>3.0987568755745706E-2</v>
      </c>
      <c r="AH155" s="65">
        <f>AVERAGE(AF155,AE155,AD155,AC155)</f>
        <v>7.6071709405854679E-3</v>
      </c>
      <c r="AI155" s="65">
        <f>AVERAGE(AH155,AF155,AE155,AD155)</f>
        <v>7.6072345000142358E-3</v>
      </c>
      <c r="AJ155" s="65">
        <f>AVERAGE(AI155,AH155,AF155,AE155)</f>
        <v>7.6071192242786719E-3</v>
      </c>
      <c r="AK155" s="65">
        <f>AVERAGE(AJ155,AI155,AH155,AF155)</f>
        <v>7.6070679474585798E-3</v>
      </c>
      <c r="AL155" s="55">
        <f>-AL30/((((AL209+AL212)+(AG209+AG212))/2))</f>
        <v>3.0930258018355378E-2</v>
      </c>
      <c r="AM155" s="65">
        <f>AVERAGE(AK155,AJ155,AI155,AH155)</f>
        <v>7.6071481530842391E-3</v>
      </c>
      <c r="AN155" s="65">
        <f>AVERAGE(AM155,AK155,AJ155,AI155)</f>
        <v>7.6071424562089316E-3</v>
      </c>
      <c r="AO155" s="65">
        <f>AVERAGE(AN155,AM155,AK155,AJ155)</f>
        <v>7.607119445257605E-3</v>
      </c>
      <c r="AP155" s="65">
        <f>AVERAGE(AO155,AN155,AM155,AK155)</f>
        <v>7.6071195005023382E-3</v>
      </c>
      <c r="AQ155" s="55">
        <f>-AQ30/((((AQ209+AQ212)+(AL209+AL212))/2))</f>
        <v>3.1006405552541527E-2</v>
      </c>
    </row>
    <row r="156" spans="1:43" s="43" customFormat="1" outlineLevel="1" x14ac:dyDescent="0.25">
      <c r="A156" s="307"/>
      <c r="B156" s="539" t="s">
        <v>316</v>
      </c>
      <c r="C156" s="540"/>
      <c r="D156" s="53"/>
      <c r="E156" s="53"/>
      <c r="F156" s="53"/>
      <c r="G156" s="53"/>
      <c r="H156" s="55"/>
      <c r="I156" s="53">
        <f t="shared" ref="I156:AQ156" si="471">I42/D42-1</f>
        <v>5.9389868457878192E-2</v>
      </c>
      <c r="J156" s="53">
        <f t="shared" si="471"/>
        <v>-0.47460546003783222</v>
      </c>
      <c r="K156" s="53">
        <f t="shared" si="471"/>
        <v>-1.5922286955663072</v>
      </c>
      <c r="L156" s="277">
        <f t="shared" si="471"/>
        <v>-0.26631134736842188</v>
      </c>
      <c r="M156" s="330">
        <f t="shared" si="471"/>
        <v>-0.59372113780519853</v>
      </c>
      <c r="N156" s="277">
        <f t="shared" si="471"/>
        <v>-0.23228377390823718</v>
      </c>
      <c r="O156" s="277">
        <f t="shared" si="471"/>
        <v>0.96992458477270005</v>
      </c>
      <c r="P156" s="277">
        <f t="shared" si="471"/>
        <v>-3.1776350920116565</v>
      </c>
      <c r="Q156" s="277">
        <f t="shared" si="471"/>
        <v>1.0406725197849016</v>
      </c>
      <c r="R156" s="55">
        <f t="shared" si="471"/>
        <v>1.8468897070261252</v>
      </c>
      <c r="S156" s="277">
        <f t="shared" si="471"/>
        <v>0.57137050465280903</v>
      </c>
      <c r="T156" s="277">
        <f t="shared" si="471"/>
        <v>0.40263854121320386</v>
      </c>
      <c r="U156" s="277">
        <f t="shared" si="471"/>
        <v>9.8264171860800165E-2</v>
      </c>
      <c r="V156" s="277">
        <f t="shared" si="471"/>
        <v>8.0358977021603106E-2</v>
      </c>
      <c r="W156" s="459">
        <f>W42/(R42-0.1)-1</f>
        <v>0.27735211668765136</v>
      </c>
      <c r="X156" s="277">
        <f t="shared" si="471"/>
        <v>0.15627754864861698</v>
      </c>
      <c r="Y156" s="277">
        <f t="shared" si="471"/>
        <v>0.17443850521868454</v>
      </c>
      <c r="Z156" s="277">
        <f t="shared" si="471"/>
        <v>2.9264924065727449E-2</v>
      </c>
      <c r="AA156" s="277">
        <f t="shared" si="471"/>
        <v>0.11904249550768498</v>
      </c>
      <c r="AB156" s="459">
        <f t="shared" si="471"/>
        <v>0.11528106118643056</v>
      </c>
      <c r="AC156" s="277">
        <f t="shared" si="471"/>
        <v>0.10393008081062338</v>
      </c>
      <c r="AD156" s="277">
        <f t="shared" si="471"/>
        <v>0.11193184928371669</v>
      </c>
      <c r="AE156" s="277">
        <f t="shared" si="471"/>
        <v>0.10306917047096231</v>
      </c>
      <c r="AF156" s="277">
        <f t="shared" si="471"/>
        <v>9.6421715668444596E-2</v>
      </c>
      <c r="AG156" s="330">
        <f t="shared" si="471"/>
        <v>0.10343770879993897</v>
      </c>
      <c r="AH156" s="277">
        <f t="shared" si="471"/>
        <v>0.11338241189094855</v>
      </c>
      <c r="AI156" s="277">
        <f t="shared" si="471"/>
        <v>0.11584222305519098</v>
      </c>
      <c r="AJ156" s="277">
        <f t="shared" si="471"/>
        <v>0.10716923835205083</v>
      </c>
      <c r="AK156" s="277">
        <f t="shared" si="471"/>
        <v>0.10533896278141541</v>
      </c>
      <c r="AL156" s="55">
        <f t="shared" si="471"/>
        <v>0.11015941869304968</v>
      </c>
      <c r="AM156" s="277">
        <f t="shared" si="471"/>
        <v>0.10150898691795684</v>
      </c>
      <c r="AN156" s="277">
        <f t="shared" si="471"/>
        <v>0.10315153785675268</v>
      </c>
      <c r="AO156" s="277">
        <f t="shared" si="471"/>
        <v>9.6507953570013294E-2</v>
      </c>
      <c r="AP156" s="277">
        <f t="shared" si="471"/>
        <v>9.3271736278021322E-2</v>
      </c>
      <c r="AQ156" s="55">
        <f t="shared" si="471"/>
        <v>9.8367438627283699E-2</v>
      </c>
    </row>
    <row r="157" spans="1:43" s="43" customFormat="1" outlineLevel="1" x14ac:dyDescent="0.25">
      <c r="A157" s="307"/>
      <c r="B157" s="539" t="s">
        <v>317</v>
      </c>
      <c r="C157" s="540"/>
      <c r="D157" s="53"/>
      <c r="E157" s="53"/>
      <c r="F157" s="53"/>
      <c r="G157" s="53"/>
      <c r="H157" s="55"/>
      <c r="I157" s="53">
        <f>I260/D260-1</f>
        <v>-0.22820512820512895</v>
      </c>
      <c r="J157" s="53">
        <f t="shared" ref="J157:AQ157" si="472">J260/E260-1</f>
        <v>-4.4869364754098413</v>
      </c>
      <c r="K157" s="53">
        <f t="shared" si="472"/>
        <v>-1.314434752864716</v>
      </c>
      <c r="L157" s="277">
        <f t="shared" si="472"/>
        <v>0.34527569713924766</v>
      </c>
      <c r="M157" s="330">
        <f t="shared" si="472"/>
        <v>-0.68340961778517451</v>
      </c>
      <c r="N157" s="277">
        <f t="shared" si="472"/>
        <v>-2.1785305811139466E-4</v>
      </c>
      <c r="O157" s="277">
        <f t="shared" si="472"/>
        <v>-1.649232351428781</v>
      </c>
      <c r="P157" s="277">
        <f t="shared" si="472"/>
        <v>-5.7565950503127619</v>
      </c>
      <c r="Q157" s="277">
        <f t="shared" si="472"/>
        <v>-0.25764184115154132</v>
      </c>
      <c r="R157" s="55">
        <f t="shared" si="472"/>
        <v>2.4892560441828642</v>
      </c>
      <c r="S157" s="277">
        <f t="shared" si="472"/>
        <v>0.43241690096025454</v>
      </c>
      <c r="T157" s="277">
        <f t="shared" si="472"/>
        <v>0.21853208460127349</v>
      </c>
      <c r="U157" s="277">
        <f t="shared" si="472"/>
        <v>0.12805491450196982</v>
      </c>
      <c r="V157" s="277">
        <f t="shared" si="472"/>
        <v>4.9948293183585957E-3</v>
      </c>
      <c r="W157" s="330">
        <f t="shared" si="472"/>
        <v>0.21818704313350801</v>
      </c>
      <c r="X157" s="277">
        <f t="shared" si="472"/>
        <v>-7.4226597314908105E-4</v>
      </c>
      <c r="Y157" s="277">
        <f t="shared" si="472"/>
        <v>0.15679683630672203</v>
      </c>
      <c r="Z157" s="277">
        <f t="shared" si="472"/>
        <v>3.3443104112768962E-2</v>
      </c>
      <c r="AA157" s="277">
        <f t="shared" si="472"/>
        <v>-2.9359347269737768E-2</v>
      </c>
      <c r="AB157" s="55">
        <f t="shared" si="472"/>
        <v>2.9483476509284401E-2</v>
      </c>
      <c r="AC157" s="277">
        <f t="shared" si="472"/>
        <v>0.12248692646659221</v>
      </c>
      <c r="AD157" s="277">
        <f t="shared" si="472"/>
        <v>0.11873757194586942</v>
      </c>
      <c r="AE157" s="277">
        <f t="shared" si="472"/>
        <v>0.12655889689861088</v>
      </c>
      <c r="AF157" s="277">
        <f t="shared" si="472"/>
        <v>-1.2073498071697553E-2</v>
      </c>
      <c r="AG157" s="330">
        <f t="shared" si="472"/>
        <v>0.10223067815245823</v>
      </c>
      <c r="AH157" s="277">
        <f t="shared" si="472"/>
        <v>9.7718456052171776E-2</v>
      </c>
      <c r="AI157" s="277">
        <f t="shared" si="472"/>
        <v>0.11321195336708856</v>
      </c>
      <c r="AJ157" s="277">
        <f t="shared" si="472"/>
        <v>8.7971371714792745E-2</v>
      </c>
      <c r="AK157" s="277">
        <f t="shared" si="472"/>
        <v>0.12697650376983161</v>
      </c>
      <c r="AL157" s="55">
        <f t="shared" si="472"/>
        <v>0.10166412625414467</v>
      </c>
      <c r="AM157" s="277">
        <f t="shared" si="472"/>
        <v>8.0691012917955884E-2</v>
      </c>
      <c r="AN157" s="277">
        <f t="shared" si="472"/>
        <v>9.4191022260130097E-2</v>
      </c>
      <c r="AO157" s="277">
        <f t="shared" si="472"/>
        <v>8.6972757394912614E-2</v>
      </c>
      <c r="AP157" s="277">
        <f t="shared" si="472"/>
        <v>8.6651131844846851E-2</v>
      </c>
      <c r="AQ157" s="55">
        <f t="shared" si="472"/>
        <v>8.5850852519976595E-2</v>
      </c>
    </row>
    <row r="158" spans="1:43" s="43" customFormat="1" outlineLevel="1" x14ac:dyDescent="0.25">
      <c r="A158" s="307"/>
      <c r="B158" s="539" t="s">
        <v>318</v>
      </c>
      <c r="C158" s="540"/>
      <c r="D158" s="53"/>
      <c r="E158" s="53"/>
      <c r="F158" s="53"/>
      <c r="G158" s="53"/>
      <c r="H158" s="55"/>
      <c r="I158" s="53">
        <f>I280/D280-1</f>
        <v>-0.24544851744041785</v>
      </c>
      <c r="J158" s="53">
        <f>J280/E280-1</f>
        <v>-49.011745824502924</v>
      </c>
      <c r="K158" s="53">
        <f t="shared" ref="K158:AQ158" si="473">K280/F280-1</f>
        <v>-1.8137352923643779</v>
      </c>
      <c r="L158" s="277">
        <f t="shared" si="473"/>
        <v>0.89183591560754438</v>
      </c>
      <c r="M158" s="330">
        <f t="shared" si="473"/>
        <v>-0.86923575111458706</v>
      </c>
      <c r="N158" s="277">
        <f t="shared" si="473"/>
        <v>6.0992447328305888E-2</v>
      </c>
      <c r="O158" s="277">
        <f t="shared" si="473"/>
        <v>-1.3949071140087019</v>
      </c>
      <c r="P158" s="277">
        <f t="shared" si="473"/>
        <v>-3.2983245486192643</v>
      </c>
      <c r="Q158" s="277">
        <f t="shared" si="473"/>
        <v>-0.61458169542854213</v>
      </c>
      <c r="R158" s="55">
        <f t="shared" si="473"/>
        <v>8.2554600936392344</v>
      </c>
      <c r="S158" s="277">
        <f t="shared" si="473"/>
        <v>0.38426399227933294</v>
      </c>
      <c r="T158" s="277">
        <f t="shared" si="473"/>
        <v>5.4476915356606481E-2</v>
      </c>
      <c r="U158" s="277">
        <f t="shared" si="473"/>
        <v>2.1009322308622957E-2</v>
      </c>
      <c r="V158" s="277">
        <f t="shared" si="473"/>
        <v>0.41635216119541063</v>
      </c>
      <c r="W158" s="330">
        <f t="shared" si="473"/>
        <v>0.20861505819437909</v>
      </c>
      <c r="X158" s="277">
        <f t="shared" si="473"/>
        <v>-4.3232076076215042E-3</v>
      </c>
      <c r="Y158" s="277">
        <f t="shared" si="473"/>
        <v>0.22615615291519986</v>
      </c>
      <c r="Z158" s="277">
        <f t="shared" si="473"/>
        <v>3.6724712442154361E-2</v>
      </c>
      <c r="AA158" s="277">
        <f t="shared" si="473"/>
        <v>-5.284729818649736E-2</v>
      </c>
      <c r="AB158" s="55">
        <f t="shared" si="473"/>
        <v>3.2398765605883728E-2</v>
      </c>
      <c r="AC158" s="277">
        <f t="shared" si="473"/>
        <v>0.14611727865617063</v>
      </c>
      <c r="AD158" s="277">
        <f t="shared" si="473"/>
        <v>0.17478479990959728</v>
      </c>
      <c r="AE158" s="277">
        <f t="shared" si="473"/>
        <v>0.16198086154655611</v>
      </c>
      <c r="AF158" s="277">
        <f t="shared" si="473"/>
        <v>-6.5635997546805935E-2</v>
      </c>
      <c r="AG158" s="330">
        <f t="shared" si="473"/>
        <v>0.12968459226928886</v>
      </c>
      <c r="AH158" s="277">
        <f t="shared" si="473"/>
        <v>9.3492964418862456E-2</v>
      </c>
      <c r="AI158" s="277">
        <f t="shared" si="473"/>
        <v>0.10890597385273915</v>
      </c>
      <c r="AJ158" s="277">
        <f t="shared" si="473"/>
        <v>8.1432613700548995E-2</v>
      </c>
      <c r="AK158" s="277">
        <f t="shared" si="473"/>
        <v>0.14756213584141964</v>
      </c>
      <c r="AL158" s="55">
        <f t="shared" si="473"/>
        <v>9.775665125002253E-2</v>
      </c>
      <c r="AM158" s="277">
        <f t="shared" si="473"/>
        <v>7.6024847717580668E-2</v>
      </c>
      <c r="AN158" s="277">
        <f t="shared" si="473"/>
        <v>8.8655783707237923E-2</v>
      </c>
      <c r="AO158" s="277">
        <f t="shared" si="473"/>
        <v>8.3196574374240662E-2</v>
      </c>
      <c r="AP158" s="277">
        <f t="shared" si="473"/>
        <v>7.6487334472902013E-2</v>
      </c>
      <c r="AQ158" s="55">
        <f t="shared" si="473"/>
        <v>8.0367784318412516E-2</v>
      </c>
    </row>
    <row r="159" spans="1:43" ht="18" x14ac:dyDescent="0.4">
      <c r="A159" s="254"/>
      <c r="B159" s="565" t="s">
        <v>306</v>
      </c>
      <c r="C159" s="566"/>
      <c r="D159" s="32" t="s">
        <v>119</v>
      </c>
      <c r="E159" s="32" t="s">
        <v>243</v>
      </c>
      <c r="F159" s="32" t="s">
        <v>247</v>
      </c>
      <c r="G159" s="32" t="s">
        <v>257</v>
      </c>
      <c r="H159" s="86" t="s">
        <v>258</v>
      </c>
      <c r="I159" s="32" t="s">
        <v>259</v>
      </c>
      <c r="J159" s="32" t="s">
        <v>260</v>
      </c>
      <c r="K159" s="32" t="s">
        <v>261</v>
      </c>
      <c r="L159" s="32" t="s">
        <v>322</v>
      </c>
      <c r="M159" s="86" t="s">
        <v>333</v>
      </c>
      <c r="N159" s="32" t="s">
        <v>339</v>
      </c>
      <c r="O159" s="32" t="s">
        <v>347</v>
      </c>
      <c r="P159" s="32" t="s">
        <v>349</v>
      </c>
      <c r="Q159" s="30" t="s">
        <v>129</v>
      </c>
      <c r="R159" s="89" t="s">
        <v>130</v>
      </c>
      <c r="S159" s="30" t="s">
        <v>131</v>
      </c>
      <c r="T159" s="30" t="s">
        <v>132</v>
      </c>
      <c r="U159" s="30" t="s">
        <v>133</v>
      </c>
      <c r="V159" s="30" t="s">
        <v>134</v>
      </c>
      <c r="W159" s="89" t="s">
        <v>135</v>
      </c>
      <c r="X159" s="30" t="s">
        <v>136</v>
      </c>
      <c r="Y159" s="30" t="s">
        <v>137</v>
      </c>
      <c r="Z159" s="30" t="s">
        <v>138</v>
      </c>
      <c r="AA159" s="30" t="s">
        <v>139</v>
      </c>
      <c r="AB159" s="89" t="s">
        <v>140</v>
      </c>
      <c r="AC159" s="30" t="s">
        <v>252</v>
      </c>
      <c r="AD159" s="30" t="s">
        <v>253</v>
      </c>
      <c r="AE159" s="30" t="s">
        <v>254</v>
      </c>
      <c r="AF159" s="30" t="s">
        <v>255</v>
      </c>
      <c r="AG159" s="89" t="s">
        <v>256</v>
      </c>
      <c r="AH159" s="30" t="s">
        <v>285</v>
      </c>
      <c r="AI159" s="30" t="s">
        <v>286</v>
      </c>
      <c r="AJ159" s="30" t="s">
        <v>287</v>
      </c>
      <c r="AK159" s="30" t="s">
        <v>288</v>
      </c>
      <c r="AL159" s="89" t="s">
        <v>289</v>
      </c>
      <c r="AM159" s="30" t="s">
        <v>356</v>
      </c>
      <c r="AN159" s="30" t="s">
        <v>357</v>
      </c>
      <c r="AO159" s="30" t="s">
        <v>358</v>
      </c>
      <c r="AP159" s="30" t="s">
        <v>359</v>
      </c>
      <c r="AQ159" s="89" t="s">
        <v>360</v>
      </c>
    </row>
    <row r="160" spans="1:43" outlineLevel="1" x14ac:dyDescent="0.25">
      <c r="A160" s="254"/>
      <c r="B160" s="595" t="s">
        <v>51</v>
      </c>
      <c r="C160" s="596"/>
      <c r="D160" s="53"/>
      <c r="E160" s="53">
        <f>(E38+E164+E167+E170)/D38-1</f>
        <v>2.777764747303535E-2</v>
      </c>
      <c r="F160" s="53">
        <f>(F38+F164+F167+F170)/E38-1</f>
        <v>-1.7269004124131682E-2</v>
      </c>
      <c r="G160" s="53">
        <f>(G38+G164+G167+G170)/F38-1</f>
        <v>1.9258933156590885E-2</v>
      </c>
      <c r="H160" s="21"/>
      <c r="I160" s="53">
        <f>(I38+I164+I167+I170)/G38-1</f>
        <v>-1.436336111538794E-2</v>
      </c>
      <c r="J160" s="53">
        <f>(J38+J164+J167+J170)/I38-1</f>
        <v>-1.1333810572689007E-3</v>
      </c>
      <c r="K160" s="53">
        <f>(K38+K164+K167+K170)/J38-1</f>
        <v>-2.8161802355349819E-3</v>
      </c>
      <c r="L160" s="53">
        <f>(L38+L164+L167+L170)/K38-1</f>
        <v>-9.5210569021197955E-4</v>
      </c>
      <c r="M160" s="21"/>
      <c r="N160" s="277">
        <v>-1.4291996843950673E-2</v>
      </c>
      <c r="O160" s="53">
        <f>(O38+O164+O167+O170)/N38-1</f>
        <v>2.1276595744681437E-3</v>
      </c>
      <c r="P160" s="53">
        <f>(P38+P164+P167+P170)/O38-1</f>
        <v>8.4925690021231404E-4</v>
      </c>
      <c r="Q160" s="65">
        <f>P160</f>
        <v>8.4925690021231404E-4</v>
      </c>
      <c r="R160" s="21"/>
      <c r="S160" s="65">
        <f>Q160</f>
        <v>8.4925690021231404E-4</v>
      </c>
      <c r="T160" s="65">
        <f>S160</f>
        <v>8.4925690021231404E-4</v>
      </c>
      <c r="U160" s="65">
        <f t="shared" ref="U160:V161" si="474">T160</f>
        <v>8.4925690021231404E-4</v>
      </c>
      <c r="V160" s="65">
        <f t="shared" si="474"/>
        <v>8.4925690021231404E-4</v>
      </c>
      <c r="W160" s="21"/>
      <c r="X160" s="65">
        <f t="shared" ref="X160:X161" si="475">AVERAGE(S160,T160,U160,V160)</f>
        <v>8.4925690021231404E-4</v>
      </c>
      <c r="Y160" s="65">
        <f t="shared" ref="Y160:Y161" si="476">AVERAGE(T160,U160,V160,X160)</f>
        <v>8.4925690021231404E-4</v>
      </c>
      <c r="Z160" s="65">
        <f t="shared" ref="Z160:Z161" si="477">AVERAGE(U160,V160,X160,Y160)</f>
        <v>8.4925690021231404E-4</v>
      </c>
      <c r="AA160" s="65">
        <f t="shared" ref="AA160:AA161" si="478">AVERAGE(V160,X160,Y160,Z160)</f>
        <v>8.4925690021231404E-4</v>
      </c>
      <c r="AB160" s="21"/>
      <c r="AC160" s="65">
        <f t="shared" ref="AC160:AC161" si="479">AVERAGE(X160,Y160,Z160,AA160)</f>
        <v>8.4925690021231404E-4</v>
      </c>
      <c r="AD160" s="65">
        <f t="shared" ref="AD160:AD161" si="480">AVERAGE(Y160,Z160,AA160,AC160)</f>
        <v>8.4925690021231404E-4</v>
      </c>
      <c r="AE160" s="65">
        <f t="shared" ref="AE160:AE161" si="481">AVERAGE(Z160,AA160,AC160,AD160)</f>
        <v>8.4925690021231404E-4</v>
      </c>
      <c r="AF160" s="65">
        <f t="shared" ref="AF160:AF161" si="482">AVERAGE(AA160,AC160,AD160,AE160)</f>
        <v>8.4925690021231404E-4</v>
      </c>
      <c r="AG160" s="21"/>
      <c r="AH160" s="65">
        <f t="shared" ref="AH160:AH161" si="483">AVERAGE(AC160,AD160,AE160,AF160)</f>
        <v>8.4925690021231404E-4</v>
      </c>
      <c r="AI160" s="65">
        <f t="shared" ref="AI160:AI161" si="484">AVERAGE(AD160,AE160,AF160,AH160)</f>
        <v>8.4925690021231404E-4</v>
      </c>
      <c r="AJ160" s="65">
        <f t="shared" ref="AJ160:AJ161" si="485">AVERAGE(AE160,AF160,AH160,AI160)</f>
        <v>8.4925690021231404E-4</v>
      </c>
      <c r="AK160" s="65">
        <f t="shared" ref="AK160:AK161" si="486">AVERAGE(AF160,AH160,AI160,AJ160)</f>
        <v>8.4925690021231404E-4</v>
      </c>
      <c r="AL160" s="21"/>
      <c r="AM160" s="65">
        <f t="shared" ref="AM160:AM161" si="487">AVERAGE(AH160,AI160,AJ160,AK160)</f>
        <v>8.4925690021231404E-4</v>
      </c>
      <c r="AN160" s="65">
        <f t="shared" ref="AN160:AN161" si="488">AVERAGE(AI160,AJ160,AK160,AM160)</f>
        <v>8.4925690021231404E-4</v>
      </c>
      <c r="AO160" s="65">
        <f t="shared" ref="AO160:AO161" si="489">AVERAGE(AJ160,AK160,AM160,AN160)</f>
        <v>8.4925690021231404E-4</v>
      </c>
      <c r="AP160" s="65">
        <f t="shared" ref="AP160:AP161" si="490">AVERAGE(AK160,AM160,AN160,AO160)</f>
        <v>8.4925690021231404E-4</v>
      </c>
      <c r="AQ160" s="21"/>
    </row>
    <row r="161" spans="1:43" outlineLevel="1" x14ac:dyDescent="0.25">
      <c r="A161" s="254"/>
      <c r="B161" s="595" t="s">
        <v>52</v>
      </c>
      <c r="C161" s="596"/>
      <c r="D161" s="53"/>
      <c r="E161" s="53">
        <f>(E39+E164+E167+E170)/D39-1</f>
        <v>2.7604785512613583E-2</v>
      </c>
      <c r="F161" s="53">
        <f>(F39+F164+F167+F170)/E39-1</f>
        <v>-1.6710442080933863E-2</v>
      </c>
      <c r="G161" s="53">
        <f>(G39+G164+G167+G170)/F39-1</f>
        <v>1.9089589576967603E-2</v>
      </c>
      <c r="H161" s="21"/>
      <c r="I161" s="53">
        <f>(I39+I164+I167+I170)/G39-1</f>
        <v>-1.5386652077945762E-2</v>
      </c>
      <c r="J161" s="53">
        <f>(J39+J164+J167+J170)/I39-1</f>
        <v>-2.5506658270361138E-3</v>
      </c>
      <c r="K161" s="53">
        <f>(K39+K164+K167+K170)/J39-1</f>
        <v>-1.0332853392055585E-2</v>
      </c>
      <c r="L161" s="53">
        <f>(L39+L164+L167+L170)/K39-1</f>
        <v>8.9858793324775199E-3</v>
      </c>
      <c r="M161" s="21"/>
      <c r="N161" s="277">
        <v>-1.4291996843950673E-2</v>
      </c>
      <c r="O161" s="53">
        <f>(O39+O164+O167+O170)/N39-1</f>
        <v>1.5215553677092597E-3</v>
      </c>
      <c r="P161" s="53">
        <f>(P39+P164+P167+P170)/O39-1</f>
        <v>1.1816340310601969E-3</v>
      </c>
      <c r="Q161" s="65">
        <f>P161</f>
        <v>1.1816340310601969E-3</v>
      </c>
      <c r="R161" s="21"/>
      <c r="S161" s="65">
        <f>Q161</f>
        <v>1.1816340310601969E-3</v>
      </c>
      <c r="T161" s="65">
        <f>S161</f>
        <v>1.1816340310601969E-3</v>
      </c>
      <c r="U161" s="65">
        <f t="shared" si="474"/>
        <v>1.1816340310601969E-3</v>
      </c>
      <c r="V161" s="65">
        <f t="shared" si="474"/>
        <v>1.1816340310601969E-3</v>
      </c>
      <c r="W161" s="21"/>
      <c r="X161" s="65">
        <f t="shared" si="475"/>
        <v>1.1816340310601969E-3</v>
      </c>
      <c r="Y161" s="65">
        <f t="shared" si="476"/>
        <v>1.1816340310601969E-3</v>
      </c>
      <c r="Z161" s="65">
        <f t="shared" si="477"/>
        <v>1.1816340310601969E-3</v>
      </c>
      <c r="AA161" s="65">
        <f t="shared" si="478"/>
        <v>1.1816340310601969E-3</v>
      </c>
      <c r="AB161" s="21"/>
      <c r="AC161" s="65">
        <f t="shared" si="479"/>
        <v>1.1816340310601969E-3</v>
      </c>
      <c r="AD161" s="65">
        <f t="shared" si="480"/>
        <v>1.1816340310601969E-3</v>
      </c>
      <c r="AE161" s="65">
        <f t="shared" si="481"/>
        <v>1.1816340310601969E-3</v>
      </c>
      <c r="AF161" s="65">
        <f t="shared" si="482"/>
        <v>1.1816340310601969E-3</v>
      </c>
      <c r="AG161" s="21"/>
      <c r="AH161" s="65">
        <f t="shared" si="483"/>
        <v>1.1816340310601969E-3</v>
      </c>
      <c r="AI161" s="65">
        <f t="shared" si="484"/>
        <v>1.1816340310601969E-3</v>
      </c>
      <c r="AJ161" s="65">
        <f t="shared" si="485"/>
        <v>1.1816340310601969E-3</v>
      </c>
      <c r="AK161" s="65">
        <f t="shared" si="486"/>
        <v>1.1816340310601969E-3</v>
      </c>
      <c r="AL161" s="21"/>
      <c r="AM161" s="65">
        <f t="shared" si="487"/>
        <v>1.1816340310601969E-3</v>
      </c>
      <c r="AN161" s="65">
        <f t="shared" si="488"/>
        <v>1.1816340310601969E-3</v>
      </c>
      <c r="AO161" s="65">
        <f t="shared" si="489"/>
        <v>1.1816340310601969E-3</v>
      </c>
      <c r="AP161" s="65">
        <f t="shared" si="490"/>
        <v>1.1816340310601969E-3</v>
      </c>
      <c r="AQ161" s="21"/>
    </row>
    <row r="162" spans="1:43" outlineLevel="1" x14ac:dyDescent="0.25">
      <c r="A162" s="254"/>
      <c r="B162" s="595" t="s">
        <v>313</v>
      </c>
      <c r="C162" s="596"/>
      <c r="D162" s="67"/>
      <c r="E162" s="271">
        <v>69.922678056926543</v>
      </c>
      <c r="F162" s="271">
        <v>83.13076202744692</v>
      </c>
      <c r="G162" s="271">
        <v>92.52</v>
      </c>
      <c r="H162" s="68"/>
      <c r="I162" s="271">
        <v>85.23</v>
      </c>
      <c r="J162" s="271">
        <v>78.08</v>
      </c>
      <c r="K162" s="271">
        <v>0</v>
      </c>
      <c r="L162" s="271">
        <v>72</v>
      </c>
      <c r="M162" s="68"/>
      <c r="N162" s="271">
        <v>88</v>
      </c>
      <c r="O162" s="271">
        <v>122.5</v>
      </c>
      <c r="P162" s="271">
        <f>O162</f>
        <v>122.5</v>
      </c>
      <c r="Q162" s="69">
        <v>120</v>
      </c>
      <c r="R162" s="68"/>
      <c r="S162" s="69">
        <f>+Q162</f>
        <v>120</v>
      </c>
      <c r="T162" s="69">
        <f>+S162</f>
        <v>120</v>
      </c>
      <c r="U162" s="69">
        <f>+T162</f>
        <v>120</v>
      </c>
      <c r="V162" s="69">
        <f>+U162</f>
        <v>120</v>
      </c>
      <c r="W162" s="68"/>
      <c r="X162" s="69">
        <f>+V162</f>
        <v>120</v>
      </c>
      <c r="Y162" s="69">
        <f>+X162</f>
        <v>120</v>
      </c>
      <c r="Z162" s="69">
        <f>+Y162</f>
        <v>120</v>
      </c>
      <c r="AA162" s="69">
        <f>+Z162</f>
        <v>120</v>
      </c>
      <c r="AB162" s="68"/>
      <c r="AC162" s="69">
        <f>+AA162</f>
        <v>120</v>
      </c>
      <c r="AD162" s="69">
        <f>+AC162</f>
        <v>120</v>
      </c>
      <c r="AE162" s="69">
        <f>+AD162</f>
        <v>120</v>
      </c>
      <c r="AF162" s="69">
        <f>+AE162</f>
        <v>120</v>
      </c>
      <c r="AG162" s="68"/>
      <c r="AH162" s="69">
        <f>+AF162</f>
        <v>120</v>
      </c>
      <c r="AI162" s="69">
        <f>+AH162</f>
        <v>120</v>
      </c>
      <c r="AJ162" s="69">
        <f>+AI162</f>
        <v>120</v>
      </c>
      <c r="AK162" s="69">
        <f>+AJ162</f>
        <v>120</v>
      </c>
      <c r="AL162" s="68"/>
      <c r="AM162" s="69">
        <f>+AK162</f>
        <v>120</v>
      </c>
      <c r="AN162" s="69">
        <f>+AM162</f>
        <v>120</v>
      </c>
      <c r="AO162" s="69">
        <f>+AN162</f>
        <v>120</v>
      </c>
      <c r="AP162" s="69">
        <f>+AO162</f>
        <v>120</v>
      </c>
      <c r="AQ162" s="68"/>
    </row>
    <row r="163" spans="1:43" outlineLevel="1" x14ac:dyDescent="0.25">
      <c r="A163" s="254"/>
      <c r="B163" s="595" t="s">
        <v>314</v>
      </c>
      <c r="C163" s="596"/>
      <c r="D163" s="34"/>
      <c r="E163" s="261">
        <v>713.2</v>
      </c>
      <c r="F163" s="261">
        <f>954.3-713.2</f>
        <v>241.09999999999991</v>
      </c>
      <c r="G163" s="256">
        <v>2177.1942404399997</v>
      </c>
      <c r="H163" s="35">
        <f>+SUM(D163:G163)</f>
        <v>3131.4942404399999</v>
      </c>
      <c r="I163" s="256">
        <v>1107.9389472300002</v>
      </c>
      <c r="J163" s="256">
        <v>567.02921856000012</v>
      </c>
      <c r="K163" s="256">
        <v>0</v>
      </c>
      <c r="L163" s="256">
        <v>0</v>
      </c>
      <c r="M163" s="35">
        <f>+SUM(I163:L163)</f>
        <v>1674.9681657900003</v>
      </c>
      <c r="N163" s="256">
        <v>0</v>
      </c>
      <c r="O163" s="256">
        <v>0</v>
      </c>
      <c r="P163" s="256">
        <v>0</v>
      </c>
      <c r="Q163" s="63">
        <v>0</v>
      </c>
      <c r="R163" s="35">
        <f>+SUM(N163:Q163)</f>
        <v>0</v>
      </c>
      <c r="S163" s="63">
        <v>500</v>
      </c>
      <c r="T163" s="63">
        <v>500</v>
      </c>
      <c r="U163" s="63">
        <v>500</v>
      </c>
      <c r="V163" s="63">
        <v>500</v>
      </c>
      <c r="W163" s="350">
        <f>+SUM(S163:V163)</f>
        <v>2000</v>
      </c>
      <c r="X163" s="63">
        <v>500</v>
      </c>
      <c r="Y163" s="63">
        <v>500</v>
      </c>
      <c r="Z163" s="63">
        <v>500</v>
      </c>
      <c r="AA163" s="63">
        <v>500</v>
      </c>
      <c r="AB163" s="35">
        <f>+SUM(X163:AA163)</f>
        <v>2000</v>
      </c>
      <c r="AC163" s="63">
        <v>250</v>
      </c>
      <c r="AD163" s="63">
        <v>250</v>
      </c>
      <c r="AE163" s="63">
        <v>250</v>
      </c>
      <c r="AF163" s="63">
        <v>250</v>
      </c>
      <c r="AG163" s="35">
        <f>+SUM(AC163:AF163)</f>
        <v>1000</v>
      </c>
      <c r="AH163" s="63">
        <v>250</v>
      </c>
      <c r="AI163" s="63">
        <v>250</v>
      </c>
      <c r="AJ163" s="63">
        <v>250</v>
      </c>
      <c r="AK163" s="63">
        <v>250</v>
      </c>
      <c r="AL163" s="35">
        <f>+SUM(AH163:AK163)</f>
        <v>1000</v>
      </c>
      <c r="AM163" s="63">
        <v>250</v>
      </c>
      <c r="AN163" s="63">
        <v>250</v>
      </c>
      <c r="AO163" s="63">
        <v>250</v>
      </c>
      <c r="AP163" s="63">
        <v>250</v>
      </c>
      <c r="AQ163" s="35">
        <f>+SUM(AM163:AP163)</f>
        <v>1000</v>
      </c>
    </row>
    <row r="164" spans="1:43" outlineLevel="1" x14ac:dyDescent="0.25">
      <c r="A164" s="254"/>
      <c r="B164" s="595" t="s">
        <v>315</v>
      </c>
      <c r="C164" s="596"/>
      <c r="D164" s="336"/>
      <c r="E164" s="336">
        <f>IF((E163)&gt;0,(E163/E162),0)</f>
        <v>10.199838161509755</v>
      </c>
      <c r="F164" s="339">
        <f>IF((F163)&gt;0,(F163/F162),0)</f>
        <v>2.9002500893760241</v>
      </c>
      <c r="G164" s="339">
        <f>IF((G163)&gt;0,(G163/G162),0)</f>
        <v>23.532146999999998</v>
      </c>
      <c r="H164" s="170">
        <f>+SUM(D164:G164)</f>
        <v>36.632235250885778</v>
      </c>
      <c r="I164" s="336">
        <f>IF((I163)&gt;0,(I163/I162),0)</f>
        <v>12.999401000000001</v>
      </c>
      <c r="J164" s="339">
        <f>IF((J163)&gt;0,(J163/J162),0)</f>
        <v>7.262157000000002</v>
      </c>
      <c r="K164" s="336">
        <f>IF((K163)&gt;0,(K163/K162),0)</f>
        <v>0</v>
      </c>
      <c r="L164" s="336">
        <f>IF((L163)&gt;0,(L163/L162),0)</f>
        <v>0</v>
      </c>
      <c r="M164" s="170">
        <f>+SUM(I164:L164)</f>
        <v>20.261558000000001</v>
      </c>
      <c r="N164" s="336">
        <f>IF((N163)&gt;0,(N163/N162),0)</f>
        <v>0</v>
      </c>
      <c r="O164" s="336">
        <f>IF((O163)&gt;0,(O163/O162),0)</f>
        <v>0</v>
      </c>
      <c r="P164" s="336">
        <f>IF((P163)&gt;0,(P163/P162),0)</f>
        <v>0</v>
      </c>
      <c r="Q164" s="336">
        <f>IF((Q163)&gt;0,(Q163/Q162),0)</f>
        <v>0</v>
      </c>
      <c r="R164" s="170">
        <f>+SUM(N164:Q164)</f>
        <v>0</v>
      </c>
      <c r="S164" s="336">
        <f>IF((S163)&gt;0,(S163/S162),0)</f>
        <v>4.166666666666667</v>
      </c>
      <c r="T164" s="336">
        <f>IF((T163)&gt;0,(T163/T162),0)</f>
        <v>4.166666666666667</v>
      </c>
      <c r="U164" s="336">
        <f>IF((U163)&gt;0,(U163/U162),0)</f>
        <v>4.166666666666667</v>
      </c>
      <c r="V164" s="336">
        <f>IF((V163)&gt;0,(V163/V162),0)</f>
        <v>4.166666666666667</v>
      </c>
      <c r="W164" s="170">
        <f>+SUM(S164:V164)</f>
        <v>16.666666666666668</v>
      </c>
      <c r="X164" s="336">
        <f>IF((X163)&gt;0,(X163/X162),0)</f>
        <v>4.166666666666667</v>
      </c>
      <c r="Y164" s="336">
        <f>IF((Y163)&gt;0,(Y163/Y162),0)</f>
        <v>4.166666666666667</v>
      </c>
      <c r="Z164" s="336">
        <f>IF((Z163)&gt;0,(Z163/Z162),0)</f>
        <v>4.166666666666667</v>
      </c>
      <c r="AA164" s="336">
        <f>IF((AA163)&gt;0,(AA163/AA162),0)</f>
        <v>4.166666666666667</v>
      </c>
      <c r="AB164" s="170">
        <f>+SUM(X164:AA164)</f>
        <v>16.666666666666668</v>
      </c>
      <c r="AC164" s="336">
        <f>IF((AC163)&gt;0,(AC163/AC162),0)</f>
        <v>2.0833333333333335</v>
      </c>
      <c r="AD164" s="336">
        <f>IF((AD163)&gt;0,(AD163/AD162),0)</f>
        <v>2.0833333333333335</v>
      </c>
      <c r="AE164" s="336">
        <f>IF((AE163)&gt;0,(AE163/AE162),0)</f>
        <v>2.0833333333333335</v>
      </c>
      <c r="AF164" s="336">
        <f>IF((AF163)&gt;0,(AF163/AF162),0)</f>
        <v>2.0833333333333335</v>
      </c>
      <c r="AG164" s="170">
        <f>+SUM(AC164:AF164)</f>
        <v>8.3333333333333339</v>
      </c>
      <c r="AH164" s="336">
        <f>IF((AH163)&gt;0,(AH163/AH162),0)</f>
        <v>2.0833333333333335</v>
      </c>
      <c r="AI164" s="336">
        <f>IF((AI163)&gt;0,(AI163/AI162),0)</f>
        <v>2.0833333333333335</v>
      </c>
      <c r="AJ164" s="336">
        <f>IF((AJ163)&gt;0,(AJ163/AJ162),0)</f>
        <v>2.0833333333333335</v>
      </c>
      <c r="AK164" s="336">
        <f>IF((AK163)&gt;0,(AK163/AK162),0)</f>
        <v>2.0833333333333335</v>
      </c>
      <c r="AL164" s="170">
        <f>+SUM(AH164:AK164)</f>
        <v>8.3333333333333339</v>
      </c>
      <c r="AM164" s="336">
        <f>IF((AM163)&gt;0,(AM163/AM162),0)</f>
        <v>2.0833333333333335</v>
      </c>
      <c r="AN164" s="336">
        <f>IF((AN163)&gt;0,(AN163/AN162),0)</f>
        <v>2.0833333333333335</v>
      </c>
      <c r="AO164" s="336">
        <f>IF((AO163)&gt;0,(AO163/AO162),0)</f>
        <v>2.0833333333333335</v>
      </c>
      <c r="AP164" s="336">
        <f>IF((AP163)&gt;0,(AP163/AP162),0)</f>
        <v>2.0833333333333335</v>
      </c>
      <c r="AQ164" s="170">
        <f>+SUM(AM164:AP164)</f>
        <v>8.3333333333333339</v>
      </c>
    </row>
    <row r="165" spans="1:43" outlineLevel="1" x14ac:dyDescent="0.25">
      <c r="A165" s="254"/>
      <c r="B165" s="607" t="s">
        <v>307</v>
      </c>
      <c r="C165" s="608"/>
      <c r="D165" s="340">
        <v>55.58</v>
      </c>
      <c r="E165" s="341">
        <v>65.03</v>
      </c>
      <c r="F165" s="233"/>
      <c r="G165" s="233"/>
      <c r="H165" s="209"/>
      <c r="I165" s="233"/>
      <c r="J165" s="233"/>
      <c r="K165" s="233"/>
      <c r="L165" s="233"/>
      <c r="M165" s="209"/>
      <c r="N165" s="233"/>
      <c r="O165" s="233"/>
      <c r="P165" s="233"/>
      <c r="Q165" s="233"/>
      <c r="R165" s="209"/>
      <c r="S165" s="233"/>
      <c r="T165" s="233"/>
      <c r="U165" s="233"/>
      <c r="V165" s="233"/>
      <c r="W165" s="209"/>
      <c r="X165" s="233"/>
      <c r="Y165" s="233"/>
      <c r="Z165" s="233"/>
      <c r="AA165" s="233"/>
      <c r="AB165" s="209"/>
      <c r="AC165" s="233"/>
      <c r="AD165" s="233"/>
      <c r="AE165" s="233"/>
      <c r="AF165" s="233"/>
      <c r="AG165" s="209"/>
      <c r="AH165" s="233"/>
      <c r="AI165" s="233"/>
      <c r="AJ165" s="233"/>
      <c r="AK165" s="233"/>
      <c r="AL165" s="209"/>
      <c r="AM165" s="233"/>
      <c r="AN165" s="233"/>
      <c r="AO165" s="233"/>
      <c r="AP165" s="233"/>
      <c r="AQ165" s="209"/>
    </row>
    <row r="166" spans="1:43" outlineLevel="1" x14ac:dyDescent="0.25">
      <c r="A166" s="254"/>
      <c r="B166" s="609" t="s">
        <v>308</v>
      </c>
      <c r="C166" s="610"/>
      <c r="D166" s="342">
        <f>71.968334*55.58</f>
        <v>4000.0000037199998</v>
      </c>
      <c r="E166" s="343">
        <v>318.64700000000005</v>
      </c>
      <c r="F166" s="336"/>
      <c r="G166" s="336"/>
      <c r="H166" s="170"/>
      <c r="I166" s="336"/>
      <c r="J166" s="336"/>
      <c r="K166" s="336"/>
      <c r="L166" s="336"/>
      <c r="M166" s="170"/>
      <c r="N166" s="336"/>
      <c r="O166" s="336"/>
      <c r="P166" s="336"/>
      <c r="Q166" s="336"/>
      <c r="R166" s="170"/>
      <c r="S166" s="336"/>
      <c r="T166" s="336"/>
      <c r="U166" s="336"/>
      <c r="V166" s="336"/>
      <c r="W166" s="330"/>
      <c r="X166" s="336"/>
      <c r="Y166" s="336"/>
      <c r="Z166" s="336"/>
      <c r="AA166" s="336"/>
      <c r="AB166" s="170"/>
      <c r="AC166" s="336"/>
      <c r="AD166" s="336"/>
      <c r="AE166" s="336"/>
      <c r="AF166" s="336"/>
      <c r="AG166" s="170"/>
      <c r="AH166" s="336"/>
      <c r="AI166" s="336"/>
      <c r="AJ166" s="336"/>
      <c r="AK166" s="336"/>
      <c r="AL166" s="170"/>
      <c r="AM166" s="336"/>
      <c r="AN166" s="336"/>
      <c r="AO166" s="336"/>
      <c r="AP166" s="336"/>
      <c r="AQ166" s="170"/>
    </row>
    <row r="167" spans="1:43" outlineLevel="1" x14ac:dyDescent="0.25">
      <c r="A167" s="254"/>
      <c r="B167" s="611" t="s">
        <v>309</v>
      </c>
      <c r="C167" s="612"/>
      <c r="D167" s="344">
        <f>IF((D166)&gt;0,(D166/D165),0)</f>
        <v>71.968333999999999</v>
      </c>
      <c r="E167" s="337">
        <f>IF((E166)&gt;0,(E166/E165),0)</f>
        <v>4.9000000000000004</v>
      </c>
      <c r="F167" s="337"/>
      <c r="G167" s="337"/>
      <c r="H167" s="338"/>
      <c r="I167" s="337"/>
      <c r="J167" s="337"/>
      <c r="K167" s="337"/>
      <c r="L167" s="337"/>
      <c r="M167" s="338"/>
      <c r="N167" s="337"/>
      <c r="O167" s="337"/>
      <c r="P167" s="337"/>
      <c r="Q167" s="337"/>
      <c r="R167" s="338"/>
      <c r="S167" s="337"/>
      <c r="T167" s="337"/>
      <c r="U167" s="337"/>
      <c r="V167" s="337"/>
      <c r="W167" s="526"/>
      <c r="X167" s="337"/>
      <c r="Y167" s="337"/>
      <c r="Z167" s="337"/>
      <c r="AA167" s="337"/>
      <c r="AB167" s="338"/>
      <c r="AC167" s="337"/>
      <c r="AD167" s="337"/>
      <c r="AE167" s="337"/>
      <c r="AF167" s="337"/>
      <c r="AG167" s="338"/>
      <c r="AH167" s="337"/>
      <c r="AI167" s="337"/>
      <c r="AJ167" s="337"/>
      <c r="AK167" s="337"/>
      <c r="AL167" s="338"/>
      <c r="AM167" s="337"/>
      <c r="AN167" s="337"/>
      <c r="AO167" s="337"/>
      <c r="AP167" s="337"/>
      <c r="AQ167" s="338"/>
    </row>
    <row r="168" spans="1:43" outlineLevel="1" x14ac:dyDescent="0.25">
      <c r="A168" s="254"/>
      <c r="B168" s="539" t="s">
        <v>310</v>
      </c>
      <c r="C168" s="540"/>
      <c r="D168" s="336"/>
      <c r="E168" s="67">
        <v>71.959999999999994</v>
      </c>
      <c r="F168" s="67">
        <v>76.5</v>
      </c>
      <c r="G168" s="336"/>
      <c r="H168" s="170"/>
      <c r="I168" s="336"/>
      <c r="J168" s="336"/>
      <c r="K168" s="336"/>
      <c r="L168" s="336"/>
      <c r="M168" s="170"/>
      <c r="N168" s="336"/>
      <c r="O168" s="336"/>
      <c r="P168" s="336"/>
      <c r="Q168" s="336"/>
      <c r="R168" s="170"/>
      <c r="S168" s="336"/>
      <c r="T168" s="336"/>
      <c r="U168" s="336"/>
      <c r="V168" s="336"/>
      <c r="W168" s="170"/>
      <c r="X168" s="336"/>
      <c r="Y168" s="336"/>
      <c r="Z168" s="336"/>
      <c r="AA168" s="336"/>
      <c r="AB168" s="170"/>
      <c r="AC168" s="336"/>
      <c r="AD168" s="336"/>
      <c r="AE168" s="336"/>
      <c r="AF168" s="336"/>
      <c r="AG168" s="170"/>
      <c r="AH168" s="336"/>
      <c r="AI168" s="336"/>
      <c r="AJ168" s="336"/>
      <c r="AK168" s="336"/>
      <c r="AL168" s="170"/>
      <c r="AM168" s="336"/>
      <c r="AN168" s="336"/>
      <c r="AO168" s="336"/>
      <c r="AP168" s="336"/>
      <c r="AQ168" s="170"/>
    </row>
    <row r="169" spans="1:43" outlineLevel="1" x14ac:dyDescent="0.25">
      <c r="A169" s="254"/>
      <c r="B169" s="539" t="s">
        <v>311</v>
      </c>
      <c r="C169" s="540"/>
      <c r="D169" s="336"/>
      <c r="E169" s="34">
        <v>1597.5119999999997</v>
      </c>
      <c r="F169" s="34">
        <v>298.35000000000002</v>
      </c>
      <c r="G169" s="336"/>
      <c r="H169" s="170"/>
      <c r="I169" s="336"/>
      <c r="J169" s="336"/>
      <c r="K169" s="336"/>
      <c r="L169" s="336"/>
      <c r="M169" s="170"/>
      <c r="N169" s="462"/>
      <c r="O169" s="336"/>
      <c r="P169" s="336"/>
      <c r="Q169" s="336"/>
      <c r="R169" s="170"/>
      <c r="S169" s="336"/>
      <c r="T169" s="336"/>
      <c r="U169" s="336"/>
      <c r="V169" s="336"/>
      <c r="W169" s="170"/>
      <c r="X169" s="336"/>
      <c r="Y169" s="336"/>
      <c r="Z169" s="336"/>
      <c r="AA169" s="336"/>
      <c r="AB169" s="170"/>
      <c r="AC169" s="336"/>
      <c r="AD169" s="336"/>
      <c r="AE169" s="336"/>
      <c r="AF169" s="336"/>
      <c r="AG169" s="170"/>
      <c r="AH169" s="336"/>
      <c r="AI169" s="336"/>
      <c r="AJ169" s="336"/>
      <c r="AK169" s="336"/>
      <c r="AL169" s="170"/>
      <c r="AM169" s="336"/>
      <c r="AN169" s="336"/>
      <c r="AO169" s="336"/>
      <c r="AP169" s="336"/>
      <c r="AQ169" s="170"/>
    </row>
    <row r="170" spans="1:43" outlineLevel="1" x14ac:dyDescent="0.25">
      <c r="A170" s="254"/>
      <c r="B170" s="539" t="s">
        <v>312</v>
      </c>
      <c r="C170" s="540"/>
      <c r="D170" s="336"/>
      <c r="E170" s="336">
        <f>IF((E169)&gt;0,(E169/E168),0)</f>
        <v>22.2</v>
      </c>
      <c r="F170" s="336">
        <f>IF((F169)&gt;0,(F169/F168),0)</f>
        <v>3.9000000000000004</v>
      </c>
      <c r="G170" s="336"/>
      <c r="H170" s="170"/>
      <c r="I170" s="336"/>
      <c r="J170" s="336"/>
      <c r="K170" s="336"/>
      <c r="L170" s="336"/>
      <c r="M170" s="170"/>
      <c r="N170" s="336"/>
      <c r="O170" s="336"/>
      <c r="P170" s="336"/>
      <c r="Q170" s="336"/>
      <c r="R170" s="170"/>
      <c r="S170" s="336"/>
      <c r="T170" s="336"/>
      <c r="U170" s="336"/>
      <c r="V170" s="336"/>
      <c r="W170" s="170"/>
      <c r="X170" s="336"/>
      <c r="Y170" s="336"/>
      <c r="Z170" s="336"/>
      <c r="AA170" s="336"/>
      <c r="AB170" s="170"/>
      <c r="AC170" s="336"/>
      <c r="AD170" s="336"/>
      <c r="AE170" s="336"/>
      <c r="AF170" s="336"/>
      <c r="AG170" s="170"/>
      <c r="AH170" s="336"/>
      <c r="AI170" s="336"/>
      <c r="AJ170" s="336"/>
      <c r="AK170" s="336"/>
      <c r="AL170" s="170"/>
      <c r="AM170" s="336"/>
      <c r="AN170" s="336"/>
      <c r="AO170" s="336"/>
      <c r="AP170" s="336"/>
      <c r="AQ170" s="170"/>
    </row>
    <row r="171" spans="1:43" ht="18" x14ac:dyDescent="0.4">
      <c r="A171" s="254"/>
      <c r="B171" s="565" t="s">
        <v>75</v>
      </c>
      <c r="C171" s="566"/>
      <c r="D171" s="32" t="s">
        <v>119</v>
      </c>
      <c r="E171" s="32" t="s">
        <v>243</v>
      </c>
      <c r="F171" s="32" t="s">
        <v>247</v>
      </c>
      <c r="G171" s="32" t="s">
        <v>257</v>
      </c>
      <c r="H171" s="86" t="s">
        <v>258</v>
      </c>
      <c r="I171" s="32" t="s">
        <v>259</v>
      </c>
      <c r="J171" s="32" t="s">
        <v>260</v>
      </c>
      <c r="K171" s="32" t="s">
        <v>261</v>
      </c>
      <c r="L171" s="32" t="s">
        <v>322</v>
      </c>
      <c r="M171" s="86" t="s">
        <v>333</v>
      </c>
      <c r="N171" s="32" t="s">
        <v>339</v>
      </c>
      <c r="O171" s="32" t="s">
        <v>347</v>
      </c>
      <c r="P171" s="32" t="s">
        <v>349</v>
      </c>
      <c r="Q171" s="30" t="s">
        <v>129</v>
      </c>
      <c r="R171" s="89" t="s">
        <v>130</v>
      </c>
      <c r="S171" s="30" t="s">
        <v>131</v>
      </c>
      <c r="T171" s="30" t="s">
        <v>132</v>
      </c>
      <c r="U171" s="30" t="s">
        <v>133</v>
      </c>
      <c r="V171" s="30" t="s">
        <v>134</v>
      </c>
      <c r="W171" s="89" t="s">
        <v>135</v>
      </c>
      <c r="X171" s="30" t="s">
        <v>136</v>
      </c>
      <c r="Y171" s="30" t="s">
        <v>137</v>
      </c>
      <c r="Z171" s="30" t="s">
        <v>138</v>
      </c>
      <c r="AA171" s="30" t="s">
        <v>139</v>
      </c>
      <c r="AB171" s="89" t="s">
        <v>140</v>
      </c>
      <c r="AC171" s="30" t="s">
        <v>252</v>
      </c>
      <c r="AD171" s="30" t="s">
        <v>253</v>
      </c>
      <c r="AE171" s="30" t="s">
        <v>254</v>
      </c>
      <c r="AF171" s="30" t="s">
        <v>255</v>
      </c>
      <c r="AG171" s="89" t="s">
        <v>256</v>
      </c>
      <c r="AH171" s="30" t="s">
        <v>285</v>
      </c>
      <c r="AI171" s="30" t="s">
        <v>286</v>
      </c>
      <c r="AJ171" s="30" t="s">
        <v>287</v>
      </c>
      <c r="AK171" s="30" t="s">
        <v>288</v>
      </c>
      <c r="AL171" s="89" t="s">
        <v>289</v>
      </c>
      <c r="AM171" s="30" t="s">
        <v>356</v>
      </c>
      <c r="AN171" s="30" t="s">
        <v>357</v>
      </c>
      <c r="AO171" s="30" t="s">
        <v>358</v>
      </c>
      <c r="AP171" s="30" t="s">
        <v>359</v>
      </c>
      <c r="AQ171" s="89" t="s">
        <v>360</v>
      </c>
    </row>
    <row r="172" spans="1:43" outlineLevel="1" x14ac:dyDescent="0.25">
      <c r="A172" s="254"/>
      <c r="B172" s="595" t="s">
        <v>189</v>
      </c>
      <c r="C172" s="596"/>
      <c r="D172" s="258">
        <f>-(22+5.3+0.6+20.9)</f>
        <v>-48.8</v>
      </c>
      <c r="E172" s="258">
        <v>-45.1</v>
      </c>
      <c r="F172" s="258">
        <v>-39.6</v>
      </c>
      <c r="G172" s="258">
        <f>-146.2+133.5</f>
        <v>-12.699999999999989</v>
      </c>
      <c r="H172" s="368">
        <f>SUM(D172:G172)</f>
        <v>-146.19999999999999</v>
      </c>
      <c r="I172" s="258">
        <v>-7.1</v>
      </c>
      <c r="J172" s="258">
        <v>0.1</v>
      </c>
      <c r="K172" s="261">
        <f>-K22</f>
        <v>-78.099999999999994</v>
      </c>
      <c r="L172" s="256">
        <v>-195.5</v>
      </c>
      <c r="M172" s="35"/>
      <c r="N172" s="34">
        <v>-72.2</v>
      </c>
      <c r="O172" s="34">
        <v>-23</v>
      </c>
      <c r="P172" s="34">
        <v>-19.8</v>
      </c>
      <c r="Q172" s="34">
        <f>P172</f>
        <v>-19.8</v>
      </c>
      <c r="R172" s="35"/>
      <c r="S172" s="34">
        <f>-S22</f>
        <v>0</v>
      </c>
      <c r="T172" s="34">
        <f>-T22</f>
        <v>0</v>
      </c>
      <c r="U172" s="34">
        <f>-U22</f>
        <v>0</v>
      </c>
      <c r="V172" s="34">
        <f>-V22</f>
        <v>0</v>
      </c>
      <c r="W172" s="35"/>
      <c r="X172" s="34">
        <f>-X22</f>
        <v>0</v>
      </c>
      <c r="Y172" s="34">
        <f>-Y22</f>
        <v>0</v>
      </c>
      <c r="Z172" s="34">
        <f>-Z22</f>
        <v>0</v>
      </c>
      <c r="AA172" s="34">
        <f>-AA22</f>
        <v>0</v>
      </c>
      <c r="AB172" s="35"/>
      <c r="AC172" s="34">
        <f>-AC22</f>
        <v>0</v>
      </c>
      <c r="AD172" s="34">
        <f>-AD22</f>
        <v>0</v>
      </c>
      <c r="AE172" s="34">
        <f>-AE22</f>
        <v>0</v>
      </c>
      <c r="AF172" s="34">
        <f>-AF22</f>
        <v>0</v>
      </c>
      <c r="AG172" s="35"/>
      <c r="AH172" s="34">
        <f>-AH22</f>
        <v>0</v>
      </c>
      <c r="AI172" s="34">
        <f>-AI22</f>
        <v>0</v>
      </c>
      <c r="AJ172" s="34">
        <f>-AJ22</f>
        <v>0</v>
      </c>
      <c r="AK172" s="34">
        <f>-AK22</f>
        <v>0</v>
      </c>
      <c r="AL172" s="35"/>
      <c r="AM172" s="34">
        <f>-AM22</f>
        <v>0</v>
      </c>
      <c r="AN172" s="34">
        <f>-AN22</f>
        <v>0</v>
      </c>
      <c r="AO172" s="34">
        <f>-AO22</f>
        <v>0</v>
      </c>
      <c r="AP172" s="34">
        <f>-AP22</f>
        <v>0</v>
      </c>
      <c r="AQ172" s="35"/>
    </row>
    <row r="173" spans="1:43" outlineLevel="1" x14ac:dyDescent="0.25">
      <c r="A173" s="254"/>
      <c r="B173" s="539" t="s">
        <v>188</v>
      </c>
      <c r="C173" s="540"/>
      <c r="D173" s="258">
        <f>-(5.3+0.5)</f>
        <v>-5.8</v>
      </c>
      <c r="E173" s="258">
        <v>-4.3</v>
      </c>
      <c r="F173" s="258">
        <v>-2.2999999999999998</v>
      </c>
      <c r="G173" s="258">
        <v>-0.2</v>
      </c>
      <c r="H173" s="368">
        <f t="shared" ref="H173:H176" si="491">SUM(D173:G173)</f>
        <v>-12.599999999999998</v>
      </c>
      <c r="I173" s="258">
        <v>-5.6</v>
      </c>
      <c r="J173" s="258">
        <v>-6.8</v>
      </c>
      <c r="K173" s="261">
        <v>-35.04</v>
      </c>
      <c r="L173" s="256">
        <v>0</v>
      </c>
      <c r="M173" s="35"/>
      <c r="N173" s="34">
        <v>0</v>
      </c>
      <c r="O173" s="34">
        <v>0</v>
      </c>
      <c r="P173" s="34">
        <v>22.8</v>
      </c>
      <c r="Q173" s="34">
        <f t="shared" ref="Q173:Q174" si="492">P173</f>
        <v>22.8</v>
      </c>
      <c r="R173" s="35"/>
      <c r="S173" s="34"/>
      <c r="T173" s="34"/>
      <c r="U173" s="34"/>
      <c r="V173" s="34"/>
      <c r="W173" s="35"/>
      <c r="X173" s="34"/>
      <c r="Y173" s="34"/>
      <c r="Z173" s="34"/>
      <c r="AA173" s="34"/>
      <c r="AB173" s="35"/>
      <c r="AC173" s="34"/>
      <c r="AD173" s="34"/>
      <c r="AE173" s="34"/>
      <c r="AF173" s="34"/>
      <c r="AG173" s="35"/>
      <c r="AH173" s="34"/>
      <c r="AI173" s="34"/>
      <c r="AJ173" s="34"/>
      <c r="AK173" s="34"/>
      <c r="AL173" s="35"/>
      <c r="AM173" s="34"/>
      <c r="AN173" s="34"/>
      <c r="AO173" s="34"/>
      <c r="AP173" s="34"/>
      <c r="AQ173" s="35"/>
    </row>
    <row r="174" spans="1:43" outlineLevel="1" x14ac:dyDescent="0.25">
      <c r="A174" s="254"/>
      <c r="B174" s="595" t="s">
        <v>305</v>
      </c>
      <c r="C174" s="596"/>
      <c r="D174" s="258">
        <f>-(60.6-0.3)</f>
        <v>-60.300000000000004</v>
      </c>
      <c r="E174" s="258">
        <v>-68.2</v>
      </c>
      <c r="F174" s="258">
        <v>-69</v>
      </c>
      <c r="G174" s="258">
        <f>-262+197.5</f>
        <v>-64.5</v>
      </c>
      <c r="H174" s="368">
        <f>SUM(D174:G174)</f>
        <v>-262</v>
      </c>
      <c r="I174" s="258">
        <v>-58.9</v>
      </c>
      <c r="J174" s="258">
        <v>-60.1</v>
      </c>
      <c r="K174" s="261">
        <v>-60.54</v>
      </c>
      <c r="L174" s="256">
        <v>-64</v>
      </c>
      <c r="M174" s="35"/>
      <c r="N174" s="34">
        <v>-62.7</v>
      </c>
      <c r="O174" s="34">
        <v>-65.2</v>
      </c>
      <c r="P174" s="34">
        <v>-54.7</v>
      </c>
      <c r="Q174" s="34">
        <f t="shared" si="492"/>
        <v>-54.7</v>
      </c>
      <c r="R174" s="35"/>
      <c r="S174" s="34"/>
      <c r="T174" s="34"/>
      <c r="U174" s="34"/>
      <c r="V174" s="34"/>
      <c r="W174" s="35"/>
      <c r="X174" s="34"/>
      <c r="Y174" s="34"/>
      <c r="Z174" s="34"/>
      <c r="AA174" s="34"/>
      <c r="AB174" s="35"/>
      <c r="AC174" s="34"/>
      <c r="AD174" s="34"/>
      <c r="AE174" s="34"/>
      <c r="AF174" s="34"/>
      <c r="AG174" s="35"/>
      <c r="AH174" s="34"/>
      <c r="AI174" s="34"/>
      <c r="AJ174" s="34"/>
      <c r="AK174" s="34"/>
      <c r="AL174" s="35"/>
      <c r="AM174" s="34"/>
      <c r="AN174" s="34"/>
      <c r="AO174" s="34"/>
      <c r="AP174" s="34"/>
      <c r="AQ174" s="35"/>
    </row>
    <row r="175" spans="1:43" outlineLevel="1" x14ac:dyDescent="0.25">
      <c r="A175" s="254"/>
      <c r="B175" s="539" t="s">
        <v>190</v>
      </c>
      <c r="C175" s="540"/>
      <c r="D175" s="258">
        <v>-23.1</v>
      </c>
      <c r="E175" s="258">
        <v>-23.8</v>
      </c>
      <c r="F175" s="258">
        <v>-14.4</v>
      </c>
      <c r="G175" s="258">
        <v>0</v>
      </c>
      <c r="H175" s="368">
        <f t="shared" si="491"/>
        <v>-61.300000000000004</v>
      </c>
      <c r="I175" s="258"/>
      <c r="J175" s="258"/>
      <c r="K175" s="256"/>
      <c r="L175" s="256"/>
      <c r="M175" s="35"/>
      <c r="N175" s="34"/>
      <c r="O175" s="34"/>
      <c r="P175" s="34"/>
      <c r="Q175" s="34"/>
      <c r="R175" s="35"/>
      <c r="S175" s="34"/>
      <c r="T175" s="34"/>
      <c r="U175" s="34"/>
      <c r="V175" s="34"/>
      <c r="W175" s="35"/>
      <c r="X175" s="34"/>
      <c r="Y175" s="34"/>
      <c r="Z175" s="34"/>
      <c r="AA175" s="34"/>
      <c r="AB175" s="35"/>
      <c r="AC175" s="34"/>
      <c r="AD175" s="34"/>
      <c r="AE175" s="34"/>
      <c r="AF175" s="34"/>
      <c r="AG175" s="35"/>
      <c r="AH175" s="34"/>
      <c r="AI175" s="34"/>
      <c r="AJ175" s="34"/>
      <c r="AK175" s="34"/>
      <c r="AL175" s="35"/>
      <c r="AM175" s="34"/>
      <c r="AN175" s="34"/>
      <c r="AO175" s="34"/>
      <c r="AP175" s="34"/>
      <c r="AQ175" s="35"/>
    </row>
    <row r="176" spans="1:43" ht="17.25" outlineLevel="1" x14ac:dyDescent="0.4">
      <c r="A176" s="254"/>
      <c r="B176" s="539" t="s">
        <v>237</v>
      </c>
      <c r="C176" s="540"/>
      <c r="D176" s="331">
        <v>0</v>
      </c>
      <c r="E176" s="331">
        <v>0</v>
      </c>
      <c r="F176" s="331">
        <v>0</v>
      </c>
      <c r="G176" s="331">
        <v>0</v>
      </c>
      <c r="H176" s="369">
        <f t="shared" si="491"/>
        <v>0</v>
      </c>
      <c r="I176" s="331">
        <v>0</v>
      </c>
      <c r="J176" s="331">
        <v>0</v>
      </c>
      <c r="K176" s="270">
        <v>0</v>
      </c>
      <c r="L176" s="270">
        <v>0</v>
      </c>
      <c r="M176" s="35"/>
      <c r="N176" s="270">
        <v>0</v>
      </c>
      <c r="O176" s="270">
        <v>0</v>
      </c>
      <c r="P176" s="270">
        <v>0</v>
      </c>
      <c r="Q176" s="61">
        <v>0</v>
      </c>
      <c r="R176" s="35"/>
      <c r="S176" s="61">
        <f>AVERAGE(I177,J177,K177,L177,N177,O177,P177,Q177)-S172</f>
        <v>-112.26</v>
      </c>
      <c r="T176" s="61">
        <f>AVERAGE(J177,K177,L177,N177,O177,P177,Q177,S177)-T172</f>
        <v>-117.34250000000002</v>
      </c>
      <c r="U176" s="61">
        <f>AVERAGE(K177,L177,N177,O177,P177,Q177,S177,T177)-U172</f>
        <v>-123.6603125</v>
      </c>
      <c r="V176" s="61">
        <f>AVERAGE(L177,N177,O177,P177,Q177,S177,T177,U177)-V172</f>
        <v>-117.4078515625</v>
      </c>
      <c r="W176" s="35"/>
      <c r="X176" s="61">
        <f>AVERAGE(N177,O177,P177,Q177,S177,T177,U177,V177)-X172</f>
        <v>-99.646333007812501</v>
      </c>
      <c r="Y176" s="61">
        <f>AVERAGE(O177,P177,Q177,S177,T177,U177,V177,X177)-Y172</f>
        <v>-95.239624633789063</v>
      </c>
      <c r="Z176" s="61">
        <f>AVERAGE(P177,Q177,S177,T177,U177,V177,X177,Y177)-Z172</f>
        <v>-96.119577713012703</v>
      </c>
      <c r="AA176" s="61">
        <f>AVERAGE(Q177,S177,T177,U177,V177,X177,Y177,Z177)-AA172</f>
        <v>-101.67202492713929</v>
      </c>
      <c r="AB176" s="35"/>
      <c r="AC176" s="61">
        <f>AVERAGE(S177,T177,U177,V177,X177,Y177,Z177,AA177)-AC172</f>
        <v>-107.9185280430317</v>
      </c>
      <c r="AD176" s="61">
        <f>AVERAGE(T177,U177,V177,X177,Y177,Z177,AA177,AC177)-AD172</f>
        <v>-107.37584404841067</v>
      </c>
      <c r="AE176" s="61">
        <f>AVERAGE(U177,V177,X177,Y177,Z177,AA177,AC177,AD177)-AE172</f>
        <v>-106.13001205446201</v>
      </c>
      <c r="AF176" s="61">
        <f>AVERAGE(V177,X177,Y177,Z177,AA177,AC177,AD177,AE177)-AF172</f>
        <v>-103.93872449876974</v>
      </c>
      <c r="AG176" s="35"/>
      <c r="AH176" s="61">
        <f>AVERAGE(X177,Y177,Z177,AA177,AC177,AD177,AE177,AF177)-AH172</f>
        <v>-102.25508361580346</v>
      </c>
      <c r="AI176" s="61">
        <f>AVERAGE(Y177,Z177,AA177,AC177,AD177,AE177,AF177,AH177)-AI172</f>
        <v>-102.58117744180232</v>
      </c>
      <c r="AJ176" s="61">
        <f>AVERAGE(Z177,AA177,AC177,AD177,AE177,AF177,AH177,AI177)-AJ172</f>
        <v>-103.49887154280398</v>
      </c>
      <c r="AK176" s="61">
        <f>AVERAGE(AA177,AC177,AD177,AE177,AF177,AH177,AI177,AJ177)-AK172</f>
        <v>-104.42128327152788</v>
      </c>
      <c r="AL176" s="35"/>
      <c r="AM176" s="61">
        <f>AVERAGE(AC177,AD177,AE177,AF177,AH177,AI177,AJ177,AK177)-AM172</f>
        <v>-104.76494056457645</v>
      </c>
      <c r="AN176" s="61">
        <f>AVERAGE(AD177,AE177,AF177,AH177,AI177,AJ177,AK177,AM177)-AN172</f>
        <v>-104.37074212976957</v>
      </c>
      <c r="AO176" s="61">
        <f>AVERAGE(AE177,AF177,AH177,AI177,AJ177,AK177,AM177,AN177)-AO172</f>
        <v>-103.99510438993943</v>
      </c>
      <c r="AP176" s="61">
        <f>AVERAGE(AF177,AH177,AI177,AJ177,AK177,AM177,AN177,AO177)-AP172</f>
        <v>-103.72824093187411</v>
      </c>
      <c r="AQ176" s="35"/>
    </row>
    <row r="177" spans="1:43" s="20" customFormat="1" outlineLevel="1" x14ac:dyDescent="0.25">
      <c r="A177" s="269"/>
      <c r="B177" s="545" t="s">
        <v>191</v>
      </c>
      <c r="C177" s="542"/>
      <c r="D177" s="171">
        <f t="shared" ref="D177:L177" si="493">SUM(D172:D176)</f>
        <v>-138</v>
      </c>
      <c r="E177" s="171">
        <f t="shared" si="493"/>
        <v>-141.4</v>
      </c>
      <c r="F177" s="171">
        <f t="shared" si="493"/>
        <v>-125.30000000000001</v>
      </c>
      <c r="G177" s="171">
        <f t="shared" si="493"/>
        <v>-77.399999999999991</v>
      </c>
      <c r="H177" s="172">
        <f t="shared" si="493"/>
        <v>-482.09999999999997</v>
      </c>
      <c r="I177" s="171">
        <f t="shared" si="493"/>
        <v>-71.599999999999994</v>
      </c>
      <c r="J177" s="171">
        <f t="shared" si="493"/>
        <v>-66.8</v>
      </c>
      <c r="K177" s="171">
        <f t="shared" si="493"/>
        <v>-173.67999999999998</v>
      </c>
      <c r="L177" s="171">
        <f t="shared" si="493"/>
        <v>-259.5</v>
      </c>
      <c r="M177" s="42"/>
      <c r="N177" s="171">
        <f>SUM(N172:N176)</f>
        <v>-134.9</v>
      </c>
      <c r="O177" s="171">
        <f>SUM(O172:O176)</f>
        <v>-88.2</v>
      </c>
      <c r="P177" s="171">
        <f>SUM(P172:P176)</f>
        <v>-51.7</v>
      </c>
      <c r="Q177" s="171">
        <f>SUM(Q172:Q176)</f>
        <v>-51.7</v>
      </c>
      <c r="R177" s="42"/>
      <c r="S177" s="171">
        <f>SUM(S172:S176)</f>
        <v>-112.26</v>
      </c>
      <c r="T177" s="171">
        <f>SUM(T172:T176)</f>
        <v>-117.34250000000002</v>
      </c>
      <c r="U177" s="171">
        <f>SUM(U172:U176)</f>
        <v>-123.6603125</v>
      </c>
      <c r="V177" s="171">
        <f>SUM(V172:V176)</f>
        <v>-117.4078515625</v>
      </c>
      <c r="W177" s="42"/>
      <c r="X177" s="171">
        <f>SUM(X172:X176)</f>
        <v>-99.646333007812501</v>
      </c>
      <c r="Y177" s="171">
        <f>SUM(Y172:Y176)</f>
        <v>-95.239624633789063</v>
      </c>
      <c r="Z177" s="171">
        <f>SUM(Z172:Z176)</f>
        <v>-96.119577713012703</v>
      </c>
      <c r="AA177" s="171">
        <f>SUM(AA172:AA176)</f>
        <v>-101.67202492713929</v>
      </c>
      <c r="AB177" s="42"/>
      <c r="AC177" s="171">
        <f>SUM(AC172:AC176)</f>
        <v>-107.9185280430317</v>
      </c>
      <c r="AD177" s="171">
        <f>SUM(AD172:AD176)</f>
        <v>-107.37584404841067</v>
      </c>
      <c r="AE177" s="171">
        <f>SUM(AE172:AE176)</f>
        <v>-106.13001205446201</v>
      </c>
      <c r="AF177" s="171">
        <f>SUM(AF172:AF176)</f>
        <v>-103.93872449876974</v>
      </c>
      <c r="AG177" s="42"/>
      <c r="AH177" s="171">
        <f>SUM(AH172:AH176)</f>
        <v>-102.25508361580346</v>
      </c>
      <c r="AI177" s="171">
        <f>SUM(AI172:AI176)</f>
        <v>-102.58117744180232</v>
      </c>
      <c r="AJ177" s="171">
        <f>SUM(AJ172:AJ176)</f>
        <v>-103.49887154280398</v>
      </c>
      <c r="AK177" s="171">
        <f>SUM(AK172:AK176)</f>
        <v>-104.42128327152788</v>
      </c>
      <c r="AL177" s="42"/>
      <c r="AM177" s="171">
        <f>SUM(AM172:AM176)</f>
        <v>-104.76494056457645</v>
      </c>
      <c r="AN177" s="171">
        <f>SUM(AN172:AN176)</f>
        <v>-104.37074212976957</v>
      </c>
      <c r="AO177" s="171">
        <f>SUM(AO172:AO176)</f>
        <v>-103.99510438993943</v>
      </c>
      <c r="AP177" s="171">
        <f>SUM(AP172:AP176)</f>
        <v>-103.72824093187411</v>
      </c>
      <c r="AQ177" s="42"/>
    </row>
    <row r="178" spans="1:43" ht="17.25" outlineLevel="1" x14ac:dyDescent="0.4">
      <c r="A178" s="254"/>
      <c r="B178" s="539" t="s">
        <v>345</v>
      </c>
      <c r="C178" s="540"/>
      <c r="D178" s="173">
        <v>0</v>
      </c>
      <c r="E178" s="173">
        <v>0</v>
      </c>
      <c r="F178" s="173">
        <v>0</v>
      </c>
      <c r="G178" s="173">
        <v>0</v>
      </c>
      <c r="H178" s="35"/>
      <c r="I178" s="173">
        <v>0</v>
      </c>
      <c r="J178" s="173">
        <v>0</v>
      </c>
      <c r="K178" s="173">
        <v>0</v>
      </c>
      <c r="L178" s="173">
        <v>0</v>
      </c>
      <c r="M178" s="35"/>
      <c r="N178" s="173">
        <v>0</v>
      </c>
      <c r="O178" s="173">
        <v>0</v>
      </c>
      <c r="P178" s="173">
        <v>0</v>
      </c>
      <c r="Q178" s="491">
        <v>0</v>
      </c>
      <c r="R178" s="35"/>
      <c r="S178" s="173">
        <v>0</v>
      </c>
      <c r="T178" s="173">
        <v>0</v>
      </c>
      <c r="U178" s="173">
        <v>0</v>
      </c>
      <c r="V178" s="173">
        <v>0</v>
      </c>
      <c r="W178" s="35"/>
      <c r="X178" s="173">
        <v>0</v>
      </c>
      <c r="Y178" s="173">
        <v>0</v>
      </c>
      <c r="Z178" s="173">
        <v>0</v>
      </c>
      <c r="AA178" s="173">
        <v>0</v>
      </c>
      <c r="AB178" s="35"/>
      <c r="AC178" s="173">
        <v>0</v>
      </c>
      <c r="AD178" s="173">
        <v>0</v>
      </c>
      <c r="AE178" s="173">
        <v>0</v>
      </c>
      <c r="AF178" s="173">
        <v>0</v>
      </c>
      <c r="AG178" s="35"/>
      <c r="AH178" s="173">
        <v>0</v>
      </c>
      <c r="AI178" s="173">
        <v>0</v>
      </c>
      <c r="AJ178" s="173">
        <v>0</v>
      </c>
      <c r="AK178" s="173">
        <v>0</v>
      </c>
      <c r="AL178" s="35"/>
      <c r="AM178" s="173">
        <v>0</v>
      </c>
      <c r="AN178" s="173">
        <v>0</v>
      </c>
      <c r="AO178" s="173">
        <v>0</v>
      </c>
      <c r="AP178" s="173">
        <v>0</v>
      </c>
      <c r="AQ178" s="35"/>
    </row>
    <row r="179" spans="1:43" s="20" customFormat="1" outlineLevel="1" x14ac:dyDescent="0.25">
      <c r="A179" s="269"/>
      <c r="B179" s="545" t="s">
        <v>192</v>
      </c>
      <c r="C179" s="542"/>
      <c r="D179" s="171">
        <f t="shared" ref="D179:G179" si="494">-D177+D178</f>
        <v>138</v>
      </c>
      <c r="E179" s="171">
        <f t="shared" si="494"/>
        <v>141.4</v>
      </c>
      <c r="F179" s="171">
        <f t="shared" si="494"/>
        <v>125.30000000000001</v>
      </c>
      <c r="G179" s="171">
        <f t="shared" si="494"/>
        <v>77.399999999999991</v>
      </c>
      <c r="H179" s="42"/>
      <c r="I179" s="171">
        <f t="shared" ref="I179:L179" si="495">-I177+I178</f>
        <v>71.599999999999994</v>
      </c>
      <c r="J179" s="171">
        <f t="shared" si="495"/>
        <v>66.8</v>
      </c>
      <c r="K179" s="171">
        <f t="shared" si="495"/>
        <v>173.67999999999998</v>
      </c>
      <c r="L179" s="171">
        <f t="shared" si="495"/>
        <v>259.5</v>
      </c>
      <c r="M179" s="42"/>
      <c r="N179" s="171">
        <f t="shared" ref="N179:Q179" si="496">-N177+N178</f>
        <v>134.9</v>
      </c>
      <c r="O179" s="171">
        <f t="shared" si="496"/>
        <v>88.2</v>
      </c>
      <c r="P179" s="171">
        <f t="shared" si="496"/>
        <v>51.7</v>
      </c>
      <c r="Q179" s="171">
        <f t="shared" si="496"/>
        <v>51.7</v>
      </c>
      <c r="R179" s="42"/>
      <c r="S179" s="171">
        <f t="shared" ref="S179:V179" si="497">-S177+S178</f>
        <v>112.26</v>
      </c>
      <c r="T179" s="171">
        <f t="shared" si="497"/>
        <v>117.34250000000002</v>
      </c>
      <c r="U179" s="171">
        <f t="shared" si="497"/>
        <v>123.6603125</v>
      </c>
      <c r="V179" s="171">
        <f t="shared" si="497"/>
        <v>117.4078515625</v>
      </c>
      <c r="W179" s="42"/>
      <c r="X179" s="171">
        <f t="shared" ref="X179:AA179" si="498">-X177+X178</f>
        <v>99.646333007812501</v>
      </c>
      <c r="Y179" s="171">
        <f t="shared" si="498"/>
        <v>95.239624633789063</v>
      </c>
      <c r="Z179" s="171">
        <f t="shared" si="498"/>
        <v>96.119577713012703</v>
      </c>
      <c r="AA179" s="171">
        <f t="shared" si="498"/>
        <v>101.67202492713929</v>
      </c>
      <c r="AB179" s="42"/>
      <c r="AC179" s="171">
        <f t="shared" ref="AC179:AF179" si="499">-AC177+AC178</f>
        <v>107.9185280430317</v>
      </c>
      <c r="AD179" s="171">
        <f t="shared" si="499"/>
        <v>107.37584404841067</v>
      </c>
      <c r="AE179" s="171">
        <f t="shared" si="499"/>
        <v>106.13001205446201</v>
      </c>
      <c r="AF179" s="171">
        <f t="shared" si="499"/>
        <v>103.93872449876974</v>
      </c>
      <c r="AG179" s="42"/>
      <c r="AH179" s="171">
        <f t="shared" ref="AH179:AK179" si="500">-AH177+AH178</f>
        <v>102.25508361580346</v>
      </c>
      <c r="AI179" s="171">
        <f t="shared" si="500"/>
        <v>102.58117744180232</v>
      </c>
      <c r="AJ179" s="171">
        <f t="shared" si="500"/>
        <v>103.49887154280398</v>
      </c>
      <c r="AK179" s="171">
        <f t="shared" si="500"/>
        <v>104.42128327152788</v>
      </c>
      <c r="AL179" s="42"/>
      <c r="AM179" s="171">
        <f t="shared" ref="AM179:AP179" si="501">-AM177+AM178</f>
        <v>104.76494056457645</v>
      </c>
      <c r="AN179" s="171">
        <f t="shared" si="501"/>
        <v>104.37074212976957</v>
      </c>
      <c r="AO179" s="171">
        <f t="shared" si="501"/>
        <v>103.99510438993943</v>
      </c>
      <c r="AP179" s="171">
        <f t="shared" si="501"/>
        <v>103.72824093187411</v>
      </c>
      <c r="AQ179" s="42"/>
    </row>
    <row r="180" spans="1:43" outlineLevel="1" x14ac:dyDescent="0.25">
      <c r="A180" s="254"/>
      <c r="B180" s="539" t="s">
        <v>193</v>
      </c>
      <c r="C180" s="540"/>
      <c r="D180" s="169">
        <v>0</v>
      </c>
      <c r="E180" s="256">
        <f>-0.02*E39</f>
        <v>-25.014000000000003</v>
      </c>
      <c r="F180" s="256">
        <f>0.49*F39</f>
        <v>599.27</v>
      </c>
      <c r="G180" s="256">
        <v>0</v>
      </c>
      <c r="H180" s="449"/>
      <c r="I180" s="256">
        <v>0</v>
      </c>
      <c r="J180" s="256">
        <v>0</v>
      </c>
      <c r="K180" s="256">
        <v>0</v>
      </c>
      <c r="L180" s="256">
        <v>0</v>
      </c>
      <c r="M180" s="35"/>
      <c r="N180" s="256">
        <v>0</v>
      </c>
      <c r="O180" s="256">
        <v>0</v>
      </c>
      <c r="P180" s="256">
        <v>0</v>
      </c>
      <c r="Q180" s="63">
        <v>0</v>
      </c>
      <c r="R180" s="35"/>
      <c r="S180" s="63">
        <v>0</v>
      </c>
      <c r="T180" s="63">
        <v>0</v>
      </c>
      <c r="U180" s="63">
        <v>0</v>
      </c>
      <c r="V180" s="63">
        <v>0</v>
      </c>
      <c r="W180" s="35"/>
      <c r="X180" s="63">
        <v>0</v>
      </c>
      <c r="Y180" s="63">
        <v>0</v>
      </c>
      <c r="Z180" s="63">
        <v>0</v>
      </c>
      <c r="AA180" s="63">
        <v>0</v>
      </c>
      <c r="AB180" s="35"/>
      <c r="AC180" s="63">
        <v>0</v>
      </c>
      <c r="AD180" s="63">
        <v>0</v>
      </c>
      <c r="AE180" s="63">
        <v>0</v>
      </c>
      <c r="AF180" s="63">
        <v>0</v>
      </c>
      <c r="AG180" s="35"/>
      <c r="AH180" s="63">
        <v>0</v>
      </c>
      <c r="AI180" s="63">
        <v>0</v>
      </c>
      <c r="AJ180" s="63">
        <v>0</v>
      </c>
      <c r="AK180" s="63">
        <v>0</v>
      </c>
      <c r="AL180" s="35"/>
      <c r="AM180" s="63">
        <v>0</v>
      </c>
      <c r="AN180" s="63">
        <v>0</v>
      </c>
      <c r="AO180" s="63">
        <v>0</v>
      </c>
      <c r="AP180" s="63">
        <v>0</v>
      </c>
      <c r="AQ180" s="35"/>
    </row>
    <row r="181" spans="1:43" outlineLevel="1" x14ac:dyDescent="0.25">
      <c r="A181" s="254"/>
      <c r="B181" s="595" t="s">
        <v>199</v>
      </c>
      <c r="C181" s="596"/>
      <c r="D181" s="169">
        <v>-41.449999999998646</v>
      </c>
      <c r="E181" s="34">
        <v>79.193999999999548</v>
      </c>
      <c r="F181" s="34">
        <v>-55.109999999999197</v>
      </c>
      <c r="G181" s="34">
        <v>30</v>
      </c>
      <c r="H181" s="35"/>
      <c r="I181" s="34">
        <v>11</v>
      </c>
      <c r="J181" s="34">
        <v>23</v>
      </c>
      <c r="K181" s="34">
        <f>0.03*K39</f>
        <v>35.055</v>
      </c>
      <c r="L181" s="256">
        <v>50.810000000000372</v>
      </c>
      <c r="M181" s="35"/>
      <c r="N181" s="34">
        <f>0.03*N39</f>
        <v>35.49</v>
      </c>
      <c r="O181" s="34">
        <f>0.01*O39</f>
        <v>11.847999999999999</v>
      </c>
      <c r="P181" s="34">
        <f>0.01*P39</f>
        <v>11.862</v>
      </c>
      <c r="Q181" s="34">
        <f t="shared" ref="Q181" si="502">+Q179*Q182</f>
        <v>12.925000000000001</v>
      </c>
      <c r="R181" s="35"/>
      <c r="S181" s="34">
        <f>+S179*S182</f>
        <v>28.065000000000001</v>
      </c>
      <c r="T181" s="34">
        <f>+T179*T182</f>
        <v>29.335625000000004</v>
      </c>
      <c r="U181" s="34">
        <f t="shared" ref="U181:V181" si="503">+U179*U182</f>
        <v>30.915078125000001</v>
      </c>
      <c r="V181" s="34">
        <f t="shared" si="503"/>
        <v>29.351962890625</v>
      </c>
      <c r="W181" s="35"/>
      <c r="X181" s="34">
        <f>+X179*X182</f>
        <v>24.911583251953125</v>
      </c>
      <c r="Y181" s="34">
        <f>+Y179*Y182</f>
        <v>23.809906158447266</v>
      </c>
      <c r="Z181" s="34">
        <f t="shared" ref="Z181:AA181" si="504">+Z179*Z182</f>
        <v>24.029894428253176</v>
      </c>
      <c r="AA181" s="34">
        <f t="shared" si="504"/>
        <v>25.418006231784823</v>
      </c>
      <c r="AB181" s="35"/>
      <c r="AC181" s="34">
        <f>+AC179*AC182</f>
        <v>26.979632010757925</v>
      </c>
      <c r="AD181" s="34">
        <f>+AD179*AD182</f>
        <v>26.843961012102667</v>
      </c>
      <c r="AE181" s="34">
        <f t="shared" ref="AE181:AF181" si="505">+AE179*AE182</f>
        <v>26.532503013615504</v>
      </c>
      <c r="AF181" s="34">
        <f t="shared" si="505"/>
        <v>25.984681124692436</v>
      </c>
      <c r="AG181" s="35"/>
      <c r="AH181" s="34">
        <f>+AH179*AH182</f>
        <v>25.563770903950864</v>
      </c>
      <c r="AI181" s="34">
        <f>+AI179*AI182</f>
        <v>25.645294360450581</v>
      </c>
      <c r="AJ181" s="34">
        <f t="shared" ref="AJ181:AK181" si="506">+AJ179*AJ182</f>
        <v>25.874717885700996</v>
      </c>
      <c r="AK181" s="34">
        <f t="shared" si="506"/>
        <v>26.105320817881971</v>
      </c>
      <c r="AL181" s="35"/>
      <c r="AM181" s="34">
        <f>+AM179*AM182</f>
        <v>26.191235141144112</v>
      </c>
      <c r="AN181" s="34">
        <f>+AN179*AN182</f>
        <v>26.092685532442392</v>
      </c>
      <c r="AO181" s="34">
        <f t="shared" ref="AO181:AP181" si="507">+AO179*AO182</f>
        <v>25.998776097484857</v>
      </c>
      <c r="AP181" s="34">
        <f t="shared" si="507"/>
        <v>25.932060232968528</v>
      </c>
      <c r="AQ181" s="35"/>
    </row>
    <row r="182" spans="1:43" outlineLevel="1" x14ac:dyDescent="0.25">
      <c r="A182" s="254"/>
      <c r="B182" s="543" t="s">
        <v>200</v>
      </c>
      <c r="C182" s="544"/>
      <c r="D182" s="230">
        <f t="shared" ref="D182:G182" si="508">D181/D179</f>
        <v>-0.30036231884056991</v>
      </c>
      <c r="E182" s="230">
        <f t="shared" si="508"/>
        <v>0.56007072135784686</v>
      </c>
      <c r="F182" s="230">
        <f t="shared" si="508"/>
        <v>-0.43982442138866074</v>
      </c>
      <c r="G182" s="230">
        <f t="shared" si="508"/>
        <v>0.38759689922480622</v>
      </c>
      <c r="H182" s="73"/>
      <c r="I182" s="230">
        <f t="shared" ref="I182:P182" si="509">I181/I179</f>
        <v>0.15363128491620112</v>
      </c>
      <c r="J182" s="230">
        <f t="shared" si="509"/>
        <v>0.34431137724550898</v>
      </c>
      <c r="K182" s="230">
        <f t="shared" si="509"/>
        <v>0.20183671119299865</v>
      </c>
      <c r="L182" s="230">
        <f t="shared" si="509"/>
        <v>0.1957996146435467</v>
      </c>
      <c r="M182" s="73"/>
      <c r="N182" s="230">
        <f t="shared" si="509"/>
        <v>0.26308376575240922</v>
      </c>
      <c r="O182" s="230">
        <f t="shared" si="509"/>
        <v>0.13433106575963719</v>
      </c>
      <c r="P182" s="230">
        <f t="shared" si="509"/>
        <v>0.22943907156673113</v>
      </c>
      <c r="Q182" s="231">
        <v>0.25</v>
      </c>
      <c r="R182" s="73"/>
      <c r="S182" s="231">
        <f>Q182</f>
        <v>0.25</v>
      </c>
      <c r="T182" s="231">
        <f>S182</f>
        <v>0.25</v>
      </c>
      <c r="U182" s="231">
        <f>T182</f>
        <v>0.25</v>
      </c>
      <c r="V182" s="231">
        <f>U182</f>
        <v>0.25</v>
      </c>
      <c r="W182" s="73"/>
      <c r="X182" s="231">
        <f>V182</f>
        <v>0.25</v>
      </c>
      <c r="Y182" s="231">
        <f>X182</f>
        <v>0.25</v>
      </c>
      <c r="Z182" s="231">
        <f>Y182</f>
        <v>0.25</v>
      </c>
      <c r="AA182" s="231">
        <f>Z182</f>
        <v>0.25</v>
      </c>
      <c r="AB182" s="73"/>
      <c r="AC182" s="231">
        <f>AA182</f>
        <v>0.25</v>
      </c>
      <c r="AD182" s="231">
        <f>AC182</f>
        <v>0.25</v>
      </c>
      <c r="AE182" s="231">
        <f>AD182</f>
        <v>0.25</v>
      </c>
      <c r="AF182" s="231">
        <f>AE182</f>
        <v>0.25</v>
      </c>
      <c r="AG182" s="73"/>
      <c r="AH182" s="231">
        <f>AF182</f>
        <v>0.25</v>
      </c>
      <c r="AI182" s="231">
        <f>AH182</f>
        <v>0.25</v>
      </c>
      <c r="AJ182" s="231">
        <f>AI182</f>
        <v>0.25</v>
      </c>
      <c r="AK182" s="231">
        <f>AJ182</f>
        <v>0.25</v>
      </c>
      <c r="AL182" s="73"/>
      <c r="AM182" s="231">
        <f>AK182</f>
        <v>0.25</v>
      </c>
      <c r="AN182" s="231">
        <f>AM182</f>
        <v>0.25</v>
      </c>
      <c r="AO182" s="231">
        <f>AN182</f>
        <v>0.25</v>
      </c>
      <c r="AP182" s="231">
        <f>AO182</f>
        <v>0.25</v>
      </c>
      <c r="AQ182" s="73"/>
    </row>
    <row r="183" spans="1:43" s="186" customFormat="1" x14ac:dyDescent="0.25">
      <c r="A183" s="272"/>
      <c r="B183" s="501" t="s">
        <v>361</v>
      </c>
      <c r="C183" s="501"/>
      <c r="D183" s="502"/>
      <c r="E183" s="503"/>
      <c r="F183" s="503"/>
      <c r="G183" s="503"/>
      <c r="H183" s="503"/>
      <c r="I183" s="503"/>
      <c r="J183" s="503"/>
      <c r="K183" s="503"/>
      <c r="L183" s="503"/>
      <c r="M183" s="503"/>
      <c r="N183" s="504"/>
      <c r="O183" s="195"/>
      <c r="P183" s="195"/>
      <c r="Q183" s="195"/>
      <c r="R183" s="503"/>
      <c r="S183" s="195"/>
      <c r="T183" s="195"/>
      <c r="U183" s="195"/>
      <c r="V183" s="195"/>
      <c r="W183" s="503"/>
      <c r="X183" s="195"/>
      <c r="Y183" s="195"/>
      <c r="Z183" s="195"/>
      <c r="AA183" s="195"/>
      <c r="AB183" s="505">
        <f>(AB102+AB67)/(AVERAGE(S101:V101)+AVERAGE(S66:V66))</f>
        <v>5.7694018294336777E-2</v>
      </c>
      <c r="AC183" s="195"/>
      <c r="AD183" s="195"/>
      <c r="AE183" s="195"/>
      <c r="AF183" s="195"/>
      <c r="AG183" s="505">
        <f>(AG102+AG67)/(AVERAGE(X101:AA101)+AVERAGE(X66:AA66))</f>
        <v>5.8369938543015754E-2</v>
      </c>
      <c r="AH183" s="195"/>
      <c r="AI183" s="195"/>
      <c r="AJ183" s="195"/>
      <c r="AK183" s="195"/>
      <c r="AL183" s="506">
        <f>(AL102+AL67)/(AVERAGE(AC101:AF101)+AVERAGE(AC66:AF66))</f>
        <v>5.5212618435503638E-2</v>
      </c>
      <c r="AM183" s="275"/>
      <c r="AN183" s="275"/>
      <c r="AO183" s="275"/>
      <c r="AP183" s="275"/>
      <c r="AQ183" s="506">
        <f>(AQ102+AQ67)/(AVERAGE(AH101:AK101)+AVERAGE(AH66:AK66))</f>
        <v>5.2323690478004205E-2</v>
      </c>
    </row>
    <row r="184" spans="1:43" ht="15.75" x14ac:dyDescent="0.25">
      <c r="A184" s="254"/>
      <c r="B184" s="565" t="s">
        <v>117</v>
      </c>
      <c r="C184" s="566"/>
      <c r="D184" s="31" t="s">
        <v>106</v>
      </c>
      <c r="E184" s="31" t="s">
        <v>244</v>
      </c>
      <c r="F184" s="31" t="s">
        <v>246</v>
      </c>
      <c r="G184" s="31" t="s">
        <v>337</v>
      </c>
      <c r="H184" s="85" t="s">
        <v>337</v>
      </c>
      <c r="I184" s="31" t="s">
        <v>336</v>
      </c>
      <c r="J184" s="31" t="s">
        <v>335</v>
      </c>
      <c r="K184" s="31" t="s">
        <v>334</v>
      </c>
      <c r="L184" s="31" t="s">
        <v>321</v>
      </c>
      <c r="M184" s="85" t="s">
        <v>321</v>
      </c>
      <c r="N184" s="31" t="s">
        <v>338</v>
      </c>
      <c r="O184" s="31" t="s">
        <v>346</v>
      </c>
      <c r="P184" s="31" t="s">
        <v>348</v>
      </c>
      <c r="Q184" s="33" t="s">
        <v>120</v>
      </c>
      <c r="R184" s="88" t="s">
        <v>120</v>
      </c>
      <c r="S184" s="33" t="s">
        <v>121</v>
      </c>
      <c r="T184" s="33" t="s">
        <v>122</v>
      </c>
      <c r="U184" s="33" t="s">
        <v>123</v>
      </c>
      <c r="V184" s="33" t="s">
        <v>124</v>
      </c>
      <c r="W184" s="88" t="s">
        <v>124</v>
      </c>
      <c r="X184" s="33" t="s">
        <v>125</v>
      </c>
      <c r="Y184" s="33" t="s">
        <v>126</v>
      </c>
      <c r="Z184" s="33" t="s">
        <v>127</v>
      </c>
      <c r="AA184" s="33" t="s">
        <v>128</v>
      </c>
      <c r="AB184" s="88" t="s">
        <v>128</v>
      </c>
      <c r="AC184" s="33" t="s">
        <v>248</v>
      </c>
      <c r="AD184" s="33" t="s">
        <v>249</v>
      </c>
      <c r="AE184" s="33" t="s">
        <v>250</v>
      </c>
      <c r="AF184" s="33" t="s">
        <v>251</v>
      </c>
      <c r="AG184" s="88" t="s">
        <v>251</v>
      </c>
      <c r="AH184" s="33" t="s">
        <v>281</v>
      </c>
      <c r="AI184" s="33" t="s">
        <v>282</v>
      </c>
      <c r="AJ184" s="33" t="s">
        <v>283</v>
      </c>
      <c r="AK184" s="33" t="s">
        <v>284</v>
      </c>
      <c r="AL184" s="88" t="s">
        <v>284</v>
      </c>
      <c r="AM184" s="33" t="s">
        <v>352</v>
      </c>
      <c r="AN184" s="33" t="s">
        <v>353</v>
      </c>
      <c r="AO184" s="33" t="s">
        <v>354</v>
      </c>
      <c r="AP184" s="33" t="s">
        <v>355</v>
      </c>
      <c r="AQ184" s="88" t="s">
        <v>355</v>
      </c>
    </row>
    <row r="185" spans="1:43" ht="17.25" x14ac:dyDescent="0.4">
      <c r="A185" s="254"/>
      <c r="B185" s="537" t="s">
        <v>3</v>
      </c>
      <c r="C185" s="538"/>
      <c r="D185" s="32" t="s">
        <v>119</v>
      </c>
      <c r="E185" s="32" t="s">
        <v>243</v>
      </c>
      <c r="F185" s="32" t="s">
        <v>247</v>
      </c>
      <c r="G185" s="32" t="s">
        <v>257</v>
      </c>
      <c r="H185" s="86" t="s">
        <v>258</v>
      </c>
      <c r="I185" s="32" t="s">
        <v>259</v>
      </c>
      <c r="J185" s="32" t="s">
        <v>260</v>
      </c>
      <c r="K185" s="32" t="s">
        <v>261</v>
      </c>
      <c r="L185" s="32" t="s">
        <v>322</v>
      </c>
      <c r="M185" s="86" t="s">
        <v>333</v>
      </c>
      <c r="N185" s="32" t="s">
        <v>339</v>
      </c>
      <c r="O185" s="32" t="s">
        <v>347</v>
      </c>
      <c r="P185" s="32" t="s">
        <v>349</v>
      </c>
      <c r="Q185" s="30" t="s">
        <v>129</v>
      </c>
      <c r="R185" s="89" t="s">
        <v>130</v>
      </c>
      <c r="S185" s="30" t="s">
        <v>131</v>
      </c>
      <c r="T185" s="30" t="s">
        <v>132</v>
      </c>
      <c r="U185" s="30" t="s">
        <v>133</v>
      </c>
      <c r="V185" s="30" t="s">
        <v>134</v>
      </c>
      <c r="W185" s="89" t="s">
        <v>135</v>
      </c>
      <c r="X185" s="30" t="s">
        <v>136</v>
      </c>
      <c r="Y185" s="30" t="s">
        <v>137</v>
      </c>
      <c r="Z185" s="30" t="s">
        <v>138</v>
      </c>
      <c r="AA185" s="30" t="s">
        <v>139</v>
      </c>
      <c r="AB185" s="89" t="s">
        <v>140</v>
      </c>
      <c r="AC185" s="30" t="s">
        <v>252</v>
      </c>
      <c r="AD185" s="30" t="s">
        <v>253</v>
      </c>
      <c r="AE185" s="30" t="s">
        <v>254</v>
      </c>
      <c r="AF185" s="30" t="s">
        <v>255</v>
      </c>
      <c r="AG185" s="89" t="s">
        <v>256</v>
      </c>
      <c r="AH185" s="30" t="s">
        <v>285</v>
      </c>
      <c r="AI185" s="30" t="s">
        <v>286</v>
      </c>
      <c r="AJ185" s="30" t="s">
        <v>287</v>
      </c>
      <c r="AK185" s="30" t="s">
        <v>288</v>
      </c>
      <c r="AL185" s="89" t="s">
        <v>289</v>
      </c>
      <c r="AM185" s="30" t="s">
        <v>356</v>
      </c>
      <c r="AN185" s="30" t="s">
        <v>357</v>
      </c>
      <c r="AO185" s="30" t="s">
        <v>358</v>
      </c>
      <c r="AP185" s="30" t="s">
        <v>359</v>
      </c>
      <c r="AQ185" s="89" t="s">
        <v>360</v>
      </c>
    </row>
    <row r="186" spans="1:43" ht="14.65" customHeight="1" x14ac:dyDescent="0.25">
      <c r="A186" s="254"/>
      <c r="B186" s="565" t="s">
        <v>6</v>
      </c>
      <c r="C186" s="566"/>
      <c r="D186" s="31"/>
      <c r="E186" s="31"/>
      <c r="F186" s="31"/>
      <c r="G186" s="297"/>
      <c r="H186" s="298"/>
      <c r="I186" s="297"/>
      <c r="J186" s="31"/>
      <c r="K186" s="31"/>
      <c r="L186" s="297"/>
      <c r="M186" s="298"/>
      <c r="N186" s="297"/>
      <c r="O186" s="31"/>
      <c r="P186" s="31"/>
      <c r="Q186" s="33"/>
      <c r="R186" s="88"/>
      <c r="S186" s="33"/>
      <c r="T186" s="33"/>
      <c r="U186" s="33"/>
      <c r="V186" s="33"/>
      <c r="W186" s="88"/>
      <c r="X186" s="33"/>
      <c r="Y186" s="33"/>
      <c r="Z186" s="33"/>
      <c r="AA186" s="33"/>
      <c r="AB186" s="88"/>
      <c r="AC186" s="33"/>
      <c r="AD186" s="33"/>
      <c r="AE186" s="33"/>
      <c r="AF186" s="33"/>
      <c r="AG186" s="88"/>
      <c r="AH186" s="33"/>
      <c r="AI186" s="33"/>
      <c r="AJ186" s="33"/>
      <c r="AK186" s="33"/>
      <c r="AL186" s="88"/>
      <c r="AM186" s="33"/>
      <c r="AN186" s="33"/>
      <c r="AO186" s="33"/>
      <c r="AP186" s="33"/>
      <c r="AQ186" s="88"/>
    </row>
    <row r="187" spans="1:43" ht="14.65" customHeight="1" outlineLevel="1" x14ac:dyDescent="0.25">
      <c r="A187" s="254"/>
      <c r="B187" s="595" t="s">
        <v>35</v>
      </c>
      <c r="C187" s="596"/>
      <c r="D187" s="34">
        <f>D279</f>
        <v>4761.6000000000004</v>
      </c>
      <c r="E187" s="34">
        <f t="shared" ref="E187:G187" si="510">E279</f>
        <v>2055.1000000000004</v>
      </c>
      <c r="F187" s="34">
        <f t="shared" si="510"/>
        <v>4763.4000000000015</v>
      </c>
      <c r="G187" s="256">
        <f t="shared" si="510"/>
        <v>2686.6000000000022</v>
      </c>
      <c r="H187" s="35">
        <f>G187</f>
        <v>2686.6000000000022</v>
      </c>
      <c r="I187" s="34">
        <f>I279</f>
        <v>3040.5000000000036</v>
      </c>
      <c r="J187" s="34">
        <f>J279</f>
        <v>2572.3000000000029</v>
      </c>
      <c r="K187" s="34">
        <f>K279</f>
        <v>3965.9000000000042</v>
      </c>
      <c r="L187" s="256">
        <f>L279</f>
        <v>4350.900000000006</v>
      </c>
      <c r="M187" s="35">
        <f>L187</f>
        <v>4350.900000000006</v>
      </c>
      <c r="N187" s="34">
        <f>N279</f>
        <v>5028.00000000001</v>
      </c>
      <c r="O187" s="34">
        <f>O279</f>
        <v>3880.6000000000104</v>
      </c>
      <c r="P187" s="34">
        <f>P279</f>
        <v>4753.1000000000095</v>
      </c>
      <c r="Q187" s="34">
        <f>Q279</f>
        <v>4310.5885785208384</v>
      </c>
      <c r="R187" s="35">
        <f>Q187</f>
        <v>4310.5885785208384</v>
      </c>
      <c r="S187" s="34">
        <f>S279</f>
        <v>4908.857659889989</v>
      </c>
      <c r="T187" s="34">
        <f>T279</f>
        <v>3989.9801762467923</v>
      </c>
      <c r="U187" s="34">
        <f>U279</f>
        <v>3888.7685514749196</v>
      </c>
      <c r="V187" s="34">
        <f>V279</f>
        <v>3156.6668612483263</v>
      </c>
      <c r="W187" s="35">
        <f>V187</f>
        <v>3156.6668612483263</v>
      </c>
      <c r="X187" s="34">
        <f>X279</f>
        <v>3956.3100604108372</v>
      </c>
      <c r="Y187" s="34">
        <f>Y279</f>
        <v>3412.2286203967697</v>
      </c>
      <c r="Z187" s="34">
        <f>Z279</f>
        <v>3588.8795275157436</v>
      </c>
      <c r="AA187" s="34">
        <f>AA279</f>
        <v>2801.0609304378359</v>
      </c>
      <c r="AB187" s="35">
        <f>AA187</f>
        <v>2801.0609304378359</v>
      </c>
      <c r="AC187" s="34">
        <f>AC279</f>
        <v>4027.304548207564</v>
      </c>
      <c r="AD187" s="34">
        <f>AD279</f>
        <v>3714.3203730519599</v>
      </c>
      <c r="AE187" s="34">
        <f>AE279</f>
        <v>4228.3733343572258</v>
      </c>
      <c r="AF187" s="34">
        <f>AF279</f>
        <v>3513.4465195303992</v>
      </c>
      <c r="AG187" s="35">
        <f>AF187</f>
        <v>3513.4465195303992</v>
      </c>
      <c r="AH187" s="34">
        <f>AH279</f>
        <v>5022.3174390936401</v>
      </c>
      <c r="AI187" s="34">
        <f>AI279</f>
        <v>4890.5035795716694</v>
      </c>
      <c r="AJ187" s="34">
        <f>AJ279</f>
        <v>5626.8447037183269</v>
      </c>
      <c r="AK187" s="34">
        <f>AK279</f>
        <v>5012.0276818607745</v>
      </c>
      <c r="AL187" s="35">
        <f>AK187</f>
        <v>5012.0276818607745</v>
      </c>
      <c r="AM187" s="34">
        <f>AM279</f>
        <v>6671.6804262459045</v>
      </c>
      <c r="AN187" s="34">
        <f>AN279</f>
        <v>6580.0699748181178</v>
      </c>
      <c r="AO187" s="34">
        <f>AO279</f>
        <v>7423.2760590039861</v>
      </c>
      <c r="AP187" s="34">
        <f>AP279</f>
        <v>6817.2447274279439</v>
      </c>
      <c r="AQ187" s="35">
        <f>AP187</f>
        <v>6817.2447274279439</v>
      </c>
    </row>
    <row r="188" spans="1:43" ht="14.65" customHeight="1" outlineLevel="1" x14ac:dyDescent="0.25">
      <c r="A188" s="372"/>
      <c r="B188" s="539" t="s">
        <v>201</v>
      </c>
      <c r="C188" s="540"/>
      <c r="D188" s="34">
        <v>230.2</v>
      </c>
      <c r="E188" s="34">
        <v>76.599999999999994</v>
      </c>
      <c r="F188" s="34">
        <v>72.099999999999994</v>
      </c>
      <c r="G188" s="34">
        <v>70.5</v>
      </c>
      <c r="H188" s="35">
        <f>+G188</f>
        <v>70.5</v>
      </c>
      <c r="I188" s="34">
        <v>68.400000000000006</v>
      </c>
      <c r="J188" s="34">
        <v>52.9</v>
      </c>
      <c r="K188" s="34">
        <v>229.9</v>
      </c>
      <c r="L188" s="34">
        <v>281.2</v>
      </c>
      <c r="M188" s="35">
        <f>+L188</f>
        <v>281.2</v>
      </c>
      <c r="N188" s="34">
        <v>235.5</v>
      </c>
      <c r="O188" s="34">
        <v>123</v>
      </c>
      <c r="P188" s="34">
        <v>153.6</v>
      </c>
      <c r="Q188" s="34">
        <f>+Q234*Q223*Q235</f>
        <v>202.33297633077026</v>
      </c>
      <c r="R188" s="35">
        <f>+Q188</f>
        <v>202.33297633077026</v>
      </c>
      <c r="S188" s="34">
        <f>+S234*S223*S235</f>
        <v>182.00677540735217</v>
      </c>
      <c r="T188" s="34">
        <f>+T234*T223*T235</f>
        <v>162.1019154698875</v>
      </c>
      <c r="U188" s="34">
        <f>+U234*U223*U235</f>
        <v>170.82707291704452</v>
      </c>
      <c r="V188" s="34">
        <f>+V234*V223*V235</f>
        <v>176.03234892875201</v>
      </c>
      <c r="W188" s="35">
        <f>+V188</f>
        <v>176.03234892875201</v>
      </c>
      <c r="X188" s="34">
        <f>+X234*X223*X235</f>
        <v>172.8285436528019</v>
      </c>
      <c r="Y188" s="34">
        <f>+Y234*Y223*Y235</f>
        <v>168.15292063597121</v>
      </c>
      <c r="Z188" s="34">
        <f>+Z234*Z223*Z235</f>
        <v>171.46116226520724</v>
      </c>
      <c r="AA188" s="34">
        <f>+AA234*AA223*AA235</f>
        <v>171.71248431484878</v>
      </c>
      <c r="AB188" s="35">
        <f>+AA188</f>
        <v>171.71248431484878</v>
      </c>
      <c r="AC188" s="34">
        <f>+AC234*AC223*AC235</f>
        <v>174.60033944873646</v>
      </c>
      <c r="AD188" s="34">
        <f>+AD234*AD223*AD235</f>
        <v>172.4884692793203</v>
      </c>
      <c r="AE188" s="34">
        <f>+AE234*AE223*AE235</f>
        <v>176.11881690033778</v>
      </c>
      <c r="AF188" s="34">
        <f>+AF234*AF223*AF235</f>
        <v>177.05166657258405</v>
      </c>
      <c r="AG188" s="35">
        <f>+AF188</f>
        <v>177.05166657258405</v>
      </c>
      <c r="AH188" s="34">
        <f>+AH234*AH223*AH235</f>
        <v>182.24516552746388</v>
      </c>
      <c r="AI188" s="34">
        <f>+AI234*AI223*AI235</f>
        <v>181.4223714341633</v>
      </c>
      <c r="AJ188" s="34">
        <f>+AJ234*AJ223*AJ235</f>
        <v>186.23076892343352</v>
      </c>
      <c r="AK188" s="34">
        <f>+AK234*AK223*AK235</f>
        <v>188.40182917828798</v>
      </c>
      <c r="AL188" s="35">
        <f>+AK188</f>
        <v>188.40182917828798</v>
      </c>
      <c r="AM188" s="34">
        <f>+AM234*AM223*AM235</f>
        <v>194.61423977842898</v>
      </c>
      <c r="AN188" s="34">
        <f>+AN234*AN223*AN235</f>
        <v>194.14019840149936</v>
      </c>
      <c r="AO188" s="34">
        <f>+AO234*AO223*AO235</f>
        <v>199.68841761610605</v>
      </c>
      <c r="AP188" s="34">
        <f>+AP234*AP223*AP235</f>
        <v>202.56198937868132</v>
      </c>
      <c r="AQ188" s="35">
        <f>+AP188</f>
        <v>202.56198937868132</v>
      </c>
    </row>
    <row r="189" spans="1:43" s="43" customFormat="1" ht="14.65" customHeight="1" outlineLevel="1" x14ac:dyDescent="0.25">
      <c r="A189" s="372"/>
      <c r="B189" s="595" t="s">
        <v>202</v>
      </c>
      <c r="C189" s="596"/>
      <c r="D189" s="34">
        <v>721.4</v>
      </c>
      <c r="E189" s="34">
        <v>703.6</v>
      </c>
      <c r="F189" s="34">
        <v>790.6</v>
      </c>
      <c r="G189" s="34">
        <v>879</v>
      </c>
      <c r="H189" s="35">
        <f>G189</f>
        <v>879</v>
      </c>
      <c r="I189" s="34">
        <v>908.1</v>
      </c>
      <c r="J189" s="34">
        <v>941</v>
      </c>
      <c r="K189" s="34">
        <v>881.1</v>
      </c>
      <c r="L189" s="34">
        <v>883.4</v>
      </c>
      <c r="M189" s="35">
        <f>L189</f>
        <v>883.4</v>
      </c>
      <c r="N189" s="34">
        <v>888</v>
      </c>
      <c r="O189" s="34">
        <v>880.2</v>
      </c>
      <c r="P189" s="34">
        <v>911.2</v>
      </c>
      <c r="Q189" s="34">
        <f>Q16/Q228</f>
        <v>1072.7724439961057</v>
      </c>
      <c r="R189" s="35">
        <f>Q189</f>
        <v>1072.7724439961057</v>
      </c>
      <c r="S189" s="34">
        <f>S16/S228</f>
        <v>1034.5541660838408</v>
      </c>
      <c r="T189" s="34">
        <f>T16/T228</f>
        <v>1000.9663777857297</v>
      </c>
      <c r="U189" s="34">
        <f>U16/U228</f>
        <v>1013.7459138061643</v>
      </c>
      <c r="V189" s="34">
        <f>V16/V228</f>
        <v>1097.1754406439888</v>
      </c>
      <c r="W189" s="35">
        <f>V189</f>
        <v>1097.1754406439888</v>
      </c>
      <c r="X189" s="34">
        <f>X16/X228</f>
        <v>1118.6745331819693</v>
      </c>
      <c r="Y189" s="34">
        <f>Y16/Y228</f>
        <v>1098.97003658421</v>
      </c>
      <c r="Z189" s="34">
        <f>Z16/Z228</f>
        <v>1106.2472360142006</v>
      </c>
      <c r="AA189" s="34">
        <f>AA16/AA228</f>
        <v>1192.0277719189655</v>
      </c>
      <c r="AB189" s="35">
        <f>AA189</f>
        <v>1192.0277719189655</v>
      </c>
      <c r="AC189" s="34">
        <f>AC16/AC228</f>
        <v>1206.099668597338</v>
      </c>
      <c r="AD189" s="34">
        <f>AD16/AD228</f>
        <v>1189.2022265208975</v>
      </c>
      <c r="AE189" s="34">
        <f>AE16/AE228</f>
        <v>1196.1549861316305</v>
      </c>
      <c r="AF189" s="34">
        <f>AF16/AF228</f>
        <v>1288.8842731696911</v>
      </c>
      <c r="AG189" s="35">
        <f>AF189</f>
        <v>1288.8842731696911</v>
      </c>
      <c r="AH189" s="34">
        <f>AH16/AH228</f>
        <v>1307.2489545643093</v>
      </c>
      <c r="AI189" s="34">
        <f>AI16/AI228</f>
        <v>1288.521695837587</v>
      </c>
      <c r="AJ189" s="34">
        <f>AJ16/AJ228</f>
        <v>1290.8151961836757</v>
      </c>
      <c r="AK189" s="34">
        <f>AK16/AK228</f>
        <v>1391.8834967241285</v>
      </c>
      <c r="AL189" s="35">
        <f>AK189</f>
        <v>1391.8834967241285</v>
      </c>
      <c r="AM189" s="34">
        <f>AM16/AM228</f>
        <v>1412.3951382223227</v>
      </c>
      <c r="AN189" s="34">
        <f>AN16/AN228</f>
        <v>1391.3048570419769</v>
      </c>
      <c r="AO189" s="34">
        <f>AO16/AO228</f>
        <v>1391.5902730628088</v>
      </c>
      <c r="AP189" s="34">
        <f>AP16/AP228</f>
        <v>1501.0392471718822</v>
      </c>
      <c r="AQ189" s="35">
        <f>AP189</f>
        <v>1501.0392471718822</v>
      </c>
    </row>
    <row r="190" spans="1:43" s="43" customFormat="1" ht="14.65" customHeight="1" outlineLevel="1" x14ac:dyDescent="0.25">
      <c r="A190" s="372"/>
      <c r="B190" s="539" t="s">
        <v>203</v>
      </c>
      <c r="C190" s="540"/>
      <c r="D190" s="34">
        <v>1354.6</v>
      </c>
      <c r="E190" s="34">
        <v>1443</v>
      </c>
      <c r="F190" s="34">
        <v>1517.2</v>
      </c>
      <c r="G190" s="34">
        <v>1529.4</v>
      </c>
      <c r="H190" s="35">
        <f>G190</f>
        <v>1529.4</v>
      </c>
      <c r="I190" s="34">
        <v>1408.7</v>
      </c>
      <c r="J190" s="34">
        <v>1492.2</v>
      </c>
      <c r="K190" s="34">
        <v>1583.8</v>
      </c>
      <c r="L190" s="34">
        <v>1551.4</v>
      </c>
      <c r="M190" s="35">
        <f>L190</f>
        <v>1551.4</v>
      </c>
      <c r="N190" s="34">
        <v>1471.5</v>
      </c>
      <c r="O190" s="34">
        <v>1503.6</v>
      </c>
      <c r="P190" s="34">
        <v>1548.2</v>
      </c>
      <c r="Q190" s="34">
        <f>Q17/Q230</f>
        <v>2414.7095830415947</v>
      </c>
      <c r="R190" s="35">
        <f>Q190</f>
        <v>2414.7095830415947</v>
      </c>
      <c r="S190" s="34">
        <f>S17/S230</f>
        <v>1704.4730288201706</v>
      </c>
      <c r="T190" s="34">
        <f>T17/T230</f>
        <v>1769.2103602885547</v>
      </c>
      <c r="U190" s="34">
        <f>U17/U230</f>
        <v>1765.3544934221977</v>
      </c>
      <c r="V190" s="34">
        <f>V17/V230</f>
        <v>2503.9494211919759</v>
      </c>
      <c r="W190" s="35">
        <f>V190</f>
        <v>2503.9494211919759</v>
      </c>
      <c r="X190" s="34">
        <f>X17/X230</f>
        <v>1839.658332625801</v>
      </c>
      <c r="Y190" s="34">
        <f>Y17/Y230</f>
        <v>1935.0755233329342</v>
      </c>
      <c r="Z190" s="34">
        <f>Z17/Z230</f>
        <v>1965.0675778863074</v>
      </c>
      <c r="AA190" s="34">
        <f>AA17/AA230</f>
        <v>2692.8644133315888</v>
      </c>
      <c r="AB190" s="35">
        <f>AA190</f>
        <v>2692.8644133315888</v>
      </c>
      <c r="AC190" s="34">
        <f>AC17/AC230</f>
        <v>1992.9586900360414</v>
      </c>
      <c r="AD190" s="34">
        <f>AD17/AD230</f>
        <v>2103.2545702301159</v>
      </c>
      <c r="AE190" s="34">
        <f>AE17/AE230</f>
        <v>2134.5942193772262</v>
      </c>
      <c r="AF190" s="34">
        <f>AF17/AF230</f>
        <v>2927.8173434444057</v>
      </c>
      <c r="AG190" s="35">
        <f>AF190</f>
        <v>2927.8173434444057</v>
      </c>
      <c r="AH190" s="34">
        <f>AH17/AH230</f>
        <v>2150.97765147163</v>
      </c>
      <c r="AI190" s="34">
        <f>AI17/AI230</f>
        <v>2268.781338777269</v>
      </c>
      <c r="AJ190" s="34">
        <f>AJ17/AJ230</f>
        <v>2293.6585394357317</v>
      </c>
      <c r="AK190" s="34">
        <f>AK17/AK230</f>
        <v>3149.5995945508871</v>
      </c>
      <c r="AL190" s="35">
        <f>AK190</f>
        <v>3149.5995945508871</v>
      </c>
      <c r="AM190" s="34">
        <f>AM17/AM230</f>
        <v>2326.5394124424201</v>
      </c>
      <c r="AN190" s="34">
        <f>AN17/AN230</f>
        <v>2451.6764772919182</v>
      </c>
      <c r="AO190" s="34">
        <f>AO17/AO230</f>
        <v>2474.7169494347536</v>
      </c>
      <c r="AP190" s="34">
        <f>AP17/AP230</f>
        <v>3400.4994407159102</v>
      </c>
      <c r="AQ190" s="35">
        <f>AP190</f>
        <v>3400.4994407159102</v>
      </c>
    </row>
    <row r="191" spans="1:43" ht="16.149999999999999" customHeight="1" outlineLevel="1" x14ac:dyDescent="0.4">
      <c r="A191" s="372"/>
      <c r="B191" s="595" t="s">
        <v>71</v>
      </c>
      <c r="C191" s="596"/>
      <c r="D191" s="37">
        <v>608.5</v>
      </c>
      <c r="E191" s="270">
        <v>674</v>
      </c>
      <c r="F191" s="270">
        <v>591.6</v>
      </c>
      <c r="G191" s="270">
        <v>488.2</v>
      </c>
      <c r="H191" s="38">
        <f>G191</f>
        <v>488.2</v>
      </c>
      <c r="I191" s="270">
        <v>474</v>
      </c>
      <c r="J191" s="270">
        <v>691.5</v>
      </c>
      <c r="K191" s="270">
        <v>920.3</v>
      </c>
      <c r="L191" s="270">
        <v>739.5</v>
      </c>
      <c r="M191" s="38">
        <f>L191</f>
        <v>739.5</v>
      </c>
      <c r="N191" s="270">
        <v>734.4</v>
      </c>
      <c r="O191" s="270">
        <v>592</v>
      </c>
      <c r="P191" s="270">
        <v>565.6</v>
      </c>
      <c r="Q191" s="61">
        <f>P191*1.01</f>
        <v>571.25599999999997</v>
      </c>
      <c r="R191" s="38">
        <f>Q191</f>
        <v>571.25599999999997</v>
      </c>
      <c r="S191" s="61">
        <f>Q191*1.01</f>
        <v>576.96856000000002</v>
      </c>
      <c r="T191" s="61">
        <f t="shared" ref="T191:V191" si="511">S191*1.01</f>
        <v>582.73824560000003</v>
      </c>
      <c r="U191" s="61">
        <f t="shared" si="511"/>
        <v>588.56562805600004</v>
      </c>
      <c r="V191" s="61">
        <f t="shared" si="511"/>
        <v>594.45128433656009</v>
      </c>
      <c r="W191" s="38">
        <f>V191</f>
        <v>594.45128433656009</v>
      </c>
      <c r="X191" s="61">
        <f>V191*1.01</f>
        <v>600.39579717992569</v>
      </c>
      <c r="Y191" s="61">
        <f t="shared" ref="Y191:AA191" si="512">X191*1.01</f>
        <v>606.399755151725</v>
      </c>
      <c r="Z191" s="61">
        <f t="shared" si="512"/>
        <v>612.46375270324222</v>
      </c>
      <c r="AA191" s="61">
        <f t="shared" si="512"/>
        <v>618.58839023027463</v>
      </c>
      <c r="AB191" s="38">
        <f>AA191</f>
        <v>618.58839023027463</v>
      </c>
      <c r="AC191" s="61">
        <f>AA191*1.01</f>
        <v>624.77427413257737</v>
      </c>
      <c r="AD191" s="61">
        <f t="shared" ref="AD191:AF191" si="513">AC191*1.01</f>
        <v>631.02201687390311</v>
      </c>
      <c r="AE191" s="61">
        <f t="shared" si="513"/>
        <v>637.33223704264219</v>
      </c>
      <c r="AF191" s="61">
        <f t="shared" si="513"/>
        <v>643.70555941306861</v>
      </c>
      <c r="AG191" s="38">
        <f>AF191</f>
        <v>643.70555941306861</v>
      </c>
      <c r="AH191" s="61">
        <f>AF191*1.01</f>
        <v>650.14261500719931</v>
      </c>
      <c r="AI191" s="61">
        <f t="shared" ref="AI191:AK191" si="514">AH191*1.01</f>
        <v>656.64404115727132</v>
      </c>
      <c r="AJ191" s="61">
        <f t="shared" si="514"/>
        <v>663.21048156884399</v>
      </c>
      <c r="AK191" s="61">
        <f t="shared" si="514"/>
        <v>669.84258638453241</v>
      </c>
      <c r="AL191" s="38">
        <f>AK191</f>
        <v>669.84258638453241</v>
      </c>
      <c r="AM191" s="61">
        <f>AK191*1.01</f>
        <v>676.5410122483778</v>
      </c>
      <c r="AN191" s="61">
        <f t="shared" ref="AN191:AP191" si="515">AM191*1.01</f>
        <v>683.30642237086158</v>
      </c>
      <c r="AO191" s="61">
        <f t="shared" si="515"/>
        <v>690.13948659457026</v>
      </c>
      <c r="AP191" s="61">
        <f t="shared" si="515"/>
        <v>697.04088146051595</v>
      </c>
      <c r="AQ191" s="38">
        <f>AP191</f>
        <v>697.04088146051595</v>
      </c>
    </row>
    <row r="192" spans="1:43" ht="14.65" customHeight="1" outlineLevel="1" x14ac:dyDescent="0.25">
      <c r="A192" s="372"/>
      <c r="B192" s="545" t="s">
        <v>4</v>
      </c>
      <c r="C192" s="546"/>
      <c r="D192" s="41">
        <f t="shared" ref="D192:AL192" si="516">SUM(D187:D191)</f>
        <v>7676.2999999999993</v>
      </c>
      <c r="E192" s="41">
        <f t="shared" si="516"/>
        <v>4952.3</v>
      </c>
      <c r="F192" s="41">
        <f t="shared" si="516"/>
        <v>7734.9000000000024</v>
      </c>
      <c r="G192" s="41">
        <f t="shared" si="516"/>
        <v>5653.7000000000016</v>
      </c>
      <c r="H192" s="42">
        <f t="shared" si="516"/>
        <v>5653.7000000000016</v>
      </c>
      <c r="I192" s="41">
        <f t="shared" si="516"/>
        <v>5899.7000000000035</v>
      </c>
      <c r="J192" s="41">
        <f t="shared" si="516"/>
        <v>5749.9000000000033</v>
      </c>
      <c r="K192" s="41">
        <f t="shared" si="516"/>
        <v>7581.0000000000045</v>
      </c>
      <c r="L192" s="283">
        <f t="shared" si="516"/>
        <v>7806.4000000000051</v>
      </c>
      <c r="M192" s="42">
        <f t="shared" si="516"/>
        <v>7806.4000000000051</v>
      </c>
      <c r="N192" s="41">
        <f t="shared" si="516"/>
        <v>8357.4000000000106</v>
      </c>
      <c r="O192" s="41">
        <f t="shared" si="516"/>
        <v>6979.4000000000106</v>
      </c>
      <c r="P192" s="41">
        <f t="shared" si="516"/>
        <v>7931.7000000000098</v>
      </c>
      <c r="Q192" s="41">
        <f t="shared" si="516"/>
        <v>8571.6595818893093</v>
      </c>
      <c r="R192" s="42">
        <f t="shared" si="516"/>
        <v>8571.6595818893093</v>
      </c>
      <c r="S192" s="41">
        <f t="shared" si="516"/>
        <v>8406.8601902013525</v>
      </c>
      <c r="T192" s="41">
        <f t="shared" si="516"/>
        <v>7504.9970753909638</v>
      </c>
      <c r="U192" s="41">
        <f t="shared" si="516"/>
        <v>7427.2616596763255</v>
      </c>
      <c r="V192" s="41">
        <f t="shared" si="516"/>
        <v>7528.2753563496035</v>
      </c>
      <c r="W192" s="42">
        <f t="shared" si="516"/>
        <v>7528.2753563496035</v>
      </c>
      <c r="X192" s="41">
        <f t="shared" si="516"/>
        <v>7687.8672670513342</v>
      </c>
      <c r="Y192" s="41">
        <f t="shared" si="516"/>
        <v>7220.8268561016093</v>
      </c>
      <c r="Z192" s="41">
        <f t="shared" si="516"/>
        <v>7444.1192563847007</v>
      </c>
      <c r="AA192" s="41">
        <f t="shared" si="516"/>
        <v>7476.2539902335129</v>
      </c>
      <c r="AB192" s="42">
        <f t="shared" si="516"/>
        <v>7476.2539902335129</v>
      </c>
      <c r="AC192" s="41">
        <f t="shared" si="516"/>
        <v>8025.7375204222562</v>
      </c>
      <c r="AD192" s="41">
        <f t="shared" si="516"/>
        <v>7810.2876559561973</v>
      </c>
      <c r="AE192" s="41">
        <f t="shared" si="516"/>
        <v>8372.573593809062</v>
      </c>
      <c r="AF192" s="41">
        <f t="shared" si="516"/>
        <v>8550.9053621301482</v>
      </c>
      <c r="AG192" s="42">
        <f t="shared" si="516"/>
        <v>8550.9053621301482</v>
      </c>
      <c r="AH192" s="41">
        <f t="shared" si="516"/>
        <v>9312.9318256642437</v>
      </c>
      <c r="AI192" s="41">
        <f t="shared" si="516"/>
        <v>9285.8730267779592</v>
      </c>
      <c r="AJ192" s="41">
        <f t="shared" si="516"/>
        <v>10060.759689830011</v>
      </c>
      <c r="AK192" s="41">
        <f t="shared" si="516"/>
        <v>10411.755188698611</v>
      </c>
      <c r="AL192" s="42">
        <f t="shared" si="516"/>
        <v>10411.755188698611</v>
      </c>
      <c r="AM192" s="41">
        <f t="shared" ref="AM192:AQ192" si="517">SUM(AM187:AM191)</f>
        <v>11281.770228937454</v>
      </c>
      <c r="AN192" s="41">
        <f t="shared" si="517"/>
        <v>11300.497929924375</v>
      </c>
      <c r="AO192" s="41">
        <f t="shared" si="517"/>
        <v>12179.411185712223</v>
      </c>
      <c r="AP192" s="41">
        <f t="shared" si="517"/>
        <v>12618.386286154933</v>
      </c>
      <c r="AQ192" s="42">
        <f t="shared" si="517"/>
        <v>12618.386286154933</v>
      </c>
    </row>
    <row r="193" spans="1:43" ht="14.65" customHeight="1" outlineLevel="1" x14ac:dyDescent="0.25">
      <c r="A193" s="372"/>
      <c r="B193" s="539" t="s">
        <v>204</v>
      </c>
      <c r="C193" s="551"/>
      <c r="D193" s="34">
        <v>265</v>
      </c>
      <c r="E193" s="34">
        <v>251.9</v>
      </c>
      <c r="F193" s="34">
        <v>222.6</v>
      </c>
      <c r="G193" s="34">
        <v>220</v>
      </c>
      <c r="H193" s="35">
        <f t="shared" ref="H193:H194" si="518">+G193</f>
        <v>220</v>
      </c>
      <c r="I193" s="34">
        <v>199.8</v>
      </c>
      <c r="J193" s="34">
        <v>198.8</v>
      </c>
      <c r="K193" s="34">
        <v>223.4</v>
      </c>
      <c r="L193" s="256">
        <v>206.1</v>
      </c>
      <c r="M193" s="35">
        <f t="shared" ref="M193:M194" si="519">+L193</f>
        <v>206.1</v>
      </c>
      <c r="N193" s="34">
        <v>190.9</v>
      </c>
      <c r="O193" s="34">
        <v>284.8</v>
      </c>
      <c r="P193" s="34">
        <v>285.89999999999998</v>
      </c>
      <c r="Q193" s="34">
        <f>+Q234*Q223*(1-Q235)</f>
        <v>252.22987180695245</v>
      </c>
      <c r="R193" s="35">
        <f t="shared" ref="R193:R194" si="520">+Q193</f>
        <v>252.22987180695245</v>
      </c>
      <c r="S193" s="34">
        <f>+S234*S223*(1-S235)</f>
        <v>259.61780881558843</v>
      </c>
      <c r="T193" s="34">
        <f>+T234*T223*(1-T235)</f>
        <v>267.77627140410635</v>
      </c>
      <c r="U193" s="34">
        <f>+U234*U223*(1-U235)</f>
        <v>260.60299486180685</v>
      </c>
      <c r="V193" s="34">
        <f>+V234*V223*(1-V235)</f>
        <v>255.87228881879821</v>
      </c>
      <c r="W193" s="35">
        <f t="shared" ref="W193:W194" si="521">+V193</f>
        <v>255.87228881879821</v>
      </c>
      <c r="X193" s="34">
        <f>+X234*X223*(1-X235)</f>
        <v>261.21070047649681</v>
      </c>
      <c r="Y193" s="34">
        <f>+Y234*Y223*(1-Y235)</f>
        <v>257.87366201136223</v>
      </c>
      <c r="Z193" s="34">
        <f>+Z234*Z223*(1-Z235)</f>
        <v>258.15444250603491</v>
      </c>
      <c r="AA193" s="34">
        <f>+AA234*AA223*(1-AA235)</f>
        <v>257.68603139569603</v>
      </c>
      <c r="AB193" s="35">
        <f t="shared" ref="AB193:AB194" si="522">+AA193</f>
        <v>257.68603139569603</v>
      </c>
      <c r="AC193" s="34">
        <f>+AC234*AC223*(1-AC235)</f>
        <v>264.12667245966304</v>
      </c>
      <c r="AD193" s="34">
        <f>+AD234*AD223*(1-AD235)</f>
        <v>260.99078668316719</v>
      </c>
      <c r="AE193" s="34">
        <f>+AE234*AE223*(1-AE235)</f>
        <v>265.59140774880456</v>
      </c>
      <c r="AF193" s="34">
        <f>+AF234*AF223*(1-AF235)</f>
        <v>267.10494059102132</v>
      </c>
      <c r="AG193" s="35">
        <f t="shared" ref="AG193:AG194" si="523">+AF193</f>
        <v>267.10494059102132</v>
      </c>
      <c r="AH193" s="34">
        <f>+AH234*AH223*(1-AH235)</f>
        <v>275.30336846375354</v>
      </c>
      <c r="AI193" s="34">
        <f>+AI234*AI223*(1-AI235)</f>
        <v>273.96397489812676</v>
      </c>
      <c r="AJ193" s="34">
        <f>+AJ234*AJ223*(1-AJ235)</f>
        <v>281.08552914658418</v>
      </c>
      <c r="AK193" s="34">
        <f>+AK234*AK223*(1-AK235)</f>
        <v>284.42441555438501</v>
      </c>
      <c r="AL193" s="35">
        <f t="shared" ref="AL193:AL194" si="524">+AK193</f>
        <v>284.42441555438501</v>
      </c>
      <c r="AM193" s="34">
        <f>+AM234*AM223*(1-AM235)</f>
        <v>293.85382241130696</v>
      </c>
      <c r="AN193" s="34">
        <f>+AN234*AN223*(1-AN235)</f>
        <v>293.10451447621534</v>
      </c>
      <c r="AO193" s="34">
        <f>+AO234*AO223*(1-AO235)</f>
        <v>301.46439024162271</v>
      </c>
      <c r="AP193" s="34">
        <f>+AP234*AP223*(1-AP235)</f>
        <v>305.81946301598714</v>
      </c>
      <c r="AQ193" s="35">
        <f t="shared" ref="AQ193:AQ194" si="525">+AP193</f>
        <v>305.81946301598714</v>
      </c>
    </row>
    <row r="194" spans="1:43" ht="14.65" customHeight="1" outlineLevel="1" x14ac:dyDescent="0.25">
      <c r="A194" s="372"/>
      <c r="B194" s="539" t="s">
        <v>275</v>
      </c>
      <c r="C194" s="551"/>
      <c r="D194" s="34">
        <v>336.1</v>
      </c>
      <c r="E194" s="34">
        <v>309.3</v>
      </c>
      <c r="F194" s="34">
        <v>340.3</v>
      </c>
      <c r="G194" s="34">
        <v>396</v>
      </c>
      <c r="H194" s="35">
        <f t="shared" si="518"/>
        <v>396</v>
      </c>
      <c r="I194" s="34">
        <v>411.3</v>
      </c>
      <c r="J194" s="34">
        <v>420.9</v>
      </c>
      <c r="K194" s="34">
        <v>426.1</v>
      </c>
      <c r="L194" s="256">
        <v>478.7</v>
      </c>
      <c r="M194" s="35">
        <f t="shared" si="519"/>
        <v>478.7</v>
      </c>
      <c r="N194" s="34">
        <v>496</v>
      </c>
      <c r="O194" s="34">
        <v>499.4</v>
      </c>
      <c r="P194" s="34">
        <v>535.29999999999995</v>
      </c>
      <c r="Q194" s="34">
        <f t="shared" ref="Q194" si="526">P194</f>
        <v>535.29999999999995</v>
      </c>
      <c r="R194" s="35">
        <f t="shared" si="520"/>
        <v>535.29999999999995</v>
      </c>
      <c r="S194" s="34">
        <f>Q194</f>
        <v>535.29999999999995</v>
      </c>
      <c r="T194" s="34">
        <f>S194</f>
        <v>535.29999999999995</v>
      </c>
      <c r="U194" s="34">
        <f t="shared" ref="U194:V194" si="527">T194</f>
        <v>535.29999999999995</v>
      </c>
      <c r="V194" s="34">
        <f t="shared" si="527"/>
        <v>535.29999999999995</v>
      </c>
      <c r="W194" s="35">
        <f t="shared" si="521"/>
        <v>535.29999999999995</v>
      </c>
      <c r="X194" s="34">
        <f>V194</f>
        <v>535.29999999999995</v>
      </c>
      <c r="Y194" s="34">
        <f>X194</f>
        <v>535.29999999999995</v>
      </c>
      <c r="Z194" s="34">
        <f t="shared" ref="Z194:AA194" si="528">Y194</f>
        <v>535.29999999999995</v>
      </c>
      <c r="AA194" s="34">
        <f t="shared" si="528"/>
        <v>535.29999999999995</v>
      </c>
      <c r="AB194" s="35">
        <f t="shared" si="522"/>
        <v>535.29999999999995</v>
      </c>
      <c r="AC194" s="34">
        <f>AA194</f>
        <v>535.29999999999995</v>
      </c>
      <c r="AD194" s="34">
        <f>AC194</f>
        <v>535.29999999999995</v>
      </c>
      <c r="AE194" s="34">
        <f t="shared" ref="AE194:AF194" si="529">AD194</f>
        <v>535.29999999999995</v>
      </c>
      <c r="AF194" s="34">
        <f t="shared" si="529"/>
        <v>535.29999999999995</v>
      </c>
      <c r="AG194" s="35">
        <f t="shared" si="523"/>
        <v>535.29999999999995</v>
      </c>
      <c r="AH194" s="34">
        <f>AF194</f>
        <v>535.29999999999995</v>
      </c>
      <c r="AI194" s="34">
        <f>AH194</f>
        <v>535.29999999999995</v>
      </c>
      <c r="AJ194" s="34">
        <f t="shared" ref="AJ194:AK194" si="530">AI194</f>
        <v>535.29999999999995</v>
      </c>
      <c r="AK194" s="34">
        <f t="shared" si="530"/>
        <v>535.29999999999995</v>
      </c>
      <c r="AL194" s="35">
        <f t="shared" si="524"/>
        <v>535.29999999999995</v>
      </c>
      <c r="AM194" s="34">
        <f>AK194</f>
        <v>535.29999999999995</v>
      </c>
      <c r="AN194" s="34">
        <f>AM194</f>
        <v>535.29999999999995</v>
      </c>
      <c r="AO194" s="34">
        <f t="shared" ref="AO194:AP194" si="531">AN194</f>
        <v>535.29999999999995</v>
      </c>
      <c r="AP194" s="34">
        <f t="shared" si="531"/>
        <v>535.29999999999995</v>
      </c>
      <c r="AQ194" s="35">
        <f t="shared" si="525"/>
        <v>535.29999999999995</v>
      </c>
    </row>
    <row r="195" spans="1:43" s="20" customFormat="1" outlineLevel="1" x14ac:dyDescent="0.25">
      <c r="A195" s="372"/>
      <c r="B195" s="539" t="s">
        <v>205</v>
      </c>
      <c r="C195" s="546"/>
      <c r="D195" s="34">
        <v>6039.3</v>
      </c>
      <c r="E195" s="34">
        <v>6135.5</v>
      </c>
      <c r="F195" s="34">
        <v>6187.8</v>
      </c>
      <c r="G195" s="34">
        <v>6431.7</v>
      </c>
      <c r="H195" s="35">
        <f>+G195</f>
        <v>6431.7</v>
      </c>
      <c r="I195" s="34">
        <v>6390.9</v>
      </c>
      <c r="J195" s="34">
        <v>6387</v>
      </c>
      <c r="K195" s="34">
        <v>6295.6</v>
      </c>
      <c r="L195" s="256">
        <v>6241.4</v>
      </c>
      <c r="M195" s="35">
        <f>+L195</f>
        <v>6241.4</v>
      </c>
      <c r="N195" s="34">
        <v>6177.9</v>
      </c>
      <c r="O195" s="34">
        <v>6123.1</v>
      </c>
      <c r="P195" s="34">
        <v>6151.4</v>
      </c>
      <c r="Q195" s="34">
        <f>+P195-Q263-Q245</f>
        <v>6486.8025479216003</v>
      </c>
      <c r="R195" s="35">
        <f>+Q195</f>
        <v>6486.8025479216003</v>
      </c>
      <c r="S195" s="34">
        <f>+Q195-S263-S245</f>
        <v>6576.9150573103861</v>
      </c>
      <c r="T195" s="34">
        <f>+S195-T263-T245</f>
        <v>6645.0377645967601</v>
      </c>
      <c r="U195" s="34">
        <f>+T195-U263-U245</f>
        <v>6757.6386964592893</v>
      </c>
      <c r="V195" s="34">
        <f>+U195-V263-V245</f>
        <v>6850.9913122214302</v>
      </c>
      <c r="W195" s="35">
        <f>+V195</f>
        <v>6850.9913122214302</v>
      </c>
      <c r="X195" s="34">
        <f>+V195-X263-X245</f>
        <v>6917.2964835493449</v>
      </c>
      <c r="Y195" s="34">
        <f>+X195-Y263-Y245</f>
        <v>6969.6349866999071</v>
      </c>
      <c r="Z195" s="34">
        <f>+Y195-Z263-Z245</f>
        <v>7063.470996724338</v>
      </c>
      <c r="AA195" s="34">
        <f>+Z195-AA263-AA245</f>
        <v>7135.3874229683315</v>
      </c>
      <c r="AB195" s="35">
        <f>+AA195</f>
        <v>7135.3874229683315</v>
      </c>
      <c r="AC195" s="34">
        <f>+AA195-AC263-AC245</f>
        <v>7176.7736999368908</v>
      </c>
      <c r="AD195" s="34">
        <f>+AC195-AD263-AD245</f>
        <v>7207.3605199572912</v>
      </c>
      <c r="AE195" s="34">
        <f>+AD195-AE263-AE245</f>
        <v>7279.7363181442906</v>
      </c>
      <c r="AF195" s="34">
        <f>+AE195-AF263-AF245</f>
        <v>7359.3020886873855</v>
      </c>
      <c r="AG195" s="35">
        <f>+AF195</f>
        <v>7359.3020886873855</v>
      </c>
      <c r="AH195" s="34">
        <f>+AF195-AH263-AH245</f>
        <v>7428.8127199768896</v>
      </c>
      <c r="AI195" s="34">
        <f>+AH195-AI263-AI245</f>
        <v>7485.2240472165695</v>
      </c>
      <c r="AJ195" s="34">
        <f>+AI195-AJ263-AJ245</f>
        <v>7583.8928927500765</v>
      </c>
      <c r="AK195" s="34">
        <f>+AJ195-AK263-AK245</f>
        <v>7683.559663803092</v>
      </c>
      <c r="AL195" s="35">
        <f>+AK195</f>
        <v>7683.559663803092</v>
      </c>
      <c r="AM195" s="34">
        <f>+AK195-AM263-AM245</f>
        <v>7775.894737630726</v>
      </c>
      <c r="AN195" s="34">
        <f>+AM195-AN263-AN245</f>
        <v>7852.4236160818164</v>
      </c>
      <c r="AO195" s="34">
        <f>+AN195-AO263-AO245</f>
        <v>7972.2956216103385</v>
      </c>
      <c r="AP195" s="34">
        <f>+AO195-AP263-AP245</f>
        <v>8091.9494401473894</v>
      </c>
      <c r="AQ195" s="35">
        <f>+AP195</f>
        <v>8091.9494401473894</v>
      </c>
    </row>
    <row r="196" spans="1:43" s="20" customFormat="1" outlineLevel="1" x14ac:dyDescent="0.25">
      <c r="A196" s="372"/>
      <c r="B196" s="539" t="s">
        <v>276</v>
      </c>
      <c r="C196" s="546"/>
      <c r="D196" s="34">
        <v>0</v>
      </c>
      <c r="E196" s="34">
        <v>0</v>
      </c>
      <c r="F196" s="34">
        <v>0</v>
      </c>
      <c r="G196" s="34">
        <v>0</v>
      </c>
      <c r="H196" s="35">
        <f>+G196</f>
        <v>0</v>
      </c>
      <c r="I196" s="34">
        <v>8358.5</v>
      </c>
      <c r="J196" s="34">
        <v>8260.7999999999993</v>
      </c>
      <c r="K196" s="34">
        <v>8214</v>
      </c>
      <c r="L196" s="256">
        <v>8134.1</v>
      </c>
      <c r="M196" s="35">
        <f>L196</f>
        <v>8134.1</v>
      </c>
      <c r="N196" s="34">
        <v>8199.4</v>
      </c>
      <c r="O196" s="34">
        <v>8036.8</v>
      </c>
      <c r="P196" s="34">
        <v>8065.2</v>
      </c>
      <c r="Q196" s="63">
        <f>P196*0.99</f>
        <v>7984.5479999999998</v>
      </c>
      <c r="R196" s="35">
        <f>Q196</f>
        <v>7984.5479999999998</v>
      </c>
      <c r="S196" s="63">
        <f>Q196*0.99</f>
        <v>7904.7025199999998</v>
      </c>
      <c r="T196" s="63">
        <f>S196*0.99</f>
        <v>7825.6554947999994</v>
      </c>
      <c r="U196" s="63">
        <f>T196*0.99</f>
        <v>7747.3989398519989</v>
      </c>
      <c r="V196" s="63">
        <f>U196*0.99</f>
        <v>7669.9249504534791</v>
      </c>
      <c r="W196" s="35">
        <f>V196</f>
        <v>7669.9249504534791</v>
      </c>
      <c r="X196" s="63">
        <f>V196*0.99</f>
        <v>7593.225700948944</v>
      </c>
      <c r="Y196" s="63">
        <f>X196*0.99</f>
        <v>7517.2934439394548</v>
      </c>
      <c r="Z196" s="63">
        <f>Y196*0.99</f>
        <v>7442.1205095000605</v>
      </c>
      <c r="AA196" s="63">
        <f>Z196*0.99</f>
        <v>7367.6993044050596</v>
      </c>
      <c r="AB196" s="35">
        <f>AA196</f>
        <v>7367.6993044050596</v>
      </c>
      <c r="AC196" s="63">
        <f>AA196*0.99</f>
        <v>7294.0223113610091</v>
      </c>
      <c r="AD196" s="63">
        <f>AC196*0.99</f>
        <v>7221.082088247399</v>
      </c>
      <c r="AE196" s="63">
        <f>AD196*0.99</f>
        <v>7148.8712673649252</v>
      </c>
      <c r="AF196" s="63">
        <f>AE196*0.99</f>
        <v>7077.3825546912758</v>
      </c>
      <c r="AG196" s="35">
        <f>AF196</f>
        <v>7077.3825546912758</v>
      </c>
      <c r="AH196" s="63">
        <f>AF196*0.99</f>
        <v>7006.6087291443628</v>
      </c>
      <c r="AI196" s="63">
        <f>AH196*0.99</f>
        <v>6936.5426418529187</v>
      </c>
      <c r="AJ196" s="63">
        <f>AI196*0.99</f>
        <v>6867.1772154343898</v>
      </c>
      <c r="AK196" s="63">
        <f>AJ196*0.99</f>
        <v>6798.5054432800462</v>
      </c>
      <c r="AL196" s="35">
        <f>AK196</f>
        <v>6798.5054432800462</v>
      </c>
      <c r="AM196" s="63">
        <f>AK196*0.99</f>
        <v>6730.5203888472461</v>
      </c>
      <c r="AN196" s="63">
        <f>AM196*0.99</f>
        <v>6663.2151849587735</v>
      </c>
      <c r="AO196" s="63">
        <f>AN196*0.99</f>
        <v>6596.5830331091856</v>
      </c>
      <c r="AP196" s="63">
        <f>AO196*0.99</f>
        <v>6530.617202778094</v>
      </c>
      <c r="AQ196" s="35">
        <f>AP196</f>
        <v>6530.617202778094</v>
      </c>
    </row>
    <row r="197" spans="1:43" s="20" customFormat="1" outlineLevel="1" x14ac:dyDescent="0.25">
      <c r="A197" s="372"/>
      <c r="B197" s="539" t="s">
        <v>214</v>
      </c>
      <c r="C197" s="546"/>
      <c r="D197" s="34">
        <v>650</v>
      </c>
      <c r="E197" s="34">
        <v>1006.6</v>
      </c>
      <c r="F197" s="34">
        <v>1533</v>
      </c>
      <c r="G197" s="34">
        <v>1765.8</v>
      </c>
      <c r="H197" s="35">
        <f t="shared" ref="H197:H198" si="532">+G197</f>
        <v>1765.8</v>
      </c>
      <c r="I197" s="34">
        <v>1731.4</v>
      </c>
      <c r="J197" s="34">
        <v>1709.7</v>
      </c>
      <c r="K197" s="34">
        <v>1740</v>
      </c>
      <c r="L197" s="256">
        <v>1789.9</v>
      </c>
      <c r="M197" s="35">
        <f t="shared" ref="M197:M198" si="533">+L197</f>
        <v>1789.9</v>
      </c>
      <c r="N197" s="34">
        <v>1792.4</v>
      </c>
      <c r="O197" s="34">
        <v>1770</v>
      </c>
      <c r="P197" s="34">
        <v>1851</v>
      </c>
      <c r="Q197" s="63">
        <f>Q238*(Q208+Q214)</f>
        <v>1774.7875297344281</v>
      </c>
      <c r="R197" s="35">
        <f t="shared" ref="R197:R198" si="534">+Q197</f>
        <v>1774.7875297344281</v>
      </c>
      <c r="S197" s="63">
        <f>S238*(S208+S214)</f>
        <v>1870.0533320715861</v>
      </c>
      <c r="T197" s="63">
        <f>T238*(T208+T214)</f>
        <v>1810.8091879436217</v>
      </c>
      <c r="U197" s="63">
        <f>U238*(U208+U214)</f>
        <v>1809.1451991194533</v>
      </c>
      <c r="V197" s="63">
        <f>V238*(V208+V214)</f>
        <v>1787.3422819709556</v>
      </c>
      <c r="W197" s="35">
        <f t="shared" ref="W197:W198" si="535">+V197</f>
        <v>1787.3422819709556</v>
      </c>
      <c r="X197" s="63">
        <f>X238*(X208+X214)</f>
        <v>1898.7071639960836</v>
      </c>
      <c r="Y197" s="63">
        <f>Y238*(Y208+Y214)</f>
        <v>1821.119094937018</v>
      </c>
      <c r="Z197" s="63">
        <f>Z238*(Z208+Z214)</f>
        <v>1811.3207755321814</v>
      </c>
      <c r="AA197" s="63">
        <f>AA238*(AA208+AA214)</f>
        <v>1799.6125356626708</v>
      </c>
      <c r="AB197" s="35">
        <f t="shared" ref="AB197:AB198" si="536">+AA197</f>
        <v>1799.6125356626708</v>
      </c>
      <c r="AC197" s="63">
        <f>AC238*(AC208+AC214)</f>
        <v>1920.0017682417192</v>
      </c>
      <c r="AD197" s="63">
        <f>AD238*(AD208+AD214)</f>
        <v>1833.541870791659</v>
      </c>
      <c r="AE197" s="63">
        <f>AE238*(AE208+AE214)</f>
        <v>1823.2442632144694</v>
      </c>
      <c r="AF197" s="63">
        <f>AF238*(AF208+AF214)</f>
        <v>1812.9575361668406</v>
      </c>
      <c r="AG197" s="35">
        <f t="shared" ref="AG197:AG198" si="537">+AF197</f>
        <v>1812.9575361668406</v>
      </c>
      <c r="AH197" s="63">
        <f>AH238*(AH208+AH214)</f>
        <v>1943.3587820254552</v>
      </c>
      <c r="AI197" s="63">
        <f>AI238*(AI208+AI214)</f>
        <v>1849.7965840858396</v>
      </c>
      <c r="AJ197" s="63">
        <f>AJ238*(AJ208+AJ214)</f>
        <v>1839.3408717028126</v>
      </c>
      <c r="AK197" s="63">
        <f>AK238*(AK208+AK214)</f>
        <v>1828.9917224229098</v>
      </c>
      <c r="AL197" s="35">
        <f t="shared" ref="AL197:AL198" si="538">+AK197</f>
        <v>1828.9917224229098</v>
      </c>
      <c r="AM197" s="63">
        <f>AM238*(AM208+AM214)</f>
        <v>1970.606400960324</v>
      </c>
      <c r="AN197" s="63">
        <f>AN238*(AN208+AN214)</f>
        <v>1869.7620018234875</v>
      </c>
      <c r="AO197" s="63">
        <f>AO238*(AO208+AO214)</f>
        <v>1859.0238668447178</v>
      </c>
      <c r="AP197" s="63">
        <f>AP238*(AP208+AP214)</f>
        <v>1848.3728991390699</v>
      </c>
      <c r="AQ197" s="35">
        <f t="shared" ref="AQ197:AQ198" si="539">+AP197</f>
        <v>1848.3728991390699</v>
      </c>
    </row>
    <row r="198" spans="1:43" s="20" customFormat="1" outlineLevel="1" x14ac:dyDescent="0.25">
      <c r="A198" s="372"/>
      <c r="B198" s="539" t="s">
        <v>277</v>
      </c>
      <c r="C198" s="546"/>
      <c r="D198" s="34">
        <v>472.7</v>
      </c>
      <c r="E198" s="34">
        <v>464.5</v>
      </c>
      <c r="F198" s="34">
        <v>458</v>
      </c>
      <c r="G198" s="34">
        <v>479.6</v>
      </c>
      <c r="H198" s="35">
        <f t="shared" si="532"/>
        <v>479.6</v>
      </c>
      <c r="I198" s="34">
        <v>484.7</v>
      </c>
      <c r="J198" s="34">
        <v>580.1</v>
      </c>
      <c r="K198" s="34">
        <v>550.79999999999995</v>
      </c>
      <c r="L198" s="256">
        <v>568.6</v>
      </c>
      <c r="M198" s="35">
        <f t="shared" si="533"/>
        <v>568.6</v>
      </c>
      <c r="N198" s="34">
        <v>541.1</v>
      </c>
      <c r="O198" s="34">
        <v>574.9</v>
      </c>
      <c r="P198" s="34">
        <v>586.29999999999995</v>
      </c>
      <c r="Q198" s="63">
        <f>+P198*(Q223/P223)</f>
        <v>601.74256892860433</v>
      </c>
      <c r="R198" s="35">
        <f t="shared" si="534"/>
        <v>601.74256892860433</v>
      </c>
      <c r="S198" s="63">
        <f>+Q198*(S223/Q223)</f>
        <v>600.23421047175657</v>
      </c>
      <c r="T198" s="63">
        <f>+S198*(T223/S223)</f>
        <v>580.24528841602648</v>
      </c>
      <c r="U198" s="63">
        <f>+T198*(U223/T223)</f>
        <v>578.78285849111148</v>
      </c>
      <c r="V198" s="63">
        <f>+U198*(V223/U223)</f>
        <v>580.23822137258571</v>
      </c>
      <c r="W198" s="35">
        <f t="shared" si="535"/>
        <v>580.23822137258571</v>
      </c>
      <c r="X198" s="63">
        <f>+V198*(X223/V223)</f>
        <v>585.27872100281445</v>
      </c>
      <c r="Y198" s="63">
        <f>+X198*(Y223/X223)</f>
        <v>573.34524942725739</v>
      </c>
      <c r="Z198" s="63">
        <f>+Y198*(Z223/Y223)</f>
        <v>577.74805065273529</v>
      </c>
      <c r="AA198" s="63">
        <f>+Z198*(AA223/Z223)</f>
        <v>577.80683788486931</v>
      </c>
      <c r="AB198" s="35">
        <f t="shared" si="536"/>
        <v>577.80683788486931</v>
      </c>
      <c r="AC198" s="63">
        <f>+AA198*(AC223/AA223)</f>
        <v>590.59886609458113</v>
      </c>
      <c r="AD198" s="63">
        <f>+AC198*(AD223/AC223)</f>
        <v>583.28777318638595</v>
      </c>
      <c r="AE198" s="63">
        <f>+AD198*(AE223/AD223)</f>
        <v>594.34110304041678</v>
      </c>
      <c r="AF198" s="63">
        <f>+AE198*(AF223/AE223)</f>
        <v>597.71537780024209</v>
      </c>
      <c r="AG198" s="35">
        <f t="shared" si="537"/>
        <v>597.71537780024209</v>
      </c>
      <c r="AH198" s="63">
        <f>+AF198*(AH223/AF223)</f>
        <v>615.75012986637148</v>
      </c>
      <c r="AI198" s="63">
        <f>+AH198*(AI223/AH223)</f>
        <v>612.79418094583173</v>
      </c>
      <c r="AJ198" s="63">
        <f>+AI198*(AJ223/AI223)</f>
        <v>628.85508018438134</v>
      </c>
      <c r="AK198" s="63">
        <f>+AJ198*(AK223/AJ223)</f>
        <v>636.28480822780944</v>
      </c>
      <c r="AL198" s="35">
        <f t="shared" si="538"/>
        <v>636.28480822780944</v>
      </c>
      <c r="AM198" s="63">
        <f>+AK198*(AM223/AK223)</f>
        <v>657.33093651462912</v>
      </c>
      <c r="AN198" s="63">
        <f>+AM198*(AN223/AM223)</f>
        <v>655.67733762629018</v>
      </c>
      <c r="AO198" s="63">
        <f>+AN198*(AO223/AN223)</f>
        <v>674.39650146818678</v>
      </c>
      <c r="AP198" s="63">
        <f>+AO198*(AP223/AO223)</f>
        <v>684.12618262465662</v>
      </c>
      <c r="AQ198" s="35">
        <f t="shared" si="539"/>
        <v>684.12618262465662</v>
      </c>
    </row>
    <row r="199" spans="1:43" s="20" customFormat="1" outlineLevel="1" x14ac:dyDescent="0.25">
      <c r="A199" s="372"/>
      <c r="B199" s="539" t="s">
        <v>206</v>
      </c>
      <c r="C199" s="546"/>
      <c r="D199" s="34">
        <v>981.6</v>
      </c>
      <c r="E199" s="34">
        <v>918.3</v>
      </c>
      <c r="F199" s="34">
        <v>853.2</v>
      </c>
      <c r="G199" s="34">
        <v>781.8</v>
      </c>
      <c r="H199" s="35">
        <f>+G199</f>
        <v>781.8</v>
      </c>
      <c r="I199" s="34">
        <v>739.1</v>
      </c>
      <c r="J199" s="34">
        <v>678.7</v>
      </c>
      <c r="K199" s="34">
        <v>599.6</v>
      </c>
      <c r="L199" s="256">
        <v>552.1</v>
      </c>
      <c r="M199" s="35">
        <f>+L199</f>
        <v>552.1</v>
      </c>
      <c r="N199" s="34">
        <v>506.4</v>
      </c>
      <c r="O199" s="34">
        <v>444.3</v>
      </c>
      <c r="P199" s="34">
        <v>398</v>
      </c>
      <c r="Q199" s="63">
        <f>+P199*0.94</f>
        <v>374.12</v>
      </c>
      <c r="R199" s="35">
        <f>+Q199</f>
        <v>374.12</v>
      </c>
      <c r="S199" s="63">
        <f>+Q199*0.94</f>
        <v>351.6728</v>
      </c>
      <c r="T199" s="63">
        <f>+S199*0.94</f>
        <v>330.57243199999999</v>
      </c>
      <c r="U199" s="63">
        <f>+T199*0.94</f>
        <v>310.73808607999996</v>
      </c>
      <c r="V199" s="63">
        <f>+U199*0.94</f>
        <v>292.09380091519995</v>
      </c>
      <c r="W199" s="35">
        <f>+V199</f>
        <v>292.09380091519995</v>
      </c>
      <c r="X199" s="63">
        <f>+V199*0.94</f>
        <v>274.56817286028792</v>
      </c>
      <c r="Y199" s="63">
        <f>+X199*0.94</f>
        <v>258.09408248867061</v>
      </c>
      <c r="Z199" s="63">
        <f>+Y199*0.94</f>
        <v>242.60843753935035</v>
      </c>
      <c r="AA199" s="63">
        <f>+Z199*0.94</f>
        <v>228.05193128698932</v>
      </c>
      <c r="AB199" s="35">
        <f>+AA199</f>
        <v>228.05193128698932</v>
      </c>
      <c r="AC199" s="63">
        <f>+AA199*0.94</f>
        <v>214.36881540976995</v>
      </c>
      <c r="AD199" s="63">
        <f>+AC199*0.94</f>
        <v>201.50668648518374</v>
      </c>
      <c r="AE199" s="63">
        <f>+AD199*0.94</f>
        <v>189.41628529607269</v>
      </c>
      <c r="AF199" s="63">
        <f>+AE199*0.94</f>
        <v>178.05130817830832</v>
      </c>
      <c r="AG199" s="35">
        <f>+AF199</f>
        <v>178.05130817830832</v>
      </c>
      <c r="AH199" s="63">
        <f>+AF199*0.94</f>
        <v>167.36822968760981</v>
      </c>
      <c r="AI199" s="63">
        <f>+AH199*0.94</f>
        <v>157.32613590635322</v>
      </c>
      <c r="AJ199" s="63">
        <f>+AI199*0.94</f>
        <v>147.88656775197202</v>
      </c>
      <c r="AK199" s="63">
        <f>+AJ199*0.94</f>
        <v>139.0133736868537</v>
      </c>
      <c r="AL199" s="35">
        <f>+AK199</f>
        <v>139.0133736868537</v>
      </c>
      <c r="AM199" s="63">
        <f>+AK199*0.94</f>
        <v>130.67257126564246</v>
      </c>
      <c r="AN199" s="63">
        <f>+AM199*0.94</f>
        <v>122.83221698970391</v>
      </c>
      <c r="AO199" s="63">
        <f>+AN199*0.94</f>
        <v>115.46228397032166</v>
      </c>
      <c r="AP199" s="63">
        <f>+AO199*0.94</f>
        <v>108.53454693210236</v>
      </c>
      <c r="AQ199" s="35">
        <f>+AP199</f>
        <v>108.53454693210236</v>
      </c>
    </row>
    <row r="200" spans="1:43" ht="17.25" outlineLevel="1" x14ac:dyDescent="0.4">
      <c r="A200" s="372"/>
      <c r="B200" s="595" t="s">
        <v>36</v>
      </c>
      <c r="C200" s="596"/>
      <c r="D200" s="37">
        <v>3560.3</v>
      </c>
      <c r="E200" s="37">
        <v>3603.5</v>
      </c>
      <c r="F200" s="37">
        <v>3564.7</v>
      </c>
      <c r="G200" s="37">
        <v>3490.8</v>
      </c>
      <c r="H200" s="38">
        <f>G200</f>
        <v>3490.8</v>
      </c>
      <c r="I200" s="37">
        <v>3515.9</v>
      </c>
      <c r="J200" s="37">
        <v>3493</v>
      </c>
      <c r="K200" s="37">
        <v>3510.1</v>
      </c>
      <c r="L200" s="270">
        <v>3597.2</v>
      </c>
      <c r="M200" s="38">
        <f>L200</f>
        <v>3597.2</v>
      </c>
      <c r="N200" s="37">
        <v>3706.8</v>
      </c>
      <c r="O200" s="37">
        <v>3658.9</v>
      </c>
      <c r="P200" s="37">
        <v>3672</v>
      </c>
      <c r="Q200" s="61">
        <f t="shared" ref="Q200" si="540">+P200</f>
        <v>3672</v>
      </c>
      <c r="R200" s="38">
        <f>Q200</f>
        <v>3672</v>
      </c>
      <c r="S200" s="61">
        <f>+Q200</f>
        <v>3672</v>
      </c>
      <c r="T200" s="61">
        <f>+S200</f>
        <v>3672</v>
      </c>
      <c r="U200" s="61">
        <f t="shared" ref="U200:V200" si="541">+T200</f>
        <v>3672</v>
      </c>
      <c r="V200" s="61">
        <f t="shared" si="541"/>
        <v>3672</v>
      </c>
      <c r="W200" s="38">
        <f>V200</f>
        <v>3672</v>
      </c>
      <c r="X200" s="61">
        <f>+V200</f>
        <v>3672</v>
      </c>
      <c r="Y200" s="61">
        <f>+X200</f>
        <v>3672</v>
      </c>
      <c r="Z200" s="61">
        <f t="shared" ref="Z200:AA200" si="542">+Y200</f>
        <v>3672</v>
      </c>
      <c r="AA200" s="61">
        <f t="shared" si="542"/>
        <v>3672</v>
      </c>
      <c r="AB200" s="38">
        <f>AA200</f>
        <v>3672</v>
      </c>
      <c r="AC200" s="61">
        <f>+AA200</f>
        <v>3672</v>
      </c>
      <c r="AD200" s="61">
        <f>+AC200</f>
        <v>3672</v>
      </c>
      <c r="AE200" s="61">
        <f t="shared" ref="AE200:AF200" si="543">+AD200</f>
        <v>3672</v>
      </c>
      <c r="AF200" s="61">
        <f t="shared" si="543"/>
        <v>3672</v>
      </c>
      <c r="AG200" s="38">
        <f>AF200</f>
        <v>3672</v>
      </c>
      <c r="AH200" s="61">
        <f>+AF200</f>
        <v>3672</v>
      </c>
      <c r="AI200" s="61">
        <f>+AH200</f>
        <v>3672</v>
      </c>
      <c r="AJ200" s="61">
        <f t="shared" ref="AJ200:AK200" si="544">+AI200</f>
        <v>3672</v>
      </c>
      <c r="AK200" s="61">
        <f t="shared" si="544"/>
        <v>3672</v>
      </c>
      <c r="AL200" s="38">
        <f>AK200</f>
        <v>3672</v>
      </c>
      <c r="AM200" s="61">
        <f>+AK200</f>
        <v>3672</v>
      </c>
      <c r="AN200" s="61">
        <f>+AM200</f>
        <v>3672</v>
      </c>
      <c r="AO200" s="61">
        <f t="shared" ref="AO200:AP200" si="545">+AN200</f>
        <v>3672</v>
      </c>
      <c r="AP200" s="61">
        <f t="shared" si="545"/>
        <v>3672</v>
      </c>
      <c r="AQ200" s="38">
        <f>AP200</f>
        <v>3672</v>
      </c>
    </row>
    <row r="201" spans="1:43" outlineLevel="1" x14ac:dyDescent="0.25">
      <c r="A201" s="372"/>
      <c r="B201" s="613" t="s">
        <v>5</v>
      </c>
      <c r="C201" s="614"/>
      <c r="D201" s="41">
        <f t="shared" ref="D201:AB201" si="546">+SUM(D192:D200)</f>
        <v>19981.3</v>
      </c>
      <c r="E201" s="41">
        <f t="shared" si="546"/>
        <v>17641.900000000001</v>
      </c>
      <c r="F201" s="41">
        <f t="shared" si="546"/>
        <v>20894.500000000004</v>
      </c>
      <c r="G201" s="41">
        <f t="shared" si="546"/>
        <v>19219.400000000001</v>
      </c>
      <c r="H201" s="42">
        <f t="shared" si="546"/>
        <v>19219.400000000001</v>
      </c>
      <c r="I201" s="41">
        <f t="shared" si="546"/>
        <v>27731.300000000007</v>
      </c>
      <c r="J201" s="41">
        <f t="shared" si="546"/>
        <v>27478.9</v>
      </c>
      <c r="K201" s="41">
        <f t="shared" si="546"/>
        <v>29140.600000000002</v>
      </c>
      <c r="L201" s="41">
        <f t="shared" si="546"/>
        <v>29374.500000000004</v>
      </c>
      <c r="M201" s="42">
        <f t="shared" si="546"/>
        <v>29374.500000000004</v>
      </c>
      <c r="N201" s="41">
        <f t="shared" si="546"/>
        <v>29968.30000000001</v>
      </c>
      <c r="O201" s="41">
        <f t="shared" si="546"/>
        <v>28371.600000000013</v>
      </c>
      <c r="P201" s="41">
        <f t="shared" si="546"/>
        <v>29476.800000000007</v>
      </c>
      <c r="Q201" s="41">
        <f t="shared" si="546"/>
        <v>30253.190100280892</v>
      </c>
      <c r="R201" s="42">
        <f t="shared" si="546"/>
        <v>30253.190100280892</v>
      </c>
      <c r="S201" s="41">
        <f t="shared" si="546"/>
        <v>30177.355918870671</v>
      </c>
      <c r="T201" s="41">
        <f t="shared" si="546"/>
        <v>29172.393514551477</v>
      </c>
      <c r="U201" s="41">
        <f t="shared" si="546"/>
        <v>29098.868434539982</v>
      </c>
      <c r="V201" s="41">
        <f t="shared" si="546"/>
        <v>29172.038212102056</v>
      </c>
      <c r="W201" s="42">
        <f t="shared" si="546"/>
        <v>29172.038212102056</v>
      </c>
      <c r="X201" s="41">
        <f t="shared" si="546"/>
        <v>29425.454209885305</v>
      </c>
      <c r="Y201" s="41">
        <f t="shared" si="546"/>
        <v>28825.48737560528</v>
      </c>
      <c r="Z201" s="41">
        <f t="shared" si="546"/>
        <v>29046.842468839401</v>
      </c>
      <c r="AA201" s="41">
        <f t="shared" si="546"/>
        <v>29049.79805383713</v>
      </c>
      <c r="AB201" s="42">
        <f t="shared" si="546"/>
        <v>29049.79805383713</v>
      </c>
      <c r="AC201" s="41">
        <f t="shared" ref="AC201:AG201" si="547">+SUM(AC192:AC200)</f>
        <v>29692.929653925887</v>
      </c>
      <c r="AD201" s="41">
        <f t="shared" si="547"/>
        <v>29325.35738130728</v>
      </c>
      <c r="AE201" s="41">
        <f t="shared" si="547"/>
        <v>29881.074238618043</v>
      </c>
      <c r="AF201" s="41">
        <f t="shared" si="547"/>
        <v>30050.719168245225</v>
      </c>
      <c r="AG201" s="42">
        <f t="shared" si="547"/>
        <v>30050.719168245225</v>
      </c>
      <c r="AH201" s="41">
        <f t="shared" ref="AH201:AQ201" si="548">+SUM(AH192:AH200)</f>
        <v>30957.433784828685</v>
      </c>
      <c r="AI201" s="41">
        <f t="shared" si="548"/>
        <v>30808.820591683598</v>
      </c>
      <c r="AJ201" s="41">
        <f t="shared" si="548"/>
        <v>31616.297846800229</v>
      </c>
      <c r="AK201" s="41">
        <f t="shared" si="548"/>
        <v>31989.834615673706</v>
      </c>
      <c r="AL201" s="42">
        <f t="shared" si="548"/>
        <v>31989.834615673706</v>
      </c>
      <c r="AM201" s="41">
        <f t="shared" si="548"/>
        <v>33047.949086567329</v>
      </c>
      <c r="AN201" s="41">
        <f t="shared" si="548"/>
        <v>32964.81280188066</v>
      </c>
      <c r="AO201" s="41">
        <f t="shared" si="548"/>
        <v>33905.936882956594</v>
      </c>
      <c r="AP201" s="41">
        <f t="shared" si="548"/>
        <v>34395.106020792227</v>
      </c>
      <c r="AQ201" s="42">
        <f t="shared" si="548"/>
        <v>34395.106020792227</v>
      </c>
    </row>
    <row r="202" spans="1:43" ht="18" x14ac:dyDescent="0.4">
      <c r="A202" s="372"/>
      <c r="B202" s="565" t="s">
        <v>7</v>
      </c>
      <c r="C202" s="566"/>
      <c r="D202" s="32" t="s">
        <v>119</v>
      </c>
      <c r="E202" s="32" t="s">
        <v>243</v>
      </c>
      <c r="F202" s="32" t="s">
        <v>247</v>
      </c>
      <c r="G202" s="32" t="s">
        <v>257</v>
      </c>
      <c r="H202" s="86" t="s">
        <v>258</v>
      </c>
      <c r="I202" s="32" t="s">
        <v>259</v>
      </c>
      <c r="J202" s="32" t="s">
        <v>260</v>
      </c>
      <c r="K202" s="32" t="s">
        <v>261</v>
      </c>
      <c r="L202" s="32" t="s">
        <v>322</v>
      </c>
      <c r="M202" s="86" t="s">
        <v>333</v>
      </c>
      <c r="N202" s="32" t="s">
        <v>339</v>
      </c>
      <c r="O202" s="32" t="s">
        <v>347</v>
      </c>
      <c r="P202" s="32" t="s">
        <v>349</v>
      </c>
      <c r="Q202" s="30" t="s">
        <v>129</v>
      </c>
      <c r="R202" s="89" t="s">
        <v>130</v>
      </c>
      <c r="S202" s="30" t="s">
        <v>131</v>
      </c>
      <c r="T202" s="30" t="s">
        <v>132</v>
      </c>
      <c r="U202" s="30" t="s">
        <v>133</v>
      </c>
      <c r="V202" s="30" t="s">
        <v>134</v>
      </c>
      <c r="W202" s="89" t="s">
        <v>135</v>
      </c>
      <c r="X202" s="30" t="s">
        <v>136</v>
      </c>
      <c r="Y202" s="30" t="s">
        <v>137</v>
      </c>
      <c r="Z202" s="30" t="s">
        <v>138</v>
      </c>
      <c r="AA202" s="30" t="s">
        <v>139</v>
      </c>
      <c r="AB202" s="89" t="s">
        <v>140</v>
      </c>
      <c r="AC202" s="30" t="s">
        <v>252</v>
      </c>
      <c r="AD202" s="30" t="s">
        <v>253</v>
      </c>
      <c r="AE202" s="30" t="s">
        <v>254</v>
      </c>
      <c r="AF202" s="30" t="s">
        <v>255</v>
      </c>
      <c r="AG202" s="89" t="s">
        <v>256</v>
      </c>
      <c r="AH202" s="30" t="s">
        <v>285</v>
      </c>
      <c r="AI202" s="30" t="s">
        <v>286</v>
      </c>
      <c r="AJ202" s="30" t="s">
        <v>287</v>
      </c>
      <c r="AK202" s="30" t="s">
        <v>288</v>
      </c>
      <c r="AL202" s="89" t="s">
        <v>289</v>
      </c>
      <c r="AM202" s="30" t="s">
        <v>356</v>
      </c>
      <c r="AN202" s="30" t="s">
        <v>357</v>
      </c>
      <c r="AO202" s="30" t="s">
        <v>358</v>
      </c>
      <c r="AP202" s="30" t="s">
        <v>359</v>
      </c>
      <c r="AQ202" s="89" t="s">
        <v>360</v>
      </c>
    </row>
    <row r="203" spans="1:43" s="43" customFormat="1" outlineLevel="1" x14ac:dyDescent="0.25">
      <c r="A203" s="372"/>
      <c r="B203" s="619" t="s">
        <v>37</v>
      </c>
      <c r="C203" s="620"/>
      <c r="D203" s="81">
        <v>1100.5</v>
      </c>
      <c r="E203" s="81">
        <v>1096.7</v>
      </c>
      <c r="F203" s="81">
        <v>1145.4000000000001</v>
      </c>
      <c r="G203" s="81">
        <v>1189.7</v>
      </c>
      <c r="H203" s="82">
        <f>G203</f>
        <v>1189.7</v>
      </c>
      <c r="I203" s="81">
        <v>1085.5999999999999</v>
      </c>
      <c r="J203" s="81">
        <v>997.7</v>
      </c>
      <c r="K203" s="81">
        <v>860.8</v>
      </c>
      <c r="L203" s="81">
        <v>997.9</v>
      </c>
      <c r="M203" s="82">
        <f>L203</f>
        <v>997.9</v>
      </c>
      <c r="N203" s="81">
        <v>1050.5999999999999</v>
      </c>
      <c r="O203" s="81">
        <v>1033.5999999999999</v>
      </c>
      <c r="P203" s="81">
        <v>1127</v>
      </c>
      <c r="Q203" s="81">
        <f>(Q17/Q232)</f>
        <v>1312.9993913543308</v>
      </c>
      <c r="R203" s="82">
        <f>Q203</f>
        <v>1312.9993913543308</v>
      </c>
      <c r="S203" s="81">
        <f t="shared" ref="S203:AP203" si="549">(S17/S232)</f>
        <v>1183.6626237864796</v>
      </c>
      <c r="T203" s="81">
        <f t="shared" si="549"/>
        <v>1193.0760023559048</v>
      </c>
      <c r="U203" s="81">
        <f t="shared" si="549"/>
        <v>1366.5606893713527</v>
      </c>
      <c r="V203" s="81">
        <f t="shared" si="549"/>
        <v>1329.4066906054393</v>
      </c>
      <c r="W203" s="82">
        <f>V203</f>
        <v>1329.4066906054393</v>
      </c>
      <c r="X203" s="81">
        <f t="shared" si="549"/>
        <v>1295.2479690642033</v>
      </c>
      <c r="Y203" s="81">
        <f t="shared" si="549"/>
        <v>1317.4445669075374</v>
      </c>
      <c r="Z203" s="81">
        <f t="shared" si="549"/>
        <v>1474.4133639954039</v>
      </c>
      <c r="AA203" s="81">
        <f t="shared" si="549"/>
        <v>1446.770070444958</v>
      </c>
      <c r="AB203" s="82">
        <f>AA203</f>
        <v>1446.770070444958</v>
      </c>
      <c r="AC203" s="81">
        <f t="shared" si="549"/>
        <v>1393.52506818607</v>
      </c>
      <c r="AD203" s="81">
        <f t="shared" si="549"/>
        <v>1425.110133237027</v>
      </c>
      <c r="AE203" s="81">
        <f t="shared" si="549"/>
        <v>1626.6039690415312</v>
      </c>
      <c r="AF203" s="81">
        <f t="shared" si="549"/>
        <v>1563.6696459954328</v>
      </c>
      <c r="AG203" s="82">
        <f>AF203</f>
        <v>1563.6696459954328</v>
      </c>
      <c r="AH203" s="81">
        <f t="shared" si="549"/>
        <v>1509.2091427785588</v>
      </c>
      <c r="AI203" s="81">
        <f t="shared" si="549"/>
        <v>1540.9441829700118</v>
      </c>
      <c r="AJ203" s="81">
        <f t="shared" si="549"/>
        <v>1734.2826606478764</v>
      </c>
      <c r="AK203" s="81">
        <f t="shared" si="549"/>
        <v>1687.1218567662447</v>
      </c>
      <c r="AL203" s="82">
        <f>AK203</f>
        <v>1687.1218567662447</v>
      </c>
      <c r="AM203" s="81">
        <f t="shared" si="549"/>
        <v>1629.5765938930219</v>
      </c>
      <c r="AN203" s="81">
        <f t="shared" si="549"/>
        <v>1663.1762585363017</v>
      </c>
      <c r="AO203" s="81">
        <f t="shared" si="549"/>
        <v>1878.4561514649342</v>
      </c>
      <c r="AP203" s="81">
        <f t="shared" si="549"/>
        <v>1818.8140273916051</v>
      </c>
      <c r="AQ203" s="82">
        <f>AP203</f>
        <v>1818.8140273916051</v>
      </c>
    </row>
    <row r="204" spans="1:43" outlineLevel="1" x14ac:dyDescent="0.25">
      <c r="A204" s="372"/>
      <c r="B204" s="619" t="s">
        <v>207</v>
      </c>
      <c r="C204" s="620"/>
      <c r="D204" s="81">
        <v>2564</v>
      </c>
      <c r="E204" s="81">
        <v>2569.3000000000002</v>
      </c>
      <c r="F204" s="81">
        <v>3238.7</v>
      </c>
      <c r="G204" s="81">
        <v>1753.7</v>
      </c>
      <c r="H204" s="82">
        <f>G204</f>
        <v>1753.7</v>
      </c>
      <c r="I204" s="81">
        <v>1637.8</v>
      </c>
      <c r="J204" s="81">
        <v>1539</v>
      </c>
      <c r="K204" s="81">
        <v>1511.7</v>
      </c>
      <c r="L204" s="81">
        <v>1160.7</v>
      </c>
      <c r="M204" s="82">
        <f>L204</f>
        <v>1160.7</v>
      </c>
      <c r="N204" s="81">
        <v>1616.9</v>
      </c>
      <c r="O204" s="81">
        <v>1771.6</v>
      </c>
      <c r="P204" s="81">
        <v>1791.4</v>
      </c>
      <c r="Q204" s="63">
        <f>((L23-L22-L20)/(K23-K22-K20)*P204)</f>
        <v>2044.5783461023427</v>
      </c>
      <c r="R204" s="82">
        <f>Q204</f>
        <v>2044.5783461023427</v>
      </c>
      <c r="S204" s="63">
        <f>((N23-N22-N20)/(L23-L22-L20)*R204)</f>
        <v>2155.1619915263541</v>
      </c>
      <c r="T204" s="63">
        <f>((O23-O22-O20)/(N23-N22-N20)*S204)</f>
        <v>2110.920668232608</v>
      </c>
      <c r="U204" s="63">
        <f>((P23-P22-P20)/(O23-O22-O20)*T204)</f>
        <v>2256.9760235330277</v>
      </c>
      <c r="V204" s="63">
        <f>((Q23-Q22-Q20)/(P23-P22-P20)*U204)</f>
        <v>2509.6127171209969</v>
      </c>
      <c r="W204" s="82">
        <f>V204</f>
        <v>2509.6127171209969</v>
      </c>
      <c r="X204" s="63">
        <f>((S23-S22-S20)/(Q23-Q22-Q20)*W204)</f>
        <v>2403.6454016315151</v>
      </c>
      <c r="Y204" s="63">
        <f>((T23-T22-T20)/(S23-S22-S20)*X204)</f>
        <v>2351.9639119066096</v>
      </c>
      <c r="Z204" s="63">
        <f>((U23-U22-U20)/(T23-T22-T20)*Y204)</f>
        <v>2524.4383606732899</v>
      </c>
      <c r="AA204" s="63">
        <f>((V23-V22-V20)/(U23-U22-U20)*Z204)</f>
        <v>2554.819900300804</v>
      </c>
      <c r="AB204" s="82">
        <f>AA204</f>
        <v>2554.819900300804</v>
      </c>
      <c r="AC204" s="63">
        <f>((X23-X22-X20)/(V23-V22-V20)*AB204)</f>
        <v>2568.8735369651295</v>
      </c>
      <c r="AD204" s="63">
        <f>((Y23-Y22-Y20)/(X23-X22-X20)*AC204)</f>
        <v>2550.5723168493919</v>
      </c>
      <c r="AE204" s="63">
        <f>((Z23-Z22-Z20)/(Y23-Y22-Y20)*AD204)</f>
        <v>2790.9788614483746</v>
      </c>
      <c r="AF204" s="63">
        <f>((AA23-AA22-AA20)/(Z23-Z22-Z20)*AE204)</f>
        <v>2760.4081708784543</v>
      </c>
      <c r="AG204" s="82">
        <f>AF204</f>
        <v>2760.4081708784543</v>
      </c>
      <c r="AH204" s="63">
        <f>((AC23-AC22-AC20)/(AA23-AA22-AA20)*AG204)</f>
        <v>2768.6198676319791</v>
      </c>
      <c r="AI204" s="63">
        <f>((AD23-AD22-AD20)/(AC23-AC22-AC20)*AH204)</f>
        <v>2758.461978905967</v>
      </c>
      <c r="AJ204" s="63">
        <f>((AE23-AE22-AE20)/(AD23-AD22-AD20)*AI204)</f>
        <v>3018.0082445324897</v>
      </c>
      <c r="AK204" s="63">
        <f>((AF23-AF22-AF20)/(AE23-AE22-AE20)*AJ204)</f>
        <v>2986.6676163901016</v>
      </c>
      <c r="AL204" s="82">
        <f>AK204</f>
        <v>2986.6676163901016</v>
      </c>
      <c r="AM204" s="63">
        <f>((AH23-AH22-AH20)/(AF23-AF22-AF20)*AL204)</f>
        <v>2990.6537688545568</v>
      </c>
      <c r="AN204" s="63">
        <f>((AI23-AI22-AI20)/(AH23-AH22-AH20)*AM204)</f>
        <v>2977.5331783072988</v>
      </c>
      <c r="AO204" s="63">
        <f>((AJ23-AJ22-AJ20)/(AI23-AI22-AI20)*AN204)</f>
        <v>3246.2465115983291</v>
      </c>
      <c r="AP204" s="63">
        <f>((AK23-AK22-AK20)/(AJ23-AJ22-AJ20)*AO204)</f>
        <v>3215.9771347084234</v>
      </c>
      <c r="AQ204" s="82">
        <f>AP204</f>
        <v>3215.9771347084234</v>
      </c>
    </row>
    <row r="205" spans="1:43" outlineLevel="1" x14ac:dyDescent="0.25">
      <c r="A205" s="372"/>
      <c r="B205" s="547" t="s">
        <v>272</v>
      </c>
      <c r="C205" s="548"/>
      <c r="D205" s="81">
        <v>0</v>
      </c>
      <c r="E205" s="81">
        <v>0</v>
      </c>
      <c r="F205" s="81">
        <v>0</v>
      </c>
      <c r="G205" s="81">
        <v>664.6</v>
      </c>
      <c r="H205" s="82">
        <f t="shared" ref="H205:H215" si="550">G205</f>
        <v>664.6</v>
      </c>
      <c r="I205" s="81">
        <v>578.5</v>
      </c>
      <c r="J205" s="81">
        <v>596.1</v>
      </c>
      <c r="K205" s="81">
        <v>652.1</v>
      </c>
      <c r="L205" s="81">
        <v>696</v>
      </c>
      <c r="M205" s="82">
        <f t="shared" ref="M205:M215" si="551">L205</f>
        <v>696</v>
      </c>
      <c r="N205" s="81">
        <v>685.3</v>
      </c>
      <c r="O205" s="81">
        <v>646.1</v>
      </c>
      <c r="P205" s="81">
        <v>741</v>
      </c>
      <c r="Q205" s="63">
        <f t="shared" ref="Q205:R215" si="552">P205</f>
        <v>741</v>
      </c>
      <c r="R205" s="82">
        <f t="shared" si="552"/>
        <v>741</v>
      </c>
      <c r="S205" s="63">
        <f>Q205</f>
        <v>741</v>
      </c>
      <c r="T205" s="63">
        <f>S205</f>
        <v>741</v>
      </c>
      <c r="U205" s="63">
        <f t="shared" ref="U205:W215" si="553">T205</f>
        <v>741</v>
      </c>
      <c r="V205" s="63">
        <f t="shared" si="553"/>
        <v>741</v>
      </c>
      <c r="W205" s="82">
        <f t="shared" si="553"/>
        <v>741</v>
      </c>
      <c r="X205" s="63">
        <f>V205</f>
        <v>741</v>
      </c>
      <c r="Y205" s="63">
        <f>X205</f>
        <v>741</v>
      </c>
      <c r="Z205" s="63">
        <f t="shared" ref="Z205:AB215" si="554">Y205</f>
        <v>741</v>
      </c>
      <c r="AA205" s="63">
        <f t="shared" si="554"/>
        <v>741</v>
      </c>
      <c r="AB205" s="82">
        <f t="shared" si="554"/>
        <v>741</v>
      </c>
      <c r="AC205" s="63">
        <f>AA205</f>
        <v>741</v>
      </c>
      <c r="AD205" s="63">
        <f>AC205</f>
        <v>741</v>
      </c>
      <c r="AE205" s="63">
        <f t="shared" ref="AE205:AG215" si="555">AD205</f>
        <v>741</v>
      </c>
      <c r="AF205" s="63">
        <f t="shared" si="555"/>
        <v>741</v>
      </c>
      <c r="AG205" s="82">
        <f t="shared" si="555"/>
        <v>741</v>
      </c>
      <c r="AH205" s="63">
        <f>AF205</f>
        <v>741</v>
      </c>
      <c r="AI205" s="63">
        <f>AH205</f>
        <v>741</v>
      </c>
      <c r="AJ205" s="63">
        <f t="shared" ref="AJ205:AL215" si="556">AI205</f>
        <v>741</v>
      </c>
      <c r="AK205" s="63">
        <f t="shared" si="556"/>
        <v>741</v>
      </c>
      <c r="AL205" s="82">
        <f t="shared" si="556"/>
        <v>741</v>
      </c>
      <c r="AM205" s="63">
        <f>AK205</f>
        <v>741</v>
      </c>
      <c r="AN205" s="63">
        <f>AM205</f>
        <v>741</v>
      </c>
      <c r="AO205" s="63">
        <f t="shared" ref="AO205:AQ210" si="557">AN205</f>
        <v>741</v>
      </c>
      <c r="AP205" s="63">
        <f t="shared" si="557"/>
        <v>741</v>
      </c>
      <c r="AQ205" s="82">
        <f t="shared" si="557"/>
        <v>741</v>
      </c>
    </row>
    <row r="206" spans="1:43" outlineLevel="1" x14ac:dyDescent="0.25">
      <c r="A206" s="372"/>
      <c r="B206" s="547" t="s">
        <v>273</v>
      </c>
      <c r="C206" s="548"/>
      <c r="D206" s="81">
        <v>0</v>
      </c>
      <c r="E206" s="81">
        <v>0</v>
      </c>
      <c r="F206" s="81">
        <v>0</v>
      </c>
      <c r="G206" s="81">
        <v>1291.7</v>
      </c>
      <c r="H206" s="82">
        <f t="shared" si="550"/>
        <v>1291.7</v>
      </c>
      <c r="I206" s="81">
        <v>1414</v>
      </c>
      <c r="J206" s="81">
        <v>86.7</v>
      </c>
      <c r="K206" s="81">
        <v>90.9</v>
      </c>
      <c r="L206" s="81">
        <v>98.2</v>
      </c>
      <c r="M206" s="82">
        <f t="shared" si="551"/>
        <v>98.2</v>
      </c>
      <c r="N206" s="81">
        <v>149.69999999999999</v>
      </c>
      <c r="O206" s="81">
        <v>117</v>
      </c>
      <c r="P206" s="81">
        <v>204.8</v>
      </c>
      <c r="Q206" s="63">
        <f t="shared" si="552"/>
        <v>204.8</v>
      </c>
      <c r="R206" s="82">
        <f t="shared" si="552"/>
        <v>204.8</v>
      </c>
      <c r="S206" s="63">
        <f t="shared" ref="S206" si="558">Q206</f>
        <v>204.8</v>
      </c>
      <c r="T206" s="63">
        <f t="shared" ref="T206:V206" si="559">S206</f>
        <v>204.8</v>
      </c>
      <c r="U206" s="63">
        <f t="shared" si="559"/>
        <v>204.8</v>
      </c>
      <c r="V206" s="63">
        <f t="shared" si="559"/>
        <v>204.8</v>
      </c>
      <c r="W206" s="82">
        <f t="shared" si="553"/>
        <v>204.8</v>
      </c>
      <c r="X206" s="63">
        <f t="shared" ref="X206" si="560">V206</f>
        <v>204.8</v>
      </c>
      <c r="Y206" s="63">
        <f t="shared" ref="Y206:AA206" si="561">X206</f>
        <v>204.8</v>
      </c>
      <c r="Z206" s="63">
        <f t="shared" si="561"/>
        <v>204.8</v>
      </c>
      <c r="AA206" s="63">
        <f t="shared" si="561"/>
        <v>204.8</v>
      </c>
      <c r="AB206" s="82">
        <f t="shared" si="554"/>
        <v>204.8</v>
      </c>
      <c r="AC206" s="63">
        <f t="shared" ref="AC206" si="562">AA206</f>
        <v>204.8</v>
      </c>
      <c r="AD206" s="63">
        <f t="shared" ref="AD206:AF206" si="563">AC206</f>
        <v>204.8</v>
      </c>
      <c r="AE206" s="63">
        <f t="shared" si="563"/>
        <v>204.8</v>
      </c>
      <c r="AF206" s="63">
        <f t="shared" si="563"/>
        <v>204.8</v>
      </c>
      <c r="AG206" s="82">
        <f t="shared" si="555"/>
        <v>204.8</v>
      </c>
      <c r="AH206" s="63">
        <f t="shared" ref="AH206" si="564">AF206</f>
        <v>204.8</v>
      </c>
      <c r="AI206" s="63">
        <f t="shared" ref="AI206:AK206" si="565">AH206</f>
        <v>204.8</v>
      </c>
      <c r="AJ206" s="63">
        <f t="shared" si="565"/>
        <v>204.8</v>
      </c>
      <c r="AK206" s="63">
        <f t="shared" si="565"/>
        <v>204.8</v>
      </c>
      <c r="AL206" s="82">
        <f t="shared" si="556"/>
        <v>204.8</v>
      </c>
      <c r="AM206" s="63">
        <f t="shared" ref="AM206" si="566">AK206</f>
        <v>204.8</v>
      </c>
      <c r="AN206" s="63">
        <f t="shared" ref="AN206" si="567">AM206</f>
        <v>204.8</v>
      </c>
      <c r="AO206" s="63">
        <f t="shared" si="557"/>
        <v>204.8</v>
      </c>
      <c r="AP206" s="63">
        <f t="shared" si="557"/>
        <v>204.8</v>
      </c>
      <c r="AQ206" s="82">
        <f t="shared" si="557"/>
        <v>204.8</v>
      </c>
    </row>
    <row r="207" spans="1:43" outlineLevel="1" x14ac:dyDescent="0.25">
      <c r="A207" s="372"/>
      <c r="B207" s="547" t="s">
        <v>274</v>
      </c>
      <c r="C207" s="548"/>
      <c r="D207" s="81">
        <v>0</v>
      </c>
      <c r="E207" s="81">
        <v>0</v>
      </c>
      <c r="F207" s="81">
        <v>0</v>
      </c>
      <c r="G207" s="81">
        <v>0</v>
      </c>
      <c r="H207" s="82">
        <f t="shared" si="550"/>
        <v>0</v>
      </c>
      <c r="I207" s="81">
        <v>1268.9000000000001</v>
      </c>
      <c r="J207" s="81">
        <v>1253.5</v>
      </c>
      <c r="K207" s="81">
        <v>1237.0999999999999</v>
      </c>
      <c r="L207" s="81">
        <v>1248.8</v>
      </c>
      <c r="M207" s="82">
        <f t="shared" si="551"/>
        <v>1248.8</v>
      </c>
      <c r="N207" s="81">
        <v>1267.5999999999999</v>
      </c>
      <c r="O207" s="81">
        <v>1296.4000000000001</v>
      </c>
      <c r="P207" s="81">
        <v>1308.4000000000001</v>
      </c>
      <c r="Q207" s="63">
        <f>P207*0.99</f>
        <v>1295.316</v>
      </c>
      <c r="R207" s="82">
        <f t="shared" si="552"/>
        <v>1295.316</v>
      </c>
      <c r="S207" s="63">
        <f>Q207*0.99</f>
        <v>1282.36284</v>
      </c>
      <c r="T207" s="63">
        <f>S207*0.99</f>
        <v>1269.5392116</v>
      </c>
      <c r="U207" s="63">
        <f>T207*0.99</f>
        <v>1256.8438194840001</v>
      </c>
      <c r="V207" s="63">
        <f>U207*0.99</f>
        <v>1244.2753812891601</v>
      </c>
      <c r="W207" s="82">
        <f t="shared" si="553"/>
        <v>1244.2753812891601</v>
      </c>
      <c r="X207" s="63">
        <f>V207*0.99</f>
        <v>1231.8326274762685</v>
      </c>
      <c r="Y207" s="63">
        <f>X207*0.99</f>
        <v>1219.5143012015058</v>
      </c>
      <c r="Z207" s="63">
        <f>Y207*0.99</f>
        <v>1207.3191581894907</v>
      </c>
      <c r="AA207" s="63">
        <f>Z207*0.99</f>
        <v>1195.2459666075958</v>
      </c>
      <c r="AB207" s="82">
        <f t="shared" si="554"/>
        <v>1195.2459666075958</v>
      </c>
      <c r="AC207" s="63">
        <f>AA207*0.99</f>
        <v>1183.2935069415198</v>
      </c>
      <c r="AD207" s="63">
        <f>AC207*0.99</f>
        <v>1171.4605718721045</v>
      </c>
      <c r="AE207" s="63">
        <f>AD207*0.99</f>
        <v>1159.7459661533835</v>
      </c>
      <c r="AF207" s="63">
        <f>AE207*0.99</f>
        <v>1148.1485064918497</v>
      </c>
      <c r="AG207" s="82">
        <f t="shared" si="555"/>
        <v>1148.1485064918497</v>
      </c>
      <c r="AH207" s="63">
        <f>AF207*0.99</f>
        <v>1136.6670214269311</v>
      </c>
      <c r="AI207" s="63">
        <f>AH207*0.99</f>
        <v>1125.3003512126618</v>
      </c>
      <c r="AJ207" s="63">
        <f>AI207*0.99</f>
        <v>1114.0473477005351</v>
      </c>
      <c r="AK207" s="63">
        <f>AJ207*0.99</f>
        <v>1102.9068742235297</v>
      </c>
      <c r="AL207" s="82">
        <f t="shared" si="556"/>
        <v>1102.9068742235297</v>
      </c>
      <c r="AM207" s="63">
        <f>AK207*0.99</f>
        <v>1091.8778054812944</v>
      </c>
      <c r="AN207" s="63">
        <f>AM207*0.99</f>
        <v>1080.9590274264815</v>
      </c>
      <c r="AO207" s="63">
        <f>AN207*0.99</f>
        <v>1070.1494371522167</v>
      </c>
      <c r="AP207" s="63">
        <f>AO207*0.99</f>
        <v>1059.4479427806946</v>
      </c>
      <c r="AQ207" s="82">
        <f t="shared" si="557"/>
        <v>1059.4479427806946</v>
      </c>
    </row>
    <row r="208" spans="1:43" outlineLevel="1" x14ac:dyDescent="0.25">
      <c r="A208" s="372"/>
      <c r="B208" s="547" t="s">
        <v>208</v>
      </c>
      <c r="C208" s="548"/>
      <c r="D208" s="81">
        <v>1554.2</v>
      </c>
      <c r="E208" s="81">
        <v>1311.4</v>
      </c>
      <c r="F208" s="81">
        <v>1300.2</v>
      </c>
      <c r="G208" s="81">
        <v>1269</v>
      </c>
      <c r="H208" s="82">
        <f t="shared" si="550"/>
        <v>1269</v>
      </c>
      <c r="I208" s="81">
        <v>1694.1</v>
      </c>
      <c r="J208" s="81">
        <v>1436.3</v>
      </c>
      <c r="K208" s="81">
        <v>1463.3</v>
      </c>
      <c r="L208" s="81">
        <v>1456.5</v>
      </c>
      <c r="M208" s="82">
        <f t="shared" si="551"/>
        <v>1456.5</v>
      </c>
      <c r="N208" s="81">
        <v>1871.2</v>
      </c>
      <c r="O208" s="81">
        <v>1622.1</v>
      </c>
      <c r="P208" s="81">
        <v>1628.3</v>
      </c>
      <c r="Q208" s="63">
        <f>P208*0.99</f>
        <v>1612.0170000000001</v>
      </c>
      <c r="R208" s="82">
        <f t="shared" si="552"/>
        <v>1612.0170000000001</v>
      </c>
      <c r="S208" s="63">
        <f>Q208*1.3</f>
        <v>2095.6221</v>
      </c>
      <c r="T208" s="63">
        <f>S208*0.85</f>
        <v>1781.278785</v>
      </c>
      <c r="U208" s="63">
        <f>T208*0.99</f>
        <v>1763.46599715</v>
      </c>
      <c r="V208" s="63">
        <f>U208*0.99</f>
        <v>1745.8313371785</v>
      </c>
      <c r="W208" s="82">
        <f t="shared" si="553"/>
        <v>1745.8313371785</v>
      </c>
      <c r="X208" s="63">
        <f>V208*1.3</f>
        <v>2269.5807383320503</v>
      </c>
      <c r="Y208" s="63">
        <f>X208*0.85</f>
        <v>1929.1436275822427</v>
      </c>
      <c r="Z208" s="63">
        <f>Y208*0.99</f>
        <v>1909.8521913064203</v>
      </c>
      <c r="AA208" s="63">
        <f>Z208*0.99</f>
        <v>1890.7536693933562</v>
      </c>
      <c r="AB208" s="82">
        <f t="shared" si="554"/>
        <v>1890.7536693933562</v>
      </c>
      <c r="AC208" s="63">
        <f>AA208*1.3</f>
        <v>2457.9797702113633</v>
      </c>
      <c r="AD208" s="63">
        <f>AC208*0.85</f>
        <v>2089.282804679659</v>
      </c>
      <c r="AE208" s="63">
        <f>AD208*0.99</f>
        <v>2068.3899766328623</v>
      </c>
      <c r="AF208" s="63">
        <f>AE208*0.99</f>
        <v>2047.7060768665335</v>
      </c>
      <c r="AG208" s="82">
        <f t="shared" si="555"/>
        <v>2047.7060768665335</v>
      </c>
      <c r="AH208" s="63">
        <f>AF208*1.3</f>
        <v>2662.0178999264936</v>
      </c>
      <c r="AI208" s="63">
        <f>AH208*0.85</f>
        <v>2262.7152149375192</v>
      </c>
      <c r="AJ208" s="63">
        <f>AI208*0.99</f>
        <v>2240.0880627881438</v>
      </c>
      <c r="AK208" s="63">
        <f>AJ208*0.99</f>
        <v>2217.6871821602622</v>
      </c>
      <c r="AL208" s="82">
        <f t="shared" si="556"/>
        <v>2217.6871821602622</v>
      </c>
      <c r="AM208" s="63">
        <f>AK208*1.3</f>
        <v>2882.9933368083412</v>
      </c>
      <c r="AN208" s="63">
        <f>AM208*0.85</f>
        <v>2450.5443362870901</v>
      </c>
      <c r="AO208" s="63">
        <f>AN208*0.99</f>
        <v>2426.038892924219</v>
      </c>
      <c r="AP208" s="63">
        <f>AO208*0.99</f>
        <v>2401.7785039949767</v>
      </c>
      <c r="AQ208" s="82">
        <f t="shared" si="557"/>
        <v>2401.7785039949767</v>
      </c>
    </row>
    <row r="209" spans="1:43" outlineLevel="1" x14ac:dyDescent="0.25">
      <c r="A209" s="372"/>
      <c r="B209" s="547" t="s">
        <v>278</v>
      </c>
      <c r="C209" s="370"/>
      <c r="D209" s="81">
        <v>0</v>
      </c>
      <c r="E209" s="81">
        <f>75+0</f>
        <v>75</v>
      </c>
      <c r="F209" s="81">
        <v>0</v>
      </c>
      <c r="G209" s="81">
        <v>0</v>
      </c>
      <c r="H209" s="82">
        <f t="shared" si="550"/>
        <v>0</v>
      </c>
      <c r="I209" s="81">
        <f>497.9+498.7</f>
        <v>996.59999999999991</v>
      </c>
      <c r="J209" s="81">
        <f>1107.1+1249.4</f>
        <v>2356.5</v>
      </c>
      <c r="K209" s="81">
        <f>936.5+1249.6</f>
        <v>2186.1</v>
      </c>
      <c r="L209" s="81">
        <f>438.8+1249.9</f>
        <v>1688.7</v>
      </c>
      <c r="M209" s="82">
        <f t="shared" si="551"/>
        <v>1688.7</v>
      </c>
      <c r="N209" s="81">
        <f>492.6+750</f>
        <v>1242.5999999999999</v>
      </c>
      <c r="O209" s="81">
        <v>18.3</v>
      </c>
      <c r="P209" s="81">
        <v>998.9</v>
      </c>
      <c r="Q209" s="63">
        <f>P209-250</f>
        <v>748.9</v>
      </c>
      <c r="R209" s="82">
        <f t="shared" si="552"/>
        <v>748.9</v>
      </c>
      <c r="S209" s="63">
        <f>Q209-250+1000-250</f>
        <v>1248.9000000000001</v>
      </c>
      <c r="T209" s="63">
        <f>S209-250-250</f>
        <v>748.90000000000009</v>
      </c>
      <c r="U209" s="63">
        <f>T209-249-250</f>
        <v>249.90000000000009</v>
      </c>
      <c r="V209" s="63">
        <f>U209-250</f>
        <v>-9.9999999999909051E-2</v>
      </c>
      <c r="W209" s="82">
        <f t="shared" si="553"/>
        <v>-9.9999999999909051E-2</v>
      </c>
      <c r="X209" s="63">
        <f>V209+1000-250</f>
        <v>749.90000000000009</v>
      </c>
      <c r="Y209" s="63">
        <f>X209-250</f>
        <v>499.90000000000009</v>
      </c>
      <c r="Z209" s="63">
        <f>Y209-250</f>
        <v>249.90000000000009</v>
      </c>
      <c r="AA209" s="63">
        <f>Z209-250</f>
        <v>-9.9999999999909051E-2</v>
      </c>
      <c r="AB209" s="82">
        <f t="shared" si="554"/>
        <v>-9.9999999999909051E-2</v>
      </c>
      <c r="AC209" s="63">
        <f>1543-385.75</f>
        <v>1157.25</v>
      </c>
      <c r="AD209" s="63">
        <f>AC209-385.75</f>
        <v>771.5</v>
      </c>
      <c r="AE209" s="63">
        <f>AD209-385.75</f>
        <v>385.75</v>
      </c>
      <c r="AF209" s="63">
        <f>AE209-385.75</f>
        <v>0</v>
      </c>
      <c r="AG209" s="82">
        <f t="shared" si="555"/>
        <v>0</v>
      </c>
      <c r="AH209" s="63">
        <f>AF209+1250-312.5</f>
        <v>937.5</v>
      </c>
      <c r="AI209" s="63">
        <f>AH209-312.5</f>
        <v>625</v>
      </c>
      <c r="AJ209" s="63">
        <f>AI209-312.5</f>
        <v>312.5</v>
      </c>
      <c r="AK209" s="63">
        <f>AJ209-312.5</f>
        <v>0</v>
      </c>
      <c r="AL209" s="82">
        <f t="shared" si="556"/>
        <v>0</v>
      </c>
      <c r="AM209" s="63">
        <f>AK209+1250-312.5</f>
        <v>937.5</v>
      </c>
      <c r="AN209" s="63">
        <f>AM209-312.5</f>
        <v>625</v>
      </c>
      <c r="AO209" s="63">
        <f>AN209-312.5</f>
        <v>312.5</v>
      </c>
      <c r="AP209" s="63">
        <f>AO209-312.5</f>
        <v>0</v>
      </c>
      <c r="AQ209" s="82">
        <f t="shared" si="557"/>
        <v>0</v>
      </c>
    </row>
    <row r="210" spans="1:43" ht="17.25" outlineLevel="1" x14ac:dyDescent="0.4">
      <c r="A210" s="372"/>
      <c r="B210" s="547" t="s">
        <v>271</v>
      </c>
      <c r="C210" s="370"/>
      <c r="D210" s="248">
        <v>208.8</v>
      </c>
      <c r="E210" s="248">
        <v>221</v>
      </c>
      <c r="F210" s="248">
        <v>211.5</v>
      </c>
      <c r="G210" s="248">
        <v>0</v>
      </c>
      <c r="H210" s="241">
        <f t="shared" si="550"/>
        <v>0</v>
      </c>
      <c r="I210" s="248">
        <v>0</v>
      </c>
      <c r="J210" s="248">
        <v>0</v>
      </c>
      <c r="K210" s="248">
        <v>0</v>
      </c>
      <c r="L210" s="248">
        <v>0</v>
      </c>
      <c r="M210" s="241">
        <f t="shared" si="551"/>
        <v>0</v>
      </c>
      <c r="N210" s="248">
        <v>0</v>
      </c>
      <c r="O210" s="248">
        <v>0</v>
      </c>
      <c r="P210" s="248">
        <v>0</v>
      </c>
      <c r="Q210" s="61">
        <v>0</v>
      </c>
      <c r="R210" s="241">
        <f t="shared" si="552"/>
        <v>0</v>
      </c>
      <c r="S210" s="61">
        <v>0</v>
      </c>
      <c r="T210" s="61">
        <v>0</v>
      </c>
      <c r="U210" s="61">
        <v>0</v>
      </c>
      <c r="V210" s="61">
        <v>0</v>
      </c>
      <c r="W210" s="241">
        <f t="shared" si="553"/>
        <v>0</v>
      </c>
      <c r="X210" s="61">
        <v>0</v>
      </c>
      <c r="Y210" s="61">
        <v>0</v>
      </c>
      <c r="Z210" s="61">
        <v>0</v>
      </c>
      <c r="AA210" s="61">
        <v>0</v>
      </c>
      <c r="AB210" s="241">
        <f t="shared" si="554"/>
        <v>0</v>
      </c>
      <c r="AC210" s="61">
        <v>0</v>
      </c>
      <c r="AD210" s="61">
        <v>0</v>
      </c>
      <c r="AE210" s="61">
        <v>0</v>
      </c>
      <c r="AF210" s="61">
        <v>0</v>
      </c>
      <c r="AG210" s="241">
        <f t="shared" si="555"/>
        <v>0</v>
      </c>
      <c r="AH210" s="61">
        <v>0</v>
      </c>
      <c r="AI210" s="61">
        <v>0</v>
      </c>
      <c r="AJ210" s="61">
        <v>0</v>
      </c>
      <c r="AK210" s="61">
        <v>0</v>
      </c>
      <c r="AL210" s="241">
        <f t="shared" si="556"/>
        <v>0</v>
      </c>
      <c r="AM210" s="61">
        <v>0</v>
      </c>
      <c r="AN210" s="61">
        <v>0</v>
      </c>
      <c r="AO210" s="61">
        <v>0</v>
      </c>
      <c r="AP210" s="61">
        <v>0</v>
      </c>
      <c r="AQ210" s="241">
        <f t="shared" si="557"/>
        <v>0</v>
      </c>
    </row>
    <row r="211" spans="1:43" outlineLevel="1" x14ac:dyDescent="0.25">
      <c r="A211" s="372"/>
      <c r="B211" s="549" t="s">
        <v>8</v>
      </c>
      <c r="C211" s="370"/>
      <c r="D211" s="80">
        <f t="shared" ref="D211:K211" si="568">SUM(D203:D210)</f>
        <v>5427.5</v>
      </c>
      <c r="E211" s="80">
        <f t="shared" si="568"/>
        <v>5273.4</v>
      </c>
      <c r="F211" s="80">
        <f t="shared" si="568"/>
        <v>5895.8</v>
      </c>
      <c r="G211" s="80">
        <f t="shared" si="568"/>
        <v>6168.7</v>
      </c>
      <c r="H211" s="242">
        <f t="shared" si="568"/>
        <v>6168.7</v>
      </c>
      <c r="I211" s="80">
        <f t="shared" si="568"/>
        <v>8675.5</v>
      </c>
      <c r="J211" s="80">
        <f t="shared" si="568"/>
        <v>8265.7999999999993</v>
      </c>
      <c r="K211" s="80">
        <f t="shared" si="568"/>
        <v>8002</v>
      </c>
      <c r="L211" s="80">
        <f t="shared" ref="L211:AQ211" si="569">SUM(L203:L209)</f>
        <v>7346.7999999999993</v>
      </c>
      <c r="M211" s="242">
        <f t="shared" si="569"/>
        <v>7346.7999999999993</v>
      </c>
      <c r="N211" s="80">
        <f t="shared" si="569"/>
        <v>7883.9</v>
      </c>
      <c r="O211" s="80">
        <f t="shared" si="569"/>
        <v>6505.0999999999995</v>
      </c>
      <c r="P211" s="80">
        <f t="shared" si="569"/>
        <v>7799.8</v>
      </c>
      <c r="Q211" s="80">
        <f t="shared" si="569"/>
        <v>7959.6107374566727</v>
      </c>
      <c r="R211" s="242">
        <f t="shared" si="569"/>
        <v>7959.6107374566727</v>
      </c>
      <c r="S211" s="80">
        <f t="shared" si="569"/>
        <v>8911.509555312834</v>
      </c>
      <c r="T211" s="80">
        <f t="shared" si="569"/>
        <v>8049.5146671885122</v>
      </c>
      <c r="U211" s="80">
        <f t="shared" si="569"/>
        <v>7839.5465295383801</v>
      </c>
      <c r="V211" s="80">
        <f t="shared" si="569"/>
        <v>7774.826126194097</v>
      </c>
      <c r="W211" s="242">
        <f t="shared" si="569"/>
        <v>7774.826126194097</v>
      </c>
      <c r="X211" s="80">
        <f t="shared" si="569"/>
        <v>8896.0067365040377</v>
      </c>
      <c r="Y211" s="80">
        <f t="shared" si="569"/>
        <v>8263.7664075978955</v>
      </c>
      <c r="Z211" s="80">
        <f t="shared" si="569"/>
        <v>8311.7230741646054</v>
      </c>
      <c r="AA211" s="80">
        <f t="shared" si="569"/>
        <v>8033.2896067467136</v>
      </c>
      <c r="AB211" s="242">
        <f t="shared" si="569"/>
        <v>8033.2896067467136</v>
      </c>
      <c r="AC211" s="80">
        <f t="shared" si="569"/>
        <v>9706.7218823040821</v>
      </c>
      <c r="AD211" s="80">
        <f t="shared" si="569"/>
        <v>8953.7258266381814</v>
      </c>
      <c r="AE211" s="80">
        <f t="shared" si="569"/>
        <v>8977.2687732761515</v>
      </c>
      <c r="AF211" s="80">
        <f t="shared" si="569"/>
        <v>8465.7324002322712</v>
      </c>
      <c r="AG211" s="242">
        <f t="shared" si="569"/>
        <v>8465.7324002322712</v>
      </c>
      <c r="AH211" s="80">
        <f t="shared" si="569"/>
        <v>9959.8139317639634</v>
      </c>
      <c r="AI211" s="80">
        <f t="shared" si="569"/>
        <v>9258.2217280261593</v>
      </c>
      <c r="AJ211" s="80">
        <f t="shared" si="569"/>
        <v>9364.726315669046</v>
      </c>
      <c r="AK211" s="80">
        <f t="shared" si="569"/>
        <v>8940.1835295401379</v>
      </c>
      <c r="AL211" s="242">
        <f t="shared" si="569"/>
        <v>8940.1835295401379</v>
      </c>
      <c r="AM211" s="80">
        <f t="shared" si="569"/>
        <v>10478.401505037215</v>
      </c>
      <c r="AN211" s="80">
        <f t="shared" si="569"/>
        <v>9743.0128005571733</v>
      </c>
      <c r="AO211" s="80">
        <f t="shared" si="569"/>
        <v>9879.1909931396985</v>
      </c>
      <c r="AP211" s="80">
        <f t="shared" si="569"/>
        <v>9441.8176088756991</v>
      </c>
      <c r="AQ211" s="242">
        <f t="shared" si="569"/>
        <v>9441.8176088756991</v>
      </c>
    </row>
    <row r="212" spans="1:43" outlineLevel="1" x14ac:dyDescent="0.25">
      <c r="A212" s="372"/>
      <c r="B212" s="547" t="s">
        <v>209</v>
      </c>
      <c r="C212" s="370"/>
      <c r="D212" s="81">
        <v>9130.7000000000007</v>
      </c>
      <c r="E212" s="81">
        <v>9141.5</v>
      </c>
      <c r="F212" s="81">
        <v>11159.1</v>
      </c>
      <c r="G212" s="81">
        <v>11167</v>
      </c>
      <c r="H212" s="82">
        <f t="shared" si="550"/>
        <v>11167</v>
      </c>
      <c r="I212" s="81">
        <v>10653.2</v>
      </c>
      <c r="J212" s="81">
        <v>11658.7</v>
      </c>
      <c r="K212" s="81">
        <v>14645.6</v>
      </c>
      <c r="L212" s="81">
        <v>14659.6</v>
      </c>
      <c r="M212" s="82">
        <f t="shared" si="551"/>
        <v>14659.6</v>
      </c>
      <c r="N212" s="81">
        <v>14673.5</v>
      </c>
      <c r="O212" s="81">
        <v>14630.3</v>
      </c>
      <c r="P212" s="81">
        <v>13619.2</v>
      </c>
      <c r="Q212" s="63">
        <f>P212</f>
        <v>13619.2</v>
      </c>
      <c r="R212" s="82">
        <f t="shared" si="552"/>
        <v>13619.2</v>
      </c>
      <c r="S212" s="63">
        <f>Q212-1000</f>
        <v>12619.2</v>
      </c>
      <c r="T212" s="63">
        <f>S212</f>
        <v>12619.2</v>
      </c>
      <c r="U212" s="63">
        <f t="shared" ref="U212:V212" si="570">T212</f>
        <v>12619.2</v>
      </c>
      <c r="V212" s="63">
        <f t="shared" si="570"/>
        <v>12619.2</v>
      </c>
      <c r="W212" s="82">
        <f t="shared" si="553"/>
        <v>12619.2</v>
      </c>
      <c r="X212" s="63">
        <f>V212-1000</f>
        <v>11619.2</v>
      </c>
      <c r="Y212" s="63">
        <f>X212</f>
        <v>11619.2</v>
      </c>
      <c r="Z212" s="63">
        <f t="shared" ref="Z212" si="571">Y212</f>
        <v>11619.2</v>
      </c>
      <c r="AA212" s="63">
        <f>Z212</f>
        <v>11619.2</v>
      </c>
      <c r="AB212" s="82">
        <f t="shared" si="554"/>
        <v>11619.2</v>
      </c>
      <c r="AC212" s="63">
        <f>AA212-1516.7</f>
        <v>10102.5</v>
      </c>
      <c r="AD212" s="63">
        <f>AC212</f>
        <v>10102.5</v>
      </c>
      <c r="AE212" s="63">
        <f t="shared" ref="AE212" si="572">AD212</f>
        <v>10102.5</v>
      </c>
      <c r="AF212" s="63">
        <f>AE212</f>
        <v>10102.5</v>
      </c>
      <c r="AG212" s="82">
        <f t="shared" si="555"/>
        <v>10102.5</v>
      </c>
      <c r="AH212" s="63">
        <f>AF212-1250</f>
        <v>8852.5</v>
      </c>
      <c r="AI212" s="63">
        <f>AH212</f>
        <v>8852.5</v>
      </c>
      <c r="AJ212" s="63">
        <f t="shared" ref="AJ212" si="573">AI212</f>
        <v>8852.5</v>
      </c>
      <c r="AK212" s="63">
        <f>AJ212</f>
        <v>8852.5</v>
      </c>
      <c r="AL212" s="82">
        <f t="shared" si="556"/>
        <v>8852.5</v>
      </c>
      <c r="AM212" s="63">
        <f>AK212-1250</f>
        <v>7602.5</v>
      </c>
      <c r="AN212" s="63">
        <f>AM212</f>
        <v>7602.5</v>
      </c>
      <c r="AO212" s="63">
        <f t="shared" ref="AO212" si="574">AN212</f>
        <v>7602.5</v>
      </c>
      <c r="AP212" s="63">
        <f>AO212</f>
        <v>7602.5</v>
      </c>
      <c r="AQ212" s="82">
        <f t="shared" ref="AQ212:AQ213" si="575">AP212</f>
        <v>7602.5</v>
      </c>
    </row>
    <row r="213" spans="1:43" outlineLevel="1" x14ac:dyDescent="0.25">
      <c r="A213" s="372"/>
      <c r="B213" s="547" t="s">
        <v>279</v>
      </c>
      <c r="C213" s="229"/>
      <c r="D213" s="81">
        <v>0</v>
      </c>
      <c r="E213" s="81">
        <v>0</v>
      </c>
      <c r="F213" s="81">
        <v>0</v>
      </c>
      <c r="G213" s="81">
        <v>0</v>
      </c>
      <c r="H213" s="82">
        <f t="shared" si="550"/>
        <v>0</v>
      </c>
      <c r="I213" s="81">
        <v>7711.7</v>
      </c>
      <c r="J213" s="81">
        <v>7650.4</v>
      </c>
      <c r="K213" s="81">
        <v>7653.6</v>
      </c>
      <c r="L213" s="81">
        <v>7661.7</v>
      </c>
      <c r="M213" s="82">
        <f>L213</f>
        <v>7661.7</v>
      </c>
      <c r="N213" s="81">
        <v>7754.5</v>
      </c>
      <c r="O213" s="81">
        <v>7577.7</v>
      </c>
      <c r="P213" s="81">
        <v>7597.8</v>
      </c>
      <c r="Q213" s="63">
        <f>P213*0.99</f>
        <v>7521.8220000000001</v>
      </c>
      <c r="R213" s="82">
        <f>Q213</f>
        <v>7521.8220000000001</v>
      </c>
      <c r="S213" s="63">
        <f>Q213*0.99</f>
        <v>7446.6037800000004</v>
      </c>
      <c r="T213" s="63">
        <f>S213*0.99</f>
        <v>7372.1377422000005</v>
      </c>
      <c r="U213" s="63">
        <f>T213*0.99</f>
        <v>7298.4163647780006</v>
      </c>
      <c r="V213" s="63">
        <f>U213*0.99</f>
        <v>7225.4322011302202</v>
      </c>
      <c r="W213" s="82">
        <f>V213</f>
        <v>7225.4322011302202</v>
      </c>
      <c r="X213" s="63">
        <f>V213*0.99</f>
        <v>7153.1778791189181</v>
      </c>
      <c r="Y213" s="63">
        <f>X213*0.99</f>
        <v>7081.6461003277291</v>
      </c>
      <c r="Z213" s="63">
        <f>Y213*0.99</f>
        <v>7010.8296393244518</v>
      </c>
      <c r="AA213" s="63">
        <f>Z213*0.99</f>
        <v>6940.7213429312069</v>
      </c>
      <c r="AB213" s="82">
        <f>AA213</f>
        <v>6940.7213429312069</v>
      </c>
      <c r="AC213" s="63">
        <f>AA213*0.99</f>
        <v>6871.314129501895</v>
      </c>
      <c r="AD213" s="63">
        <f>AC213*0.99</f>
        <v>6802.6009882068756</v>
      </c>
      <c r="AE213" s="63">
        <f>AD213*0.99</f>
        <v>6734.5749783248066</v>
      </c>
      <c r="AF213" s="63">
        <f>AE213*0.99</f>
        <v>6667.2292285415588</v>
      </c>
      <c r="AG213" s="82">
        <f>AF213</f>
        <v>6667.2292285415588</v>
      </c>
      <c r="AH213" s="63">
        <f>AF213*0.99</f>
        <v>6600.5569362561428</v>
      </c>
      <c r="AI213" s="63">
        <f>AH213*0.99</f>
        <v>6534.551366893581</v>
      </c>
      <c r="AJ213" s="63">
        <f>AI213*0.99</f>
        <v>6469.2058532246447</v>
      </c>
      <c r="AK213" s="63">
        <f>AJ213*0.99</f>
        <v>6404.5137946923978</v>
      </c>
      <c r="AL213" s="82">
        <f t="shared" si="556"/>
        <v>6404.5137946923978</v>
      </c>
      <c r="AM213" s="63">
        <f>AK213*0.99</f>
        <v>6340.4686567454737</v>
      </c>
      <c r="AN213" s="63">
        <f>AM213*0.99</f>
        <v>6277.0639701780192</v>
      </c>
      <c r="AO213" s="63">
        <f>AN213*0.99</f>
        <v>6214.2933304762391</v>
      </c>
      <c r="AP213" s="63">
        <f>AO213*0.99</f>
        <v>6152.1503971714765</v>
      </c>
      <c r="AQ213" s="82">
        <f t="shared" si="575"/>
        <v>6152.1503971714765</v>
      </c>
    </row>
    <row r="214" spans="1:43" outlineLevel="1" x14ac:dyDescent="0.25">
      <c r="A214" s="372"/>
      <c r="B214" s="547" t="s">
        <v>218</v>
      </c>
      <c r="C214" s="229"/>
      <c r="D214" s="81">
        <v>6823.7</v>
      </c>
      <c r="E214" s="81">
        <v>6761.9</v>
      </c>
      <c r="F214" s="81">
        <v>6717.9</v>
      </c>
      <c r="G214" s="81">
        <v>6744.4</v>
      </c>
      <c r="H214" s="82">
        <f>G214</f>
        <v>6744.4</v>
      </c>
      <c r="I214" s="81">
        <v>6748.8</v>
      </c>
      <c r="J214" s="81">
        <v>6685.5</v>
      </c>
      <c r="K214" s="81">
        <v>6642.6</v>
      </c>
      <c r="L214" s="81">
        <v>6598.5</v>
      </c>
      <c r="M214" s="82">
        <f>L214</f>
        <v>6598.5</v>
      </c>
      <c r="N214" s="81">
        <v>6597.7</v>
      </c>
      <c r="O214" s="81">
        <v>6532.1</v>
      </c>
      <c r="P214" s="81">
        <v>6491.4</v>
      </c>
      <c r="Q214" s="63">
        <f t="shared" ref="Q214" si="576">P214*0.996</f>
        <v>6465.4343999999992</v>
      </c>
      <c r="R214" s="82">
        <f>Q214</f>
        <v>6465.4343999999992</v>
      </c>
      <c r="S214" s="63">
        <f>Q214*0.996</f>
        <v>6439.572662399999</v>
      </c>
      <c r="T214" s="63">
        <f t="shared" ref="T214:V214" si="577">S214*0.996</f>
        <v>6413.814371750399</v>
      </c>
      <c r="U214" s="63">
        <f t="shared" si="577"/>
        <v>6388.159114263397</v>
      </c>
      <c r="V214" s="63">
        <f t="shared" si="577"/>
        <v>6362.6064778063437</v>
      </c>
      <c r="W214" s="82">
        <f>V214</f>
        <v>6362.6064778063437</v>
      </c>
      <c r="X214" s="63">
        <f>V214*0.996</f>
        <v>6337.1560518951183</v>
      </c>
      <c r="Y214" s="63">
        <f t="shared" ref="Y214:AA214" si="578">X214*0.996</f>
        <v>6311.8074276875377</v>
      </c>
      <c r="Z214" s="63">
        <f t="shared" si="578"/>
        <v>6286.5601979767871</v>
      </c>
      <c r="AA214" s="63">
        <f t="shared" si="578"/>
        <v>6261.41395718488</v>
      </c>
      <c r="AB214" s="82">
        <f>AA214</f>
        <v>6261.41395718488</v>
      </c>
      <c r="AC214" s="63">
        <f>AA214*0.996</f>
        <v>6236.3683013561404</v>
      </c>
      <c r="AD214" s="63">
        <f t="shared" ref="AD214:AF214" si="579">AC214*0.996</f>
        <v>6211.4228281507158</v>
      </c>
      <c r="AE214" s="63">
        <f t="shared" si="579"/>
        <v>6186.5771368381129</v>
      </c>
      <c r="AF214" s="63">
        <f t="shared" si="579"/>
        <v>6161.8308282907601</v>
      </c>
      <c r="AG214" s="82">
        <f>AF214</f>
        <v>6161.8308282907601</v>
      </c>
      <c r="AH214" s="63">
        <f>AF214*0.996</f>
        <v>6137.1835049775973</v>
      </c>
      <c r="AI214" s="63">
        <f t="shared" ref="AI214:AK214" si="580">AH214*0.996</f>
        <v>6112.6347709576867</v>
      </c>
      <c r="AJ214" s="63">
        <f t="shared" si="580"/>
        <v>6088.1842318738563</v>
      </c>
      <c r="AK214" s="63">
        <f t="shared" si="580"/>
        <v>6063.8314949463611</v>
      </c>
      <c r="AL214" s="82">
        <f>AK214</f>
        <v>6063.8314949463611</v>
      </c>
      <c r="AM214" s="63">
        <f>AK214*0.996</f>
        <v>6039.576168966576</v>
      </c>
      <c r="AN214" s="63">
        <f t="shared" ref="AN214:AP214" si="581">AM214*0.996</f>
        <v>6015.41786429071</v>
      </c>
      <c r="AO214" s="63">
        <f t="shared" si="581"/>
        <v>5991.3561928335475</v>
      </c>
      <c r="AP214" s="63">
        <f t="shared" si="581"/>
        <v>5967.3907680622133</v>
      </c>
      <c r="AQ214" s="82">
        <f>AP214</f>
        <v>5967.3907680622133</v>
      </c>
    </row>
    <row r="215" spans="1:43" ht="15.75" customHeight="1" outlineLevel="1" x14ac:dyDescent="0.4">
      <c r="A215" s="372"/>
      <c r="B215" s="619" t="s">
        <v>210</v>
      </c>
      <c r="C215" s="620"/>
      <c r="D215" s="248">
        <v>1478.2</v>
      </c>
      <c r="E215" s="248">
        <v>1500.3</v>
      </c>
      <c r="F215" s="248">
        <v>1440.6</v>
      </c>
      <c r="G215" s="248">
        <v>1370.5</v>
      </c>
      <c r="H215" s="241">
        <f t="shared" si="550"/>
        <v>1370.5</v>
      </c>
      <c r="I215" s="248">
        <v>701.2</v>
      </c>
      <c r="J215" s="248">
        <v>751.4</v>
      </c>
      <c r="K215" s="248">
        <v>821.1</v>
      </c>
      <c r="L215" s="248">
        <v>907.3</v>
      </c>
      <c r="M215" s="241">
        <f t="shared" si="551"/>
        <v>907.3</v>
      </c>
      <c r="N215" s="248">
        <v>962.8</v>
      </c>
      <c r="O215" s="248">
        <v>774.8</v>
      </c>
      <c r="P215" s="248">
        <v>762.9</v>
      </c>
      <c r="Q215" s="61">
        <f>P215*1.01</f>
        <v>770.529</v>
      </c>
      <c r="R215" s="241">
        <f t="shared" si="552"/>
        <v>770.529</v>
      </c>
      <c r="S215" s="61">
        <f>Q215*1.01</f>
        <v>778.23428999999999</v>
      </c>
      <c r="T215" s="61">
        <f>S215*1.01</f>
        <v>786.01663289999999</v>
      </c>
      <c r="U215" s="61">
        <f>T215*1.01</f>
        <v>793.87679922899997</v>
      </c>
      <c r="V215" s="61">
        <f>U215*1.01</f>
        <v>801.81556722128994</v>
      </c>
      <c r="W215" s="241">
        <f t="shared" si="553"/>
        <v>801.81556722128994</v>
      </c>
      <c r="X215" s="61">
        <f>V215*1.01</f>
        <v>809.8337228935028</v>
      </c>
      <c r="Y215" s="61">
        <f>X215*1.01</f>
        <v>817.93206012243786</v>
      </c>
      <c r="Z215" s="61">
        <f>Y215*1.01</f>
        <v>826.11138072366225</v>
      </c>
      <c r="AA215" s="61">
        <f>Z215*1.01</f>
        <v>834.37249453089885</v>
      </c>
      <c r="AB215" s="241">
        <f t="shared" si="554"/>
        <v>834.37249453089885</v>
      </c>
      <c r="AC215" s="61">
        <f>AA215*1.01</f>
        <v>842.71621947620781</v>
      </c>
      <c r="AD215" s="61">
        <f>AC215*1.01</f>
        <v>851.14338167096992</v>
      </c>
      <c r="AE215" s="61">
        <f>AD215*1.01</f>
        <v>859.65481548767957</v>
      </c>
      <c r="AF215" s="61">
        <f>AE215*1.01</f>
        <v>868.25136364255638</v>
      </c>
      <c r="AG215" s="241">
        <f t="shared" si="555"/>
        <v>868.25136364255638</v>
      </c>
      <c r="AH215" s="61">
        <f>AF215*1.01</f>
        <v>876.93387727898198</v>
      </c>
      <c r="AI215" s="61">
        <f>AH215*1.01</f>
        <v>885.70321605177185</v>
      </c>
      <c r="AJ215" s="61">
        <f>AI215*1.01</f>
        <v>894.56024821228959</v>
      </c>
      <c r="AK215" s="61">
        <f>AJ215*1.01</f>
        <v>903.50585069441252</v>
      </c>
      <c r="AL215" s="241">
        <f t="shared" si="556"/>
        <v>903.50585069441252</v>
      </c>
      <c r="AM215" s="61">
        <f>AK215*1.01</f>
        <v>912.54090920135661</v>
      </c>
      <c r="AN215" s="61">
        <f>AM215*1.01</f>
        <v>921.66631829337018</v>
      </c>
      <c r="AO215" s="61">
        <f>AN215*1.01</f>
        <v>930.88298147630394</v>
      </c>
      <c r="AP215" s="61">
        <f>AO215*1.01</f>
        <v>940.19181129106698</v>
      </c>
      <c r="AQ215" s="241">
        <f t="shared" ref="AQ215" si="582">AP215</f>
        <v>940.19181129106698</v>
      </c>
    </row>
    <row r="216" spans="1:43" outlineLevel="1" x14ac:dyDescent="0.25">
      <c r="A216" s="372"/>
      <c r="B216" s="621" t="s">
        <v>9</v>
      </c>
      <c r="C216" s="622"/>
      <c r="D216" s="80">
        <f t="shared" ref="D216" si="583">SUM(D211:D215)</f>
        <v>22860.100000000002</v>
      </c>
      <c r="E216" s="80">
        <f>SUM(E211:E215)</f>
        <v>22677.1</v>
      </c>
      <c r="F216" s="80">
        <f>SUM(F211:F215)</f>
        <v>25213.4</v>
      </c>
      <c r="G216" s="80">
        <f>SUM(G211:G215)</f>
        <v>25450.6</v>
      </c>
      <c r="H216" s="242">
        <f t="shared" ref="H216" si="584">SUM(H211:H215)</f>
        <v>25450.6</v>
      </c>
      <c r="I216" s="80">
        <f>SUM(I211:I215)</f>
        <v>34490.400000000001</v>
      </c>
      <c r="J216" s="80">
        <f>SUM(J211:J215)</f>
        <v>35011.800000000003</v>
      </c>
      <c r="K216" s="80">
        <f>SUM(K211:K215)</f>
        <v>37764.899999999994</v>
      </c>
      <c r="L216" s="80">
        <f>SUM(L211:L215)</f>
        <v>37173.900000000009</v>
      </c>
      <c r="M216" s="242">
        <f t="shared" ref="M216" si="585">SUM(M211:M215)</f>
        <v>37173.900000000009</v>
      </c>
      <c r="N216" s="80">
        <f>SUM(N211:N215)</f>
        <v>37872.400000000001</v>
      </c>
      <c r="O216" s="80">
        <f>SUM(O211:O215)</f>
        <v>36020</v>
      </c>
      <c r="P216" s="80">
        <f>SUM(P211:P215)</f>
        <v>36271.1</v>
      </c>
      <c r="Q216" s="80">
        <f>SUM(Q211:Q215)</f>
        <v>36336.596137456676</v>
      </c>
      <c r="R216" s="242">
        <f t="shared" ref="R216" si="586">SUM(R211:R215)</f>
        <v>36336.596137456676</v>
      </c>
      <c r="S216" s="80">
        <f>SUM(S211:S215)</f>
        <v>36195.120287712838</v>
      </c>
      <c r="T216" s="80">
        <f>SUM(T211:T215)</f>
        <v>35240.683414038911</v>
      </c>
      <c r="U216" s="80">
        <f>SUM(U211:U215)</f>
        <v>34939.198807808782</v>
      </c>
      <c r="V216" s="80">
        <f>SUM(V211:V215)</f>
        <v>34783.880372351952</v>
      </c>
      <c r="W216" s="242">
        <f t="shared" ref="W216" si="587">SUM(W211:W215)</f>
        <v>34783.880372351952</v>
      </c>
      <c r="X216" s="80">
        <f>SUM(X211:X215)</f>
        <v>34815.374390411576</v>
      </c>
      <c r="Y216" s="80">
        <f>SUM(Y211:Y215)</f>
        <v>34094.351995735597</v>
      </c>
      <c r="Z216" s="80">
        <f>SUM(Z211:Z215)</f>
        <v>34054.424292189506</v>
      </c>
      <c r="AA216" s="80">
        <f>SUM(AA211:AA215)</f>
        <v>33688.997401393703</v>
      </c>
      <c r="AB216" s="242">
        <f t="shared" ref="AB216" si="588">SUM(AB211:AB215)</f>
        <v>33688.997401393703</v>
      </c>
      <c r="AC216" s="80">
        <f>SUM(AC211:AC215)</f>
        <v>33759.620532638321</v>
      </c>
      <c r="AD216" s="80">
        <f>SUM(AD211:AD215)</f>
        <v>32921.393024666744</v>
      </c>
      <c r="AE216" s="80">
        <f>SUM(AE211:AE215)</f>
        <v>32860.575703926748</v>
      </c>
      <c r="AF216" s="80">
        <f>SUM(AF211:AF215)</f>
        <v>32265.543820707149</v>
      </c>
      <c r="AG216" s="242">
        <f t="shared" ref="AG216" si="589">SUM(AG211:AG215)</f>
        <v>32265.543820707149</v>
      </c>
      <c r="AH216" s="80">
        <f>SUM(AH211:AH215)</f>
        <v>32426.988250276689</v>
      </c>
      <c r="AI216" s="80">
        <f>SUM(AI211:AI215)</f>
        <v>31643.611081929201</v>
      </c>
      <c r="AJ216" s="80">
        <f>SUM(AJ211:AJ215)</f>
        <v>31669.176648979836</v>
      </c>
      <c r="AK216" s="80">
        <f>SUM(AK211:AK215)</f>
        <v>31164.534669873308</v>
      </c>
      <c r="AL216" s="242">
        <f t="shared" ref="AL216" si="590">SUM(AL211:AL215)</f>
        <v>31164.534669873308</v>
      </c>
      <c r="AM216" s="80">
        <f>SUM(AM211:AM215)</f>
        <v>31373.48723995062</v>
      </c>
      <c r="AN216" s="80">
        <f>SUM(AN211:AN215)</f>
        <v>30559.660953319275</v>
      </c>
      <c r="AO216" s="80">
        <f>SUM(AO211:AO215)</f>
        <v>30618.223497925788</v>
      </c>
      <c r="AP216" s="80">
        <f>SUM(AP211:AP215)</f>
        <v>30104.050585400459</v>
      </c>
      <c r="AQ216" s="242">
        <f t="shared" ref="AQ216" si="591">SUM(AQ211:AQ215)</f>
        <v>30104.050585400459</v>
      </c>
    </row>
    <row r="217" spans="1:43" ht="18" x14ac:dyDescent="0.4">
      <c r="A217" s="254"/>
      <c r="B217" s="565" t="s">
        <v>78</v>
      </c>
      <c r="C217" s="566"/>
      <c r="D217" s="32" t="s">
        <v>119</v>
      </c>
      <c r="E217" s="32" t="s">
        <v>243</v>
      </c>
      <c r="F217" s="32" t="s">
        <v>247</v>
      </c>
      <c r="G217" s="32" t="s">
        <v>257</v>
      </c>
      <c r="H217" s="86" t="s">
        <v>258</v>
      </c>
      <c r="I217" s="32" t="s">
        <v>259</v>
      </c>
      <c r="J217" s="32" t="s">
        <v>260</v>
      </c>
      <c r="K217" s="32" t="s">
        <v>261</v>
      </c>
      <c r="L217" s="32" t="s">
        <v>322</v>
      </c>
      <c r="M217" s="86" t="s">
        <v>333</v>
      </c>
      <c r="N217" s="32" t="s">
        <v>339</v>
      </c>
      <c r="O217" s="32" t="s">
        <v>347</v>
      </c>
      <c r="P217" s="32" t="s">
        <v>349</v>
      </c>
      <c r="Q217" s="243" t="s">
        <v>129</v>
      </c>
      <c r="R217" s="244" t="s">
        <v>130</v>
      </c>
      <c r="S217" s="243" t="s">
        <v>131</v>
      </c>
      <c r="T217" s="243" t="s">
        <v>132</v>
      </c>
      <c r="U217" s="243" t="s">
        <v>133</v>
      </c>
      <c r="V217" s="243" t="s">
        <v>134</v>
      </c>
      <c r="W217" s="244" t="s">
        <v>135</v>
      </c>
      <c r="X217" s="243" t="s">
        <v>136</v>
      </c>
      <c r="Y217" s="243" t="s">
        <v>137</v>
      </c>
      <c r="Z217" s="243" t="s">
        <v>138</v>
      </c>
      <c r="AA217" s="243" t="s">
        <v>139</v>
      </c>
      <c r="AB217" s="244" t="s">
        <v>140</v>
      </c>
      <c r="AC217" s="30" t="s">
        <v>252</v>
      </c>
      <c r="AD217" s="30" t="s">
        <v>253</v>
      </c>
      <c r="AE217" s="30" t="s">
        <v>254</v>
      </c>
      <c r="AF217" s="30" t="s">
        <v>255</v>
      </c>
      <c r="AG217" s="89" t="s">
        <v>256</v>
      </c>
      <c r="AH217" s="30" t="s">
        <v>285</v>
      </c>
      <c r="AI217" s="30" t="s">
        <v>286</v>
      </c>
      <c r="AJ217" s="30" t="s">
        <v>287</v>
      </c>
      <c r="AK217" s="30" t="s">
        <v>288</v>
      </c>
      <c r="AL217" s="89" t="s">
        <v>289</v>
      </c>
      <c r="AM217" s="30" t="s">
        <v>356</v>
      </c>
      <c r="AN217" s="30" t="s">
        <v>357</v>
      </c>
      <c r="AO217" s="30" t="s">
        <v>358</v>
      </c>
      <c r="AP217" s="30" t="s">
        <v>359</v>
      </c>
      <c r="AQ217" s="89" t="s">
        <v>360</v>
      </c>
    </row>
    <row r="218" spans="1:43" outlineLevel="1" x14ac:dyDescent="0.25">
      <c r="A218" s="254"/>
      <c r="B218" s="595" t="s">
        <v>211</v>
      </c>
      <c r="C218" s="596"/>
      <c r="D218" s="34">
        <f>1.2+41.1</f>
        <v>42.300000000000004</v>
      </c>
      <c r="E218" s="34">
        <f>1.2+41.1</f>
        <v>42.300000000000004</v>
      </c>
      <c r="F218" s="34">
        <f>1.2+41.1</f>
        <v>42.300000000000004</v>
      </c>
      <c r="G218" s="34">
        <f>1.2+41.1</f>
        <v>42.300000000000004</v>
      </c>
      <c r="H218" s="35">
        <f>G218</f>
        <v>42.300000000000004</v>
      </c>
      <c r="I218" s="34">
        <f>1.2+41.1</f>
        <v>42.300000000000004</v>
      </c>
      <c r="J218" s="34">
        <f>1.2+41.1</f>
        <v>42.300000000000004</v>
      </c>
      <c r="K218" s="34">
        <f>1.2+115.4</f>
        <v>116.60000000000001</v>
      </c>
      <c r="L218" s="34">
        <f>1.2+373.9</f>
        <v>375.09999999999997</v>
      </c>
      <c r="M218" s="35">
        <f>L218</f>
        <v>375.09999999999997</v>
      </c>
      <c r="N218" s="34">
        <f>1.2+488.6</f>
        <v>489.8</v>
      </c>
      <c r="O218" s="34">
        <f>1.2+595.4</f>
        <v>596.6</v>
      </c>
      <c r="P218" s="34">
        <f>1.2+729.3</f>
        <v>730.5</v>
      </c>
      <c r="Q218" s="34">
        <f>+P218+Q250+Q273</f>
        <v>821.91128817859249</v>
      </c>
      <c r="R218" s="35">
        <f>Q218</f>
        <v>821.91128817859249</v>
      </c>
      <c r="S218" s="34">
        <f>+Q218+S250+S273</f>
        <v>912.21759260914507</v>
      </c>
      <c r="T218" s="34">
        <f>+S218+T250+T273</f>
        <v>994.61338975594742</v>
      </c>
      <c r="U218" s="34">
        <f t="shared" ref="U218:V218" si="592">+T218+U250+U273</f>
        <v>1085.3471891490146</v>
      </c>
      <c r="V218" s="34">
        <f t="shared" si="592"/>
        <v>1179.0616063217767</v>
      </c>
      <c r="W218" s="35">
        <f>V218</f>
        <v>1179.0616063217767</v>
      </c>
      <c r="X218" s="34">
        <f>+V218+X250+X273</f>
        <v>1273.2234391147886</v>
      </c>
      <c r="Y218" s="34">
        <f>+X218+Y250+Y273</f>
        <v>1364.5672661942656</v>
      </c>
      <c r="Z218" s="34">
        <f t="shared" ref="Z218:AA218" si="593">+Y218+Z250+Z273</f>
        <v>1464.6644281416279</v>
      </c>
      <c r="AA218" s="34">
        <f t="shared" si="593"/>
        <v>1566.1153547400781</v>
      </c>
      <c r="AB218" s="35">
        <f>AA218</f>
        <v>1566.1153547400781</v>
      </c>
      <c r="AC218" s="34">
        <f>+AA218+AC250+AC273</f>
        <v>1667.120494340501</v>
      </c>
      <c r="AD218" s="34">
        <f>+AC218+AD250+AD273</f>
        <v>1766.2547002321282</v>
      </c>
      <c r="AE218" s="34">
        <f t="shared" ref="AE218:AF218" si="594">+AD218+AE250+AE273</f>
        <v>1874.6234127586447</v>
      </c>
      <c r="AF218" s="34">
        <f t="shared" si="594"/>
        <v>1984.1936711601375</v>
      </c>
      <c r="AG218" s="35">
        <f>AF218</f>
        <v>1984.1936711601375</v>
      </c>
      <c r="AH218" s="34">
        <f>+AF218+AH250+AH273</f>
        <v>2093.6134764035914</v>
      </c>
      <c r="AI218" s="34">
        <f>+AH218+AI250+AI273</f>
        <v>2201.0954710000206</v>
      </c>
      <c r="AJ218" s="34">
        <f t="shared" ref="AJ218:AK218" si="595">+AI218+AJ250+AJ273</f>
        <v>2318.0474760926504</v>
      </c>
      <c r="AK218" s="34">
        <f t="shared" si="595"/>
        <v>2436.3459005087348</v>
      </c>
      <c r="AL218" s="35">
        <f>AK218</f>
        <v>2436.3459005087348</v>
      </c>
      <c r="AM218" s="34">
        <f>+AK218+AM250+AM273</f>
        <v>2554.565176102129</v>
      </c>
      <c r="AN218" s="34">
        <f>+AM218+AN250+AN273</f>
        <v>2670.6338487869639</v>
      </c>
      <c r="AO218" s="34">
        <f t="shared" ref="AO218:AP218" si="596">+AN218+AO250+AO273</f>
        <v>2796.7140494904593</v>
      </c>
      <c r="AP218" s="34">
        <f t="shared" si="596"/>
        <v>2924.2848314628368</v>
      </c>
      <c r="AQ218" s="35">
        <f>AP218</f>
        <v>2924.2848314628368</v>
      </c>
    </row>
    <row r="219" spans="1:43" outlineLevel="1" x14ac:dyDescent="0.25">
      <c r="A219" s="254"/>
      <c r="B219" s="615" t="s">
        <v>38</v>
      </c>
      <c r="C219" s="616"/>
      <c r="D219" s="34">
        <v>-2584</v>
      </c>
      <c r="E219" s="256">
        <v>-4807.7</v>
      </c>
      <c r="F219" s="256">
        <v>-4013.9</v>
      </c>
      <c r="G219" s="256">
        <v>-5771.2</v>
      </c>
      <c r="H219" s="449">
        <f>G219</f>
        <v>-5771.2</v>
      </c>
      <c r="I219" s="256">
        <v>-6414.8</v>
      </c>
      <c r="J219" s="256">
        <v>-7050.6</v>
      </c>
      <c r="K219" s="256">
        <v>-8208.2999999999993</v>
      </c>
      <c r="L219" s="256">
        <v>-7815.6</v>
      </c>
      <c r="M219" s="449">
        <f>L219</f>
        <v>-7815.6</v>
      </c>
      <c r="N219" s="256">
        <v>-8253.6</v>
      </c>
      <c r="O219" s="256">
        <v>-8124.3</v>
      </c>
      <c r="P219" s="256">
        <v>-7501.6</v>
      </c>
      <c r="Q219" s="256">
        <f t="shared" ref="Q219" si="597">P219+Q244+Q271+Q272</f>
        <v>-6882.1173253543811</v>
      </c>
      <c r="R219" s="449">
        <f>Q219</f>
        <v>-6882.1173253543811</v>
      </c>
      <c r="S219" s="256">
        <f>Q219+S244+S271+S272</f>
        <v>-6906.7819614513164</v>
      </c>
      <c r="T219" s="256">
        <f>S219+T244+T271+T272</f>
        <v>-7039.703289243389</v>
      </c>
      <c r="U219" s="256">
        <f t="shared" ref="U219:V219" si="598">T219+U244+U271+U272</f>
        <v>-6902.4775624178128</v>
      </c>
      <c r="V219" s="256">
        <f t="shared" si="598"/>
        <v>-6767.7037665716798</v>
      </c>
      <c r="W219" s="449">
        <f>V219</f>
        <v>-6767.7037665716798</v>
      </c>
      <c r="X219" s="256">
        <f>V219+X244+X271+X272</f>
        <v>-6639.9436196410561</v>
      </c>
      <c r="Y219" s="256">
        <f>X219+Y244+Y271+Y272</f>
        <v>-6610.2318863245828</v>
      </c>
      <c r="Z219" s="256">
        <f t="shared" ref="Z219:AA219" si="599">Y219+Z244+Z271+Z272</f>
        <v>-6449.0462514917299</v>
      </c>
      <c r="AA219" s="256">
        <f t="shared" si="599"/>
        <v>-6182.1147022966452</v>
      </c>
      <c r="AB219" s="449">
        <f>AA219</f>
        <v>-6182.1147022966452</v>
      </c>
      <c r="AC219" s="256">
        <f>AA219+AC244+AC271+AC272</f>
        <v>-5710.6113730529378</v>
      </c>
      <c r="AD219" s="256">
        <f>AC219+AD244+AD271+AD272</f>
        <v>-5339.0903435915916</v>
      </c>
      <c r="AE219" s="256">
        <f t="shared" ref="AE219:AF219" si="600">AD219+AE244+AE271+AE272</f>
        <v>-4830.9248780673552</v>
      </c>
      <c r="AF219" s="256">
        <f t="shared" si="600"/>
        <v>-4175.8183236220611</v>
      </c>
      <c r="AG219" s="449">
        <f>AF219</f>
        <v>-4175.8183236220611</v>
      </c>
      <c r="AH219" s="256">
        <f>AF219+AH244+AH271+AH272</f>
        <v>-3539.9679418515916</v>
      </c>
      <c r="AI219" s="256">
        <f>AH219+AI244+AI271+AI272</f>
        <v>-3012.685961245621</v>
      </c>
      <c r="AJ219" s="256">
        <f t="shared" ref="AJ219:AK219" si="601">AI219+AJ244+AJ271+AJ272</f>
        <v>-2347.7262782722587</v>
      </c>
      <c r="AK219" s="256">
        <f t="shared" si="601"/>
        <v>-1587.8459547083385</v>
      </c>
      <c r="AL219" s="449">
        <f>AK219</f>
        <v>-1587.8459547083385</v>
      </c>
      <c r="AM219" s="256">
        <f>AK219+AM244+AM271+AM272</f>
        <v>-856.90332948542505</v>
      </c>
      <c r="AN219" s="256">
        <f>AM219+AN244+AN271+AN272</f>
        <v>-242.2820002255794</v>
      </c>
      <c r="AO219" s="256">
        <f t="shared" ref="AO219:AP219" si="602">AN219+AO244+AO271+AO272</f>
        <v>514.19933554034435</v>
      </c>
      <c r="AP219" s="256">
        <f t="shared" si="602"/>
        <v>1389.9706039289354</v>
      </c>
      <c r="AQ219" s="449">
        <f>AP219</f>
        <v>1389.9706039289354</v>
      </c>
    </row>
    <row r="220" spans="1:43" outlineLevel="1" x14ac:dyDescent="0.25">
      <c r="A220" s="254"/>
      <c r="B220" s="615" t="s">
        <v>114</v>
      </c>
      <c r="C220" s="616"/>
      <c r="D220" s="34">
        <v>-343.2</v>
      </c>
      <c r="E220" s="258">
        <v>-271.5</v>
      </c>
      <c r="F220" s="256">
        <v>-349</v>
      </c>
      <c r="G220" s="256">
        <v>-503.3</v>
      </c>
      <c r="H220" s="449">
        <f>+G220</f>
        <v>-503.3</v>
      </c>
      <c r="I220" s="256">
        <v>-387.4</v>
      </c>
      <c r="J220" s="256">
        <v>-521.79999999999995</v>
      </c>
      <c r="K220" s="256">
        <v>-529.9</v>
      </c>
      <c r="L220" s="256">
        <v>-364.6</v>
      </c>
      <c r="M220" s="449">
        <f>+L220</f>
        <v>-364.6</v>
      </c>
      <c r="N220" s="256">
        <v>-145.9</v>
      </c>
      <c r="O220" s="256">
        <v>-126.3</v>
      </c>
      <c r="P220" s="256">
        <v>-29.7</v>
      </c>
      <c r="Q220" s="256">
        <f t="shared" ref="Q220:Q221" si="603">+P220</f>
        <v>-29.7</v>
      </c>
      <c r="R220" s="449">
        <f>+Q220</f>
        <v>-29.7</v>
      </c>
      <c r="S220" s="256">
        <f>+Q220</f>
        <v>-29.7</v>
      </c>
      <c r="T220" s="256">
        <f>+S220</f>
        <v>-29.7</v>
      </c>
      <c r="U220" s="256">
        <f t="shared" ref="U220:V221" si="604">+T220</f>
        <v>-29.7</v>
      </c>
      <c r="V220" s="256">
        <f t="shared" si="604"/>
        <v>-29.7</v>
      </c>
      <c r="W220" s="449">
        <f>+V220</f>
        <v>-29.7</v>
      </c>
      <c r="X220" s="256">
        <f>+V220</f>
        <v>-29.7</v>
      </c>
      <c r="Y220" s="256">
        <f>+X220</f>
        <v>-29.7</v>
      </c>
      <c r="Z220" s="256">
        <f t="shared" ref="Z220:AA221" si="605">+Y220</f>
        <v>-29.7</v>
      </c>
      <c r="AA220" s="256">
        <f t="shared" si="605"/>
        <v>-29.7</v>
      </c>
      <c r="AB220" s="449">
        <f>+AA220</f>
        <v>-29.7</v>
      </c>
      <c r="AC220" s="256">
        <f>+AA220</f>
        <v>-29.7</v>
      </c>
      <c r="AD220" s="256">
        <f>+AC220</f>
        <v>-29.7</v>
      </c>
      <c r="AE220" s="256">
        <f t="shared" ref="AE220:AF221" si="606">+AD220</f>
        <v>-29.7</v>
      </c>
      <c r="AF220" s="256">
        <f t="shared" si="606"/>
        <v>-29.7</v>
      </c>
      <c r="AG220" s="449">
        <f>+AF220</f>
        <v>-29.7</v>
      </c>
      <c r="AH220" s="256">
        <f>+AF220</f>
        <v>-29.7</v>
      </c>
      <c r="AI220" s="256">
        <f>+AH220</f>
        <v>-29.7</v>
      </c>
      <c r="AJ220" s="256">
        <f t="shared" ref="AJ220:AK221" si="607">+AI220</f>
        <v>-29.7</v>
      </c>
      <c r="AK220" s="256">
        <f t="shared" si="607"/>
        <v>-29.7</v>
      </c>
      <c r="AL220" s="449">
        <f>+AK220</f>
        <v>-29.7</v>
      </c>
      <c r="AM220" s="256">
        <f>+AK220</f>
        <v>-29.7</v>
      </c>
      <c r="AN220" s="256">
        <f>+AM220</f>
        <v>-29.7</v>
      </c>
      <c r="AO220" s="256">
        <f t="shared" ref="AO220:AP221" si="608">+AN220</f>
        <v>-29.7</v>
      </c>
      <c r="AP220" s="256">
        <f t="shared" si="608"/>
        <v>-29.7</v>
      </c>
      <c r="AQ220" s="449">
        <f>+AP220</f>
        <v>-29.7</v>
      </c>
    </row>
    <row r="221" spans="1:43" ht="17.25" outlineLevel="1" x14ac:dyDescent="0.4">
      <c r="A221" s="254"/>
      <c r="B221" s="163" t="s">
        <v>212</v>
      </c>
      <c r="C221" s="164"/>
      <c r="D221" s="37">
        <v>6.1</v>
      </c>
      <c r="E221" s="270">
        <v>1.7</v>
      </c>
      <c r="F221" s="270">
        <v>1.6</v>
      </c>
      <c r="G221" s="270">
        <v>1.2</v>
      </c>
      <c r="H221" s="38">
        <f>+G221</f>
        <v>1.2</v>
      </c>
      <c r="I221" s="270">
        <v>0.8</v>
      </c>
      <c r="J221" s="270">
        <v>-2.8</v>
      </c>
      <c r="K221" s="270">
        <v>-2.7</v>
      </c>
      <c r="L221" s="270">
        <v>5.7</v>
      </c>
      <c r="M221" s="356">
        <f>+L221</f>
        <v>5.7</v>
      </c>
      <c r="N221" s="270">
        <v>5.7</v>
      </c>
      <c r="O221" s="270">
        <v>5.7</v>
      </c>
      <c r="P221" s="270">
        <v>6.5</v>
      </c>
      <c r="Q221" s="270">
        <f t="shared" si="603"/>
        <v>6.5</v>
      </c>
      <c r="R221" s="356">
        <f>+Q221</f>
        <v>6.5</v>
      </c>
      <c r="S221" s="270">
        <f>+Q221</f>
        <v>6.5</v>
      </c>
      <c r="T221" s="270">
        <f>+S221</f>
        <v>6.5</v>
      </c>
      <c r="U221" s="270">
        <f t="shared" si="604"/>
        <v>6.5</v>
      </c>
      <c r="V221" s="270">
        <f t="shared" si="604"/>
        <v>6.5</v>
      </c>
      <c r="W221" s="356">
        <f>+V221</f>
        <v>6.5</v>
      </c>
      <c r="X221" s="270">
        <f>+V221</f>
        <v>6.5</v>
      </c>
      <c r="Y221" s="270">
        <f>+X221</f>
        <v>6.5</v>
      </c>
      <c r="Z221" s="270">
        <f t="shared" si="605"/>
        <v>6.5</v>
      </c>
      <c r="AA221" s="270">
        <f t="shared" si="605"/>
        <v>6.5</v>
      </c>
      <c r="AB221" s="356">
        <f>+AA221</f>
        <v>6.5</v>
      </c>
      <c r="AC221" s="270">
        <f>+AA221</f>
        <v>6.5</v>
      </c>
      <c r="AD221" s="270">
        <f>+AC221</f>
        <v>6.5</v>
      </c>
      <c r="AE221" s="270">
        <f t="shared" si="606"/>
        <v>6.5</v>
      </c>
      <c r="AF221" s="270">
        <f t="shared" si="606"/>
        <v>6.5</v>
      </c>
      <c r="AG221" s="356">
        <f>+AF221</f>
        <v>6.5</v>
      </c>
      <c r="AH221" s="270">
        <f>+AF221</f>
        <v>6.5</v>
      </c>
      <c r="AI221" s="270">
        <f>+AH221</f>
        <v>6.5</v>
      </c>
      <c r="AJ221" s="270">
        <f t="shared" si="607"/>
        <v>6.5</v>
      </c>
      <c r="AK221" s="270">
        <f t="shared" si="607"/>
        <v>6.5</v>
      </c>
      <c r="AL221" s="356">
        <f>+AK221</f>
        <v>6.5</v>
      </c>
      <c r="AM221" s="270">
        <f>+AK221</f>
        <v>6.5</v>
      </c>
      <c r="AN221" s="270">
        <f>+AM221</f>
        <v>6.5</v>
      </c>
      <c r="AO221" s="270">
        <f t="shared" si="608"/>
        <v>6.5</v>
      </c>
      <c r="AP221" s="270">
        <f t="shared" si="608"/>
        <v>6.5</v>
      </c>
      <c r="AQ221" s="356">
        <f>+AP221</f>
        <v>6.5</v>
      </c>
    </row>
    <row r="222" spans="1:43" outlineLevel="1" x14ac:dyDescent="0.25">
      <c r="A222" s="254"/>
      <c r="B222" s="613" t="s">
        <v>39</v>
      </c>
      <c r="C222" s="614"/>
      <c r="D222" s="41">
        <f t="shared" ref="D222:AB222" si="609">SUM(D218:D221)</f>
        <v>-2878.7999999999997</v>
      </c>
      <c r="E222" s="41">
        <f t="shared" si="609"/>
        <v>-5035.2</v>
      </c>
      <c r="F222" s="41">
        <f t="shared" si="609"/>
        <v>-4319</v>
      </c>
      <c r="G222" s="41">
        <f t="shared" si="609"/>
        <v>-6231</v>
      </c>
      <c r="H222" s="42">
        <f t="shared" si="609"/>
        <v>-6231</v>
      </c>
      <c r="I222" s="41">
        <f t="shared" si="609"/>
        <v>-6759.0999999999995</v>
      </c>
      <c r="J222" s="41">
        <f t="shared" si="609"/>
        <v>-7532.9000000000005</v>
      </c>
      <c r="K222" s="41">
        <f t="shared" si="609"/>
        <v>-8624.2999999999993</v>
      </c>
      <c r="L222" s="41">
        <f t="shared" si="609"/>
        <v>-7799.4000000000005</v>
      </c>
      <c r="M222" s="42">
        <f t="shared" si="609"/>
        <v>-7799.4000000000005</v>
      </c>
      <c r="N222" s="41">
        <f t="shared" si="609"/>
        <v>-7904</v>
      </c>
      <c r="O222" s="41">
        <f t="shared" si="609"/>
        <v>-7648.3</v>
      </c>
      <c r="P222" s="41">
        <f t="shared" si="609"/>
        <v>-6794.3</v>
      </c>
      <c r="Q222" s="41">
        <f t="shared" si="609"/>
        <v>-6083.4060371757887</v>
      </c>
      <c r="R222" s="42">
        <f t="shared" si="609"/>
        <v>-6083.4060371757887</v>
      </c>
      <c r="S222" s="41">
        <f t="shared" si="609"/>
        <v>-6017.7643688421713</v>
      </c>
      <c r="T222" s="41">
        <f t="shared" si="609"/>
        <v>-6068.2898994874413</v>
      </c>
      <c r="U222" s="41">
        <f t="shared" si="609"/>
        <v>-5840.3303732687982</v>
      </c>
      <c r="V222" s="41">
        <f t="shared" si="609"/>
        <v>-5611.8421602499029</v>
      </c>
      <c r="W222" s="42">
        <f t="shared" si="609"/>
        <v>-5611.8421602499029</v>
      </c>
      <c r="X222" s="41">
        <f t="shared" si="609"/>
        <v>-5389.9201805262674</v>
      </c>
      <c r="Y222" s="41">
        <f t="shared" si="609"/>
        <v>-5268.8646201303172</v>
      </c>
      <c r="Z222" s="41">
        <f t="shared" si="609"/>
        <v>-5007.5818233501022</v>
      </c>
      <c r="AA222" s="41">
        <f t="shared" si="609"/>
        <v>-4639.1993475565669</v>
      </c>
      <c r="AB222" s="42">
        <f t="shared" si="609"/>
        <v>-4639.1993475565669</v>
      </c>
      <c r="AC222" s="41">
        <f t="shared" ref="AC222:AQ222" si="610">SUM(AC218:AC221)</f>
        <v>-4066.6908787124366</v>
      </c>
      <c r="AD222" s="41">
        <f t="shared" si="610"/>
        <v>-3596.0356433594634</v>
      </c>
      <c r="AE222" s="41">
        <f t="shared" si="610"/>
        <v>-2979.5014653087101</v>
      </c>
      <c r="AF222" s="41">
        <f t="shared" si="610"/>
        <v>-2214.8246524619235</v>
      </c>
      <c r="AG222" s="42">
        <f t="shared" si="610"/>
        <v>-2214.8246524619235</v>
      </c>
      <c r="AH222" s="41">
        <f t="shared" si="610"/>
        <v>-1469.5544654480002</v>
      </c>
      <c r="AI222" s="41">
        <f t="shared" si="610"/>
        <v>-834.79049024560049</v>
      </c>
      <c r="AJ222" s="41">
        <f t="shared" si="610"/>
        <v>-52.878802179608286</v>
      </c>
      <c r="AK222" s="41">
        <f t="shared" si="610"/>
        <v>825.29994580039624</v>
      </c>
      <c r="AL222" s="42">
        <f t="shared" si="610"/>
        <v>825.29994580039624</v>
      </c>
      <c r="AM222" s="41">
        <f t="shared" si="610"/>
        <v>1674.461846616704</v>
      </c>
      <c r="AN222" s="41">
        <f t="shared" si="610"/>
        <v>2405.1518485613847</v>
      </c>
      <c r="AO222" s="41">
        <f t="shared" si="610"/>
        <v>3287.7133850308037</v>
      </c>
      <c r="AP222" s="41">
        <f t="shared" si="610"/>
        <v>4291.0554353917723</v>
      </c>
      <c r="AQ222" s="42">
        <f t="shared" si="610"/>
        <v>4291.0554353917723</v>
      </c>
    </row>
    <row r="223" spans="1:43" outlineLevel="1" x14ac:dyDescent="0.25">
      <c r="A223" s="254"/>
      <c r="B223" s="617" t="s">
        <v>10</v>
      </c>
      <c r="C223" s="618"/>
      <c r="D223" s="48">
        <f t="shared" ref="D223:AQ223" si="611">D222+D216</f>
        <v>19981.300000000003</v>
      </c>
      <c r="E223" s="48">
        <f t="shared" si="611"/>
        <v>17641.899999999998</v>
      </c>
      <c r="F223" s="48">
        <f t="shared" si="611"/>
        <v>20894.400000000001</v>
      </c>
      <c r="G223" s="48">
        <f t="shared" si="611"/>
        <v>19219.599999999999</v>
      </c>
      <c r="H223" s="245">
        <f t="shared" si="611"/>
        <v>19219.599999999999</v>
      </c>
      <c r="I223" s="48">
        <f t="shared" si="611"/>
        <v>27731.300000000003</v>
      </c>
      <c r="J223" s="48">
        <f t="shared" si="611"/>
        <v>27478.9</v>
      </c>
      <c r="K223" s="48">
        <f t="shared" si="611"/>
        <v>29140.599999999995</v>
      </c>
      <c r="L223" s="48">
        <f t="shared" si="611"/>
        <v>29374.500000000007</v>
      </c>
      <c r="M223" s="245">
        <f t="shared" si="611"/>
        <v>29374.500000000007</v>
      </c>
      <c r="N223" s="48">
        <f t="shared" si="611"/>
        <v>29968.400000000001</v>
      </c>
      <c r="O223" s="48">
        <f t="shared" si="611"/>
        <v>28371.7</v>
      </c>
      <c r="P223" s="48">
        <f t="shared" si="611"/>
        <v>29476.799999999999</v>
      </c>
      <c r="Q223" s="48">
        <f t="shared" si="611"/>
        <v>30253.190100280888</v>
      </c>
      <c r="R223" s="245">
        <f t="shared" si="611"/>
        <v>30253.190100280888</v>
      </c>
      <c r="S223" s="48">
        <f t="shared" si="611"/>
        <v>30177.355918870668</v>
      </c>
      <c r="T223" s="48">
        <f t="shared" si="611"/>
        <v>29172.39351455147</v>
      </c>
      <c r="U223" s="48">
        <f t="shared" si="611"/>
        <v>29098.868434539982</v>
      </c>
      <c r="V223" s="48">
        <f t="shared" si="611"/>
        <v>29172.038212102048</v>
      </c>
      <c r="W223" s="245">
        <f t="shared" si="611"/>
        <v>29172.038212102048</v>
      </c>
      <c r="X223" s="48">
        <f t="shared" si="611"/>
        <v>29425.454209885309</v>
      </c>
      <c r="Y223" s="48">
        <f t="shared" si="611"/>
        <v>28825.48737560528</v>
      </c>
      <c r="Z223" s="48">
        <f t="shared" si="611"/>
        <v>29046.842468839404</v>
      </c>
      <c r="AA223" s="48">
        <f t="shared" si="611"/>
        <v>29049.798053837134</v>
      </c>
      <c r="AB223" s="245">
        <f t="shared" si="611"/>
        <v>29049.798053837134</v>
      </c>
      <c r="AC223" s="48">
        <f t="shared" si="611"/>
        <v>29692.929653925883</v>
      </c>
      <c r="AD223" s="48">
        <f t="shared" si="611"/>
        <v>29325.35738130728</v>
      </c>
      <c r="AE223" s="48">
        <f t="shared" si="611"/>
        <v>29881.074238618039</v>
      </c>
      <c r="AF223" s="48">
        <f t="shared" si="611"/>
        <v>30050.719168245225</v>
      </c>
      <c r="AG223" s="245">
        <f t="shared" si="611"/>
        <v>30050.719168245225</v>
      </c>
      <c r="AH223" s="48">
        <f t="shared" si="611"/>
        <v>30957.433784828689</v>
      </c>
      <c r="AI223" s="48">
        <f t="shared" si="611"/>
        <v>30808.820591683601</v>
      </c>
      <c r="AJ223" s="48">
        <f t="shared" si="611"/>
        <v>31616.297846800226</v>
      </c>
      <c r="AK223" s="48">
        <f t="shared" si="611"/>
        <v>31989.834615673706</v>
      </c>
      <c r="AL223" s="245">
        <f t="shared" si="611"/>
        <v>31989.834615673706</v>
      </c>
      <c r="AM223" s="48">
        <f t="shared" si="611"/>
        <v>33047.949086567322</v>
      </c>
      <c r="AN223" s="48">
        <f t="shared" si="611"/>
        <v>32964.81280188066</v>
      </c>
      <c r="AO223" s="48">
        <f t="shared" si="611"/>
        <v>33905.936882956594</v>
      </c>
      <c r="AP223" s="48">
        <f t="shared" si="611"/>
        <v>34395.106020792227</v>
      </c>
      <c r="AQ223" s="245">
        <f t="shared" si="611"/>
        <v>34395.106020792227</v>
      </c>
    </row>
    <row r="224" spans="1:43" x14ac:dyDescent="0.25">
      <c r="A224" s="254"/>
      <c r="B224" s="371"/>
      <c r="C224" s="238"/>
      <c r="D224" s="358">
        <f t="shared" ref="D224:AQ224" si="612">ROUND((D223-D201),0)</f>
        <v>0</v>
      </c>
      <c r="E224" s="358">
        <f t="shared" si="612"/>
        <v>0</v>
      </c>
      <c r="F224" s="358">
        <f t="shared" si="612"/>
        <v>0</v>
      </c>
      <c r="G224" s="358">
        <f t="shared" si="612"/>
        <v>0</v>
      </c>
      <c r="H224" s="358">
        <f t="shared" si="612"/>
        <v>0</v>
      </c>
      <c r="I224" s="358">
        <f t="shared" si="612"/>
        <v>0</v>
      </c>
      <c r="J224" s="358">
        <f t="shared" si="612"/>
        <v>0</v>
      </c>
      <c r="K224" s="358">
        <f t="shared" si="612"/>
        <v>0</v>
      </c>
      <c r="L224" s="66">
        <f t="shared" si="612"/>
        <v>0</v>
      </c>
      <c r="M224" s="66">
        <f t="shared" si="612"/>
        <v>0</v>
      </c>
      <c r="N224" s="66">
        <f t="shared" si="612"/>
        <v>0</v>
      </c>
      <c r="O224" s="66">
        <f t="shared" si="612"/>
        <v>0</v>
      </c>
      <c r="P224" s="66">
        <f t="shared" si="612"/>
        <v>0</v>
      </c>
      <c r="Q224" s="66">
        <f t="shared" si="612"/>
        <v>0</v>
      </c>
      <c r="R224" s="66">
        <f t="shared" si="612"/>
        <v>0</v>
      </c>
      <c r="S224" s="66">
        <f t="shared" si="612"/>
        <v>0</v>
      </c>
      <c r="T224" s="66">
        <f t="shared" si="612"/>
        <v>0</v>
      </c>
      <c r="U224" s="66">
        <f t="shared" si="612"/>
        <v>0</v>
      </c>
      <c r="V224" s="66">
        <f t="shared" si="612"/>
        <v>0</v>
      </c>
      <c r="W224" s="66">
        <f t="shared" si="612"/>
        <v>0</v>
      </c>
      <c r="X224" s="66">
        <f t="shared" si="612"/>
        <v>0</v>
      </c>
      <c r="Y224" s="66">
        <f t="shared" si="612"/>
        <v>0</v>
      </c>
      <c r="Z224" s="66">
        <f t="shared" si="612"/>
        <v>0</v>
      </c>
      <c r="AA224" s="66">
        <f t="shared" si="612"/>
        <v>0</v>
      </c>
      <c r="AB224" s="66">
        <f t="shared" si="612"/>
        <v>0</v>
      </c>
      <c r="AC224" s="66">
        <f t="shared" si="612"/>
        <v>0</v>
      </c>
      <c r="AD224" s="66">
        <f t="shared" si="612"/>
        <v>0</v>
      </c>
      <c r="AE224" s="66">
        <f t="shared" si="612"/>
        <v>0</v>
      </c>
      <c r="AF224" s="66">
        <f t="shared" si="612"/>
        <v>0</v>
      </c>
      <c r="AG224" s="66">
        <f t="shared" si="612"/>
        <v>0</v>
      </c>
      <c r="AH224" s="66">
        <f t="shared" si="612"/>
        <v>0</v>
      </c>
      <c r="AI224" s="66">
        <f t="shared" si="612"/>
        <v>0</v>
      </c>
      <c r="AJ224" s="66">
        <f t="shared" si="612"/>
        <v>0</v>
      </c>
      <c r="AK224" s="66">
        <f t="shared" si="612"/>
        <v>0</v>
      </c>
      <c r="AL224" s="66">
        <f t="shared" si="612"/>
        <v>0</v>
      </c>
      <c r="AM224" s="66">
        <f t="shared" si="612"/>
        <v>0</v>
      </c>
      <c r="AN224" s="66">
        <f t="shared" si="612"/>
        <v>0</v>
      </c>
      <c r="AO224" s="66">
        <f t="shared" si="612"/>
        <v>0</v>
      </c>
      <c r="AP224" s="66">
        <f t="shared" si="612"/>
        <v>0</v>
      </c>
      <c r="AQ224" s="66">
        <f t="shared" si="612"/>
        <v>0</v>
      </c>
    </row>
    <row r="225" spans="1:43" ht="15.75" x14ac:dyDescent="0.25">
      <c r="A225" s="254"/>
      <c r="B225" s="565" t="s">
        <v>20</v>
      </c>
      <c r="C225" s="566"/>
      <c r="D225" s="31" t="s">
        <v>106</v>
      </c>
      <c r="E225" s="31" t="s">
        <v>244</v>
      </c>
      <c r="F225" s="31" t="s">
        <v>246</v>
      </c>
      <c r="G225" s="31" t="s">
        <v>337</v>
      </c>
      <c r="H225" s="85" t="s">
        <v>337</v>
      </c>
      <c r="I225" s="31" t="s">
        <v>336</v>
      </c>
      <c r="J225" s="31" t="s">
        <v>335</v>
      </c>
      <c r="K225" s="31" t="s">
        <v>334</v>
      </c>
      <c r="L225" s="31" t="s">
        <v>321</v>
      </c>
      <c r="M225" s="85" t="s">
        <v>321</v>
      </c>
      <c r="N225" s="31" t="s">
        <v>338</v>
      </c>
      <c r="O225" s="31" t="s">
        <v>346</v>
      </c>
      <c r="P225" s="31" t="s">
        <v>348</v>
      </c>
      <c r="Q225" s="33" t="s">
        <v>120</v>
      </c>
      <c r="R225" s="88" t="s">
        <v>120</v>
      </c>
      <c r="S225" s="33" t="s">
        <v>121</v>
      </c>
      <c r="T225" s="33" t="s">
        <v>122</v>
      </c>
      <c r="U225" s="33" t="s">
        <v>123</v>
      </c>
      <c r="V225" s="33" t="s">
        <v>124</v>
      </c>
      <c r="W225" s="88" t="s">
        <v>124</v>
      </c>
      <c r="X225" s="33" t="s">
        <v>125</v>
      </c>
      <c r="Y225" s="33" t="s">
        <v>126</v>
      </c>
      <c r="Z225" s="33" t="s">
        <v>127</v>
      </c>
      <c r="AA225" s="33" t="s">
        <v>128</v>
      </c>
      <c r="AB225" s="88" t="s">
        <v>128</v>
      </c>
      <c r="AC225" s="33" t="s">
        <v>248</v>
      </c>
      <c r="AD225" s="33" t="s">
        <v>249</v>
      </c>
      <c r="AE225" s="33" t="s">
        <v>250</v>
      </c>
      <c r="AF225" s="33" t="s">
        <v>251</v>
      </c>
      <c r="AG225" s="88" t="s">
        <v>251</v>
      </c>
      <c r="AH225" s="33" t="s">
        <v>281</v>
      </c>
      <c r="AI225" s="33" t="s">
        <v>282</v>
      </c>
      <c r="AJ225" s="33" t="s">
        <v>283</v>
      </c>
      <c r="AK225" s="33" t="s">
        <v>284</v>
      </c>
      <c r="AL225" s="88" t="s">
        <v>284</v>
      </c>
      <c r="AM225" s="33" t="s">
        <v>352</v>
      </c>
      <c r="AN225" s="33" t="s">
        <v>353</v>
      </c>
      <c r="AO225" s="33" t="s">
        <v>354</v>
      </c>
      <c r="AP225" s="33" t="s">
        <v>355</v>
      </c>
      <c r="AQ225" s="88" t="s">
        <v>355</v>
      </c>
    </row>
    <row r="226" spans="1:43" ht="17.25" x14ac:dyDescent="0.4">
      <c r="A226" s="254"/>
      <c r="B226" s="567"/>
      <c r="C226" s="568"/>
      <c r="D226" s="32" t="s">
        <v>119</v>
      </c>
      <c r="E226" s="32" t="s">
        <v>243</v>
      </c>
      <c r="F226" s="32" t="s">
        <v>247</v>
      </c>
      <c r="G226" s="32" t="s">
        <v>257</v>
      </c>
      <c r="H226" s="86" t="s">
        <v>258</v>
      </c>
      <c r="I226" s="32" t="s">
        <v>259</v>
      </c>
      <c r="J226" s="32" t="s">
        <v>260</v>
      </c>
      <c r="K226" s="32" t="s">
        <v>261</v>
      </c>
      <c r="L226" s="32" t="s">
        <v>322</v>
      </c>
      <c r="M226" s="86" t="s">
        <v>333</v>
      </c>
      <c r="N226" s="32" t="s">
        <v>339</v>
      </c>
      <c r="O226" s="32" t="s">
        <v>347</v>
      </c>
      <c r="P226" s="32" t="s">
        <v>349</v>
      </c>
      <c r="Q226" s="30" t="s">
        <v>129</v>
      </c>
      <c r="R226" s="89" t="s">
        <v>130</v>
      </c>
      <c r="S226" s="30" t="s">
        <v>131</v>
      </c>
      <c r="T226" s="30" t="s">
        <v>132</v>
      </c>
      <c r="U226" s="30" t="s">
        <v>133</v>
      </c>
      <c r="V226" s="30" t="s">
        <v>134</v>
      </c>
      <c r="W226" s="89" t="s">
        <v>135</v>
      </c>
      <c r="X226" s="30" t="s">
        <v>136</v>
      </c>
      <c r="Y226" s="30" t="s">
        <v>137</v>
      </c>
      <c r="Z226" s="30" t="s">
        <v>138</v>
      </c>
      <c r="AA226" s="30" t="s">
        <v>139</v>
      </c>
      <c r="AB226" s="89" t="s">
        <v>140</v>
      </c>
      <c r="AC226" s="30" t="s">
        <v>252</v>
      </c>
      <c r="AD226" s="30" t="s">
        <v>253</v>
      </c>
      <c r="AE226" s="30" t="s">
        <v>254</v>
      </c>
      <c r="AF226" s="30" t="s">
        <v>255</v>
      </c>
      <c r="AG226" s="89" t="s">
        <v>256</v>
      </c>
      <c r="AH226" s="30" t="s">
        <v>285</v>
      </c>
      <c r="AI226" s="30" t="s">
        <v>286</v>
      </c>
      <c r="AJ226" s="30" t="s">
        <v>287</v>
      </c>
      <c r="AK226" s="30" t="s">
        <v>288</v>
      </c>
      <c r="AL226" s="89" t="s">
        <v>289</v>
      </c>
      <c r="AM226" s="30" t="s">
        <v>356</v>
      </c>
      <c r="AN226" s="30" t="s">
        <v>357</v>
      </c>
      <c r="AO226" s="30" t="s">
        <v>358</v>
      </c>
      <c r="AP226" s="30" t="s">
        <v>359</v>
      </c>
      <c r="AQ226" s="89" t="s">
        <v>360</v>
      </c>
    </row>
    <row r="227" spans="1:43" outlineLevel="1" x14ac:dyDescent="0.25">
      <c r="A227" s="254"/>
      <c r="B227" s="555" t="s">
        <v>280</v>
      </c>
      <c r="C227" s="315"/>
      <c r="D227" s="276">
        <f>31+30+31</f>
        <v>92</v>
      </c>
      <c r="E227" s="276">
        <f>31+28+31</f>
        <v>90</v>
      </c>
      <c r="F227" s="276">
        <f>30+31+30</f>
        <v>91</v>
      </c>
      <c r="G227" s="276">
        <f>31+31+30</f>
        <v>92</v>
      </c>
      <c r="H227" s="291"/>
      <c r="I227" s="276">
        <f>31+30+31</f>
        <v>92</v>
      </c>
      <c r="J227" s="276">
        <f>31+29+31</f>
        <v>91</v>
      </c>
      <c r="K227" s="276">
        <f>30+31+30</f>
        <v>91</v>
      </c>
      <c r="L227" s="276">
        <f>31+31+30</f>
        <v>92</v>
      </c>
      <c r="M227" s="291"/>
      <c r="N227" s="276">
        <f>31+30+31</f>
        <v>92</v>
      </c>
      <c r="O227" s="276">
        <f>31+28+31</f>
        <v>90</v>
      </c>
      <c r="P227" s="276">
        <f>30+31+30</f>
        <v>91</v>
      </c>
      <c r="Q227" s="276">
        <f>31+31+30</f>
        <v>92</v>
      </c>
      <c r="R227" s="291"/>
      <c r="S227" s="276">
        <f>31+30+31</f>
        <v>92</v>
      </c>
      <c r="T227" s="276">
        <f>31+28+31</f>
        <v>90</v>
      </c>
      <c r="U227" s="276">
        <f>30+31+30</f>
        <v>91</v>
      </c>
      <c r="V227" s="276">
        <f>31+31+30</f>
        <v>92</v>
      </c>
      <c r="W227" s="291"/>
      <c r="X227" s="276">
        <f>31+30+31</f>
        <v>92</v>
      </c>
      <c r="Y227" s="276">
        <f>31+28+31</f>
        <v>90</v>
      </c>
      <c r="Z227" s="276">
        <f>30+31+30</f>
        <v>91</v>
      </c>
      <c r="AA227" s="276">
        <f>31+31+30</f>
        <v>92</v>
      </c>
      <c r="AB227" s="291"/>
      <c r="AC227" s="276">
        <f>31+30+31</f>
        <v>92</v>
      </c>
      <c r="AD227" s="276">
        <f>31+29+31</f>
        <v>91</v>
      </c>
      <c r="AE227" s="276">
        <f>30+31+30</f>
        <v>91</v>
      </c>
      <c r="AF227" s="276">
        <f>31+31+30</f>
        <v>92</v>
      </c>
      <c r="AG227" s="291"/>
      <c r="AH227" s="276">
        <f>31+30+31</f>
        <v>92</v>
      </c>
      <c r="AI227" s="276">
        <f>31+28+31</f>
        <v>90</v>
      </c>
      <c r="AJ227" s="276">
        <f>30+31+30</f>
        <v>91</v>
      </c>
      <c r="AK227" s="276">
        <f>31+31+30</f>
        <v>92</v>
      </c>
      <c r="AL227" s="291"/>
      <c r="AM227" s="276">
        <f>31+30+31</f>
        <v>92</v>
      </c>
      <c r="AN227" s="276">
        <f>31+28+31</f>
        <v>90</v>
      </c>
      <c r="AO227" s="276">
        <f>30+31+30</f>
        <v>91</v>
      </c>
      <c r="AP227" s="276">
        <f>31+31+30</f>
        <v>92</v>
      </c>
      <c r="AQ227" s="291"/>
    </row>
    <row r="228" spans="1:43" outlineLevel="1" x14ac:dyDescent="0.25">
      <c r="A228" s="254"/>
      <c r="B228" s="595" t="s">
        <v>21</v>
      </c>
      <c r="C228" s="596"/>
      <c r="D228" s="58">
        <f t="shared" ref="D228:L228" si="613">D16/D189</f>
        <v>9.1942057111172737</v>
      </c>
      <c r="E228" s="308">
        <f t="shared" si="613"/>
        <v>8.9623365548607161</v>
      </c>
      <c r="F228" s="308">
        <f t="shared" si="613"/>
        <v>8.6301543131798635</v>
      </c>
      <c r="G228" s="308">
        <f t="shared" si="613"/>
        <v>7.6757679180887379</v>
      </c>
      <c r="H228" s="309"/>
      <c r="I228" s="308">
        <f t="shared" si="613"/>
        <v>7.8153287082920375</v>
      </c>
      <c r="J228" s="308">
        <f t="shared" si="613"/>
        <v>6.3716259298618487</v>
      </c>
      <c r="K228" s="308">
        <f t="shared" si="613"/>
        <v>4.7918510952218822</v>
      </c>
      <c r="L228" s="308">
        <f t="shared" si="613"/>
        <v>7.0218474077428121</v>
      </c>
      <c r="M228" s="59"/>
      <c r="N228" s="308">
        <f>N16/N189</f>
        <v>7.6006756756756761</v>
      </c>
      <c r="O228" s="308">
        <f t="shared" ref="O228:P228" si="614">O16/O189</f>
        <v>7.5755510111338324</v>
      </c>
      <c r="P228" s="308">
        <f t="shared" si="614"/>
        <v>8.2270632133450388</v>
      </c>
      <c r="Q228" s="60">
        <v>7.7173912977977261</v>
      </c>
      <c r="R228" s="59"/>
      <c r="S228" s="60">
        <f>N228</f>
        <v>7.6006756756756761</v>
      </c>
      <c r="T228" s="60">
        <f t="shared" ref="T228:V228" si="615">O228</f>
        <v>7.5755510111338324</v>
      </c>
      <c r="U228" s="60">
        <f t="shared" si="615"/>
        <v>8.2270632133450388</v>
      </c>
      <c r="V228" s="60">
        <f t="shared" si="615"/>
        <v>7.7173912977977261</v>
      </c>
      <c r="W228" s="59"/>
      <c r="X228" s="60">
        <f>S228</f>
        <v>7.6006756756756761</v>
      </c>
      <c r="Y228" s="60">
        <f t="shared" ref="Y228:AA228" si="616">T228</f>
        <v>7.5755510111338324</v>
      </c>
      <c r="Z228" s="60">
        <f t="shared" si="616"/>
        <v>8.2270632133450388</v>
      </c>
      <c r="AA228" s="60">
        <f t="shared" si="616"/>
        <v>7.7173912977977261</v>
      </c>
      <c r="AB228" s="26"/>
      <c r="AC228" s="60">
        <f>X228</f>
        <v>7.6006756756756761</v>
      </c>
      <c r="AD228" s="60">
        <f t="shared" ref="AD228:AF228" si="617">Y228</f>
        <v>7.5755510111338324</v>
      </c>
      <c r="AE228" s="60">
        <f t="shared" si="617"/>
        <v>8.2270632133450388</v>
      </c>
      <c r="AF228" s="60">
        <f t="shared" si="617"/>
        <v>7.7173912977977261</v>
      </c>
      <c r="AG228" s="26"/>
      <c r="AH228" s="60">
        <f>AC228</f>
        <v>7.6006756756756761</v>
      </c>
      <c r="AI228" s="60">
        <f t="shared" ref="AI228:AK228" si="618">AD228</f>
        <v>7.5755510111338324</v>
      </c>
      <c r="AJ228" s="60">
        <f t="shared" si="618"/>
        <v>8.2270632133450388</v>
      </c>
      <c r="AK228" s="60">
        <f t="shared" si="618"/>
        <v>7.7173912977977261</v>
      </c>
      <c r="AL228" s="26"/>
      <c r="AM228" s="60">
        <f>AH228</f>
        <v>7.6006756756756761</v>
      </c>
      <c r="AN228" s="60">
        <f t="shared" ref="AN228:AP228" si="619">AI228</f>
        <v>7.5755510111338324</v>
      </c>
      <c r="AO228" s="60">
        <f t="shared" si="619"/>
        <v>8.2270632133450388</v>
      </c>
      <c r="AP228" s="60">
        <f t="shared" si="619"/>
        <v>7.7173912977977261</v>
      </c>
      <c r="AQ228" s="26"/>
    </row>
    <row r="229" spans="1:43" s="43" customFormat="1" outlineLevel="1" x14ac:dyDescent="0.25">
      <c r="A229" s="307"/>
      <c r="B229" s="605" t="s">
        <v>57</v>
      </c>
      <c r="C229" s="606"/>
      <c r="D229" s="47">
        <f>D227/D228</f>
        <v>10.00630210924661</v>
      </c>
      <c r="E229" s="47">
        <f>E227/E228</f>
        <v>10.042024136126486</v>
      </c>
      <c r="F229" s="276">
        <f>F227/F228</f>
        <v>10.544423274219552</v>
      </c>
      <c r="G229" s="276">
        <f>G227/G228</f>
        <v>11.985771453979545</v>
      </c>
      <c r="H229" s="309"/>
      <c r="I229" s="276">
        <f>I227/I228</f>
        <v>11.771737752039567</v>
      </c>
      <c r="J229" s="276">
        <f>J227/J228</f>
        <v>14.28206881598479</v>
      </c>
      <c r="K229" s="276">
        <f>K227/K228</f>
        <v>18.990573411335589</v>
      </c>
      <c r="L229" s="47">
        <f>L227/L228</f>
        <v>13.101965146459028</v>
      </c>
      <c r="M229" s="59"/>
      <c r="N229" s="47">
        <f>N227/N228</f>
        <v>12.104187038847897</v>
      </c>
      <c r="O229" s="47">
        <f>O227/O228</f>
        <v>11.880323935212958</v>
      </c>
      <c r="P229" s="47">
        <f>P227/P228</f>
        <v>11.061055159074236</v>
      </c>
      <c r="Q229" s="47">
        <f>Q227/Q228</f>
        <v>11.921126770681381</v>
      </c>
      <c r="R229" s="59"/>
      <c r="S229" s="47">
        <f>S227/S228</f>
        <v>12.104187038847897</v>
      </c>
      <c r="T229" s="47">
        <f>T227/T228</f>
        <v>11.880323935212958</v>
      </c>
      <c r="U229" s="47">
        <f>U227/U228</f>
        <v>11.061055159074236</v>
      </c>
      <c r="V229" s="47">
        <f>V227/V228</f>
        <v>11.921126770681381</v>
      </c>
      <c r="W229" s="59"/>
      <c r="X229" s="47">
        <f>X227/X228</f>
        <v>12.104187038847897</v>
      </c>
      <c r="Y229" s="47">
        <f>Y227/Y228</f>
        <v>11.880323935212958</v>
      </c>
      <c r="Z229" s="47">
        <f>Z227/Z228</f>
        <v>11.061055159074236</v>
      </c>
      <c r="AA229" s="47">
        <f>AA227/AA228</f>
        <v>11.921126770681381</v>
      </c>
      <c r="AB229" s="59"/>
      <c r="AC229" s="47">
        <f>AC227/AC228</f>
        <v>12.104187038847897</v>
      </c>
      <c r="AD229" s="47">
        <f>AD227/AD228</f>
        <v>12.012327534493103</v>
      </c>
      <c r="AE229" s="47">
        <f>AE227/AE228</f>
        <v>11.061055159074236</v>
      </c>
      <c r="AF229" s="47">
        <f>AF227/AF228</f>
        <v>11.921126770681381</v>
      </c>
      <c r="AG229" s="59"/>
      <c r="AH229" s="47">
        <f>AH227/AH228</f>
        <v>12.104187038847897</v>
      </c>
      <c r="AI229" s="47">
        <f>AI227/AI228</f>
        <v>11.880323935212958</v>
      </c>
      <c r="AJ229" s="47">
        <f>AJ227/AJ228</f>
        <v>11.061055159074236</v>
      </c>
      <c r="AK229" s="47">
        <f>AK227/AK228</f>
        <v>11.921126770681381</v>
      </c>
      <c r="AL229" s="59"/>
      <c r="AM229" s="47">
        <f>AM227/AM228</f>
        <v>12.104187038847897</v>
      </c>
      <c r="AN229" s="47">
        <f>AN227/AN228</f>
        <v>11.880323935212958</v>
      </c>
      <c r="AO229" s="47">
        <f>AO227/AO228</f>
        <v>11.061055159074236</v>
      </c>
      <c r="AP229" s="47">
        <f>AP227/AP228</f>
        <v>11.921126770681381</v>
      </c>
      <c r="AQ229" s="59"/>
    </row>
    <row r="230" spans="1:43" outlineLevel="1" x14ac:dyDescent="0.25">
      <c r="A230" s="254"/>
      <c r="B230" s="595" t="s">
        <v>232</v>
      </c>
      <c r="C230" s="596"/>
      <c r="D230" s="58">
        <f t="shared" ref="D230:L230" si="620">D17/D190</f>
        <v>1.6062306215857083</v>
      </c>
      <c r="E230" s="58">
        <f t="shared" si="620"/>
        <v>1.3943173943173943</v>
      </c>
      <c r="F230" s="308">
        <f t="shared" si="620"/>
        <v>1.4497759029791721</v>
      </c>
      <c r="G230" s="308">
        <f t="shared" si="620"/>
        <v>1.3989146070354381</v>
      </c>
      <c r="H230" s="309"/>
      <c r="I230" s="308">
        <f t="shared" si="620"/>
        <v>1.5875630013487614</v>
      </c>
      <c r="J230" s="308">
        <f t="shared" si="620"/>
        <v>1.3387615601125855</v>
      </c>
      <c r="K230" s="308">
        <f t="shared" si="620"/>
        <v>0.93698699330723578</v>
      </c>
      <c r="L230" s="308">
        <f t="shared" si="620"/>
        <v>1.2742039448240299</v>
      </c>
      <c r="M230" s="59"/>
      <c r="N230" s="308">
        <f>N17/N190</f>
        <v>1.3925246347264695</v>
      </c>
      <c r="O230" s="308">
        <f t="shared" ref="O230:P230" si="621">O17/O190</f>
        <v>1.3250864591646716</v>
      </c>
      <c r="P230" s="308">
        <f t="shared" si="621"/>
        <v>1.4248805063945227</v>
      </c>
      <c r="Q230" s="60">
        <v>1.0275014233753998</v>
      </c>
      <c r="R230" s="59"/>
      <c r="S230" s="60">
        <f>N230</f>
        <v>1.3925246347264695</v>
      </c>
      <c r="T230" s="60">
        <f t="shared" ref="T230:V230" si="622">O230</f>
        <v>1.3250864591646716</v>
      </c>
      <c r="U230" s="60">
        <f t="shared" si="622"/>
        <v>1.4248805063945227</v>
      </c>
      <c r="V230" s="60">
        <f t="shared" si="622"/>
        <v>1.0275014233753998</v>
      </c>
      <c r="W230" s="59"/>
      <c r="X230" s="60">
        <f>S230</f>
        <v>1.3925246347264695</v>
      </c>
      <c r="Y230" s="60">
        <f t="shared" ref="Y230:AA230" si="623">T230</f>
        <v>1.3250864591646716</v>
      </c>
      <c r="Z230" s="60">
        <f t="shared" si="623"/>
        <v>1.4248805063945227</v>
      </c>
      <c r="AA230" s="60">
        <f t="shared" si="623"/>
        <v>1.0275014233753998</v>
      </c>
      <c r="AB230" s="26"/>
      <c r="AC230" s="60">
        <f>X230</f>
        <v>1.3925246347264695</v>
      </c>
      <c r="AD230" s="60">
        <f t="shared" ref="AD230:AF230" si="624">Y230</f>
        <v>1.3250864591646716</v>
      </c>
      <c r="AE230" s="60">
        <f t="shared" si="624"/>
        <v>1.4248805063945227</v>
      </c>
      <c r="AF230" s="60">
        <f t="shared" si="624"/>
        <v>1.0275014233753998</v>
      </c>
      <c r="AG230" s="26"/>
      <c r="AH230" s="60">
        <f>AC230</f>
        <v>1.3925246347264695</v>
      </c>
      <c r="AI230" s="60">
        <f t="shared" ref="AI230:AK230" si="625">AD230</f>
        <v>1.3250864591646716</v>
      </c>
      <c r="AJ230" s="60">
        <f t="shared" si="625"/>
        <v>1.4248805063945227</v>
      </c>
      <c r="AK230" s="60">
        <f t="shared" si="625"/>
        <v>1.0275014233753998</v>
      </c>
      <c r="AL230" s="26"/>
      <c r="AM230" s="60">
        <f>AH230</f>
        <v>1.3925246347264695</v>
      </c>
      <c r="AN230" s="60">
        <f t="shared" ref="AN230:AP230" si="626">AI230</f>
        <v>1.3250864591646716</v>
      </c>
      <c r="AO230" s="60">
        <f t="shared" si="626"/>
        <v>1.4248805063945227</v>
      </c>
      <c r="AP230" s="60">
        <f t="shared" si="626"/>
        <v>1.0275014233753998</v>
      </c>
      <c r="AQ230" s="26"/>
    </row>
    <row r="231" spans="1:43" s="43" customFormat="1" outlineLevel="1" x14ac:dyDescent="0.25">
      <c r="A231" s="307"/>
      <c r="B231" s="605" t="s">
        <v>57</v>
      </c>
      <c r="C231" s="606"/>
      <c r="D231" s="47">
        <f t="shared" ref="D231:AA231" si="627">D227/D230</f>
        <v>57.276955602536987</v>
      </c>
      <c r="E231" s="47">
        <f t="shared" si="627"/>
        <v>64.547713717693838</v>
      </c>
      <c r="F231" s="276">
        <f t="shared" si="627"/>
        <v>62.768321513002363</v>
      </c>
      <c r="G231" s="276">
        <f t="shared" si="627"/>
        <v>65.765272259873825</v>
      </c>
      <c r="H231" s="309"/>
      <c r="I231" s="276">
        <f t="shared" si="627"/>
        <v>57.950456090144868</v>
      </c>
      <c r="J231" s="276">
        <f t="shared" si="627"/>
        <v>67.973269259648589</v>
      </c>
      <c r="K231" s="276">
        <f>K227/K230</f>
        <v>97.119811320754721</v>
      </c>
      <c r="L231" s="47">
        <f t="shared" si="627"/>
        <v>72.201942533387296</v>
      </c>
      <c r="M231" s="59"/>
      <c r="N231" s="47">
        <f t="shared" si="627"/>
        <v>66.067053828510083</v>
      </c>
      <c r="O231" s="47">
        <f t="shared" si="627"/>
        <v>67.920096366191515</v>
      </c>
      <c r="P231" s="47">
        <f t="shared" si="627"/>
        <v>63.865004533091565</v>
      </c>
      <c r="Q231" s="47">
        <f t="shared" si="627"/>
        <v>89.537588860728619</v>
      </c>
      <c r="R231" s="59"/>
      <c r="S231" s="47">
        <f t="shared" si="627"/>
        <v>66.067053828510083</v>
      </c>
      <c r="T231" s="47">
        <f t="shared" si="627"/>
        <v>67.920096366191515</v>
      </c>
      <c r="U231" s="47">
        <f t="shared" si="627"/>
        <v>63.865004533091565</v>
      </c>
      <c r="V231" s="47">
        <f t="shared" si="627"/>
        <v>89.537588860728619</v>
      </c>
      <c r="W231" s="59"/>
      <c r="X231" s="47">
        <f t="shared" si="627"/>
        <v>66.067053828510083</v>
      </c>
      <c r="Y231" s="47">
        <f t="shared" si="627"/>
        <v>67.920096366191515</v>
      </c>
      <c r="Z231" s="47">
        <f t="shared" si="627"/>
        <v>63.865004533091565</v>
      </c>
      <c r="AA231" s="47">
        <f t="shared" si="627"/>
        <v>89.537588860728619</v>
      </c>
      <c r="AB231" s="59"/>
      <c r="AC231" s="47">
        <f t="shared" ref="AC231:AF231" si="628">AC227/AC230</f>
        <v>66.067053828510083</v>
      </c>
      <c r="AD231" s="47">
        <f t="shared" si="628"/>
        <v>68.674764103593645</v>
      </c>
      <c r="AE231" s="47">
        <f t="shared" si="628"/>
        <v>63.865004533091565</v>
      </c>
      <c r="AF231" s="47">
        <f t="shared" si="628"/>
        <v>89.537588860728619</v>
      </c>
      <c r="AG231" s="59"/>
      <c r="AH231" s="47">
        <f t="shared" ref="AH231:AK231" si="629">AH227/AH230</f>
        <v>66.067053828510083</v>
      </c>
      <c r="AI231" s="47">
        <f t="shared" si="629"/>
        <v>67.920096366191515</v>
      </c>
      <c r="AJ231" s="47">
        <f t="shared" si="629"/>
        <v>63.865004533091565</v>
      </c>
      <c r="AK231" s="47">
        <f t="shared" si="629"/>
        <v>89.537588860728619</v>
      </c>
      <c r="AL231" s="59"/>
      <c r="AM231" s="47">
        <f t="shared" ref="AM231:AP231" si="630">AM227/AM230</f>
        <v>66.067053828510083</v>
      </c>
      <c r="AN231" s="47">
        <f t="shared" si="630"/>
        <v>67.920096366191515</v>
      </c>
      <c r="AO231" s="47">
        <f t="shared" si="630"/>
        <v>63.865004533091565</v>
      </c>
      <c r="AP231" s="47">
        <f t="shared" si="630"/>
        <v>89.537588860728619</v>
      </c>
      <c r="AQ231" s="59"/>
    </row>
    <row r="232" spans="1:43" s="43" customFormat="1" outlineLevel="1" x14ac:dyDescent="0.25">
      <c r="A232" s="307"/>
      <c r="B232" s="595" t="s">
        <v>58</v>
      </c>
      <c r="C232" s="596"/>
      <c r="D232" s="58">
        <f>D17/D203</f>
        <v>1.9771013175829171</v>
      </c>
      <c r="E232" s="58">
        <f t="shared" ref="E232:P232" si="631">E17/E203</f>
        <v>1.8345946931704202</v>
      </c>
      <c r="F232" s="308">
        <f t="shared" si="631"/>
        <v>1.9203771608171816</v>
      </c>
      <c r="G232" s="308">
        <f t="shared" si="631"/>
        <v>1.7983525258468513</v>
      </c>
      <c r="H232" s="310"/>
      <c r="I232" s="308">
        <f t="shared" si="631"/>
        <v>2.0600589535740608</v>
      </c>
      <c r="J232" s="308">
        <f t="shared" si="631"/>
        <v>2.0023053021950488</v>
      </c>
      <c r="K232" s="308">
        <f t="shared" si="631"/>
        <v>1.7239776951672863</v>
      </c>
      <c r="L232" s="308">
        <f t="shared" si="631"/>
        <v>1.9809600160336707</v>
      </c>
      <c r="M232" s="234"/>
      <c r="N232" s="308">
        <f t="shared" si="631"/>
        <v>1.9504092899295642</v>
      </c>
      <c r="O232" s="308">
        <f t="shared" si="631"/>
        <v>1.9276315789473686</v>
      </c>
      <c r="P232" s="308">
        <f t="shared" si="631"/>
        <v>1.9574090505767525</v>
      </c>
      <c r="Q232" s="60">
        <f>AVERAGE(G232,L232)</f>
        <v>1.8896562709402609</v>
      </c>
      <c r="R232" s="234"/>
      <c r="S232" s="60">
        <f>AVERAGE(I232,N232)</f>
        <v>2.0052341217518124</v>
      </c>
      <c r="T232" s="60">
        <f t="shared" ref="T232:U232" si="632">AVERAGE(J232,O232)</f>
        <v>1.9649684405712087</v>
      </c>
      <c r="U232" s="60">
        <f t="shared" si="632"/>
        <v>1.8406933728720194</v>
      </c>
      <c r="V232" s="60">
        <f>AVERAGE(L232,Q232)</f>
        <v>1.9353081434869659</v>
      </c>
      <c r="W232" s="234"/>
      <c r="X232" s="60">
        <f>AVERAGE(N232,S232)</f>
        <v>1.9778217058406882</v>
      </c>
      <c r="Y232" s="60">
        <f t="shared" ref="Y232:AA232" si="633">AVERAGE(O232,T232)</f>
        <v>1.9463000097592886</v>
      </c>
      <c r="Z232" s="60">
        <f t="shared" si="633"/>
        <v>1.8990512117243861</v>
      </c>
      <c r="AA232" s="60">
        <f t="shared" si="633"/>
        <v>1.9124822072136134</v>
      </c>
      <c r="AB232" s="59"/>
      <c r="AC232" s="60">
        <f>AVERAGE(S232,X232)</f>
        <v>1.9915279137962503</v>
      </c>
      <c r="AD232" s="60">
        <f t="shared" ref="AD232:AF232" si="634">AVERAGE(T232,Y232)</f>
        <v>1.9556342251652485</v>
      </c>
      <c r="AE232" s="60">
        <f t="shared" si="634"/>
        <v>1.8698722922982027</v>
      </c>
      <c r="AF232" s="60">
        <f t="shared" si="634"/>
        <v>1.9238951753502898</v>
      </c>
      <c r="AG232" s="59"/>
      <c r="AH232" s="60">
        <f>AVERAGE(X232,AC232)</f>
        <v>1.9846748098184692</v>
      </c>
      <c r="AI232" s="60">
        <f t="shared" ref="AI232:AK232" si="635">AVERAGE(Y232,AD232)</f>
        <v>1.9509671174622687</v>
      </c>
      <c r="AJ232" s="60">
        <f t="shared" si="635"/>
        <v>1.8844617520112945</v>
      </c>
      <c r="AK232" s="60">
        <f t="shared" si="635"/>
        <v>1.9181886912819515</v>
      </c>
      <c r="AL232" s="59"/>
      <c r="AM232" s="60">
        <f>AVERAGE(AC232,AH232)</f>
        <v>1.9881013618073597</v>
      </c>
      <c r="AN232" s="60">
        <f t="shared" ref="AN232:AP232" si="636">AVERAGE(AD232,AI232)</f>
        <v>1.9533006713137586</v>
      </c>
      <c r="AO232" s="60">
        <f t="shared" si="636"/>
        <v>1.8771670221547487</v>
      </c>
      <c r="AP232" s="60">
        <f t="shared" si="636"/>
        <v>1.9210419333161206</v>
      </c>
      <c r="AQ232" s="59"/>
    </row>
    <row r="233" spans="1:43" s="43" customFormat="1" outlineLevel="1" x14ac:dyDescent="0.25">
      <c r="A233" s="307"/>
      <c r="B233" s="605" t="s">
        <v>22</v>
      </c>
      <c r="C233" s="606"/>
      <c r="D233" s="34">
        <f>D227/D232</f>
        <v>46.532769556025364</v>
      </c>
      <c r="E233" s="34">
        <f>E227/E232</f>
        <v>49.057157057654081</v>
      </c>
      <c r="F233" s="256">
        <f>F227/F232</f>
        <v>47.386524822695037</v>
      </c>
      <c r="G233" s="256">
        <f>G227/G232</f>
        <v>51.157934096751603</v>
      </c>
      <c r="H233" s="311"/>
      <c r="I233" s="256">
        <f>I227/I232</f>
        <v>44.658916115185114</v>
      </c>
      <c r="J233" s="256">
        <f>J227/J232</f>
        <v>45.447614756970509</v>
      </c>
      <c r="K233" s="256">
        <f>K227/K232</f>
        <v>52.784905660377355</v>
      </c>
      <c r="L233" s="34">
        <f>L227/L232</f>
        <v>46.44212869283691</v>
      </c>
      <c r="M233" s="54"/>
      <c r="N233" s="34">
        <f>N227/N232</f>
        <v>47.169586647796592</v>
      </c>
      <c r="O233" s="34">
        <f>O227/O232</f>
        <v>46.689419795221838</v>
      </c>
      <c r="P233" s="34">
        <f>P227/P232</f>
        <v>46.490027198549406</v>
      </c>
      <c r="Q233" s="34">
        <f>Q227/Q232</f>
        <v>48.686103083828236</v>
      </c>
      <c r="R233" s="54"/>
      <c r="S233" s="34">
        <f>S227/S232</f>
        <v>45.879929431694976</v>
      </c>
      <c r="T233" s="34">
        <f>T227/T232</f>
        <v>45.80226233752505</v>
      </c>
      <c r="U233" s="34">
        <f>U227/U232</f>
        <v>49.437891905925326</v>
      </c>
      <c r="V233" s="34">
        <f>V227/V232</f>
        <v>47.53764939687477</v>
      </c>
      <c r="W233" s="54"/>
      <c r="X233" s="34">
        <f>X227/X232</f>
        <v>46.515820778139705</v>
      </c>
      <c r="Y233" s="34">
        <f>Y227/Y232</f>
        <v>46.24158636834764</v>
      </c>
      <c r="Z233" s="34">
        <f>Z227/Z232</f>
        <v>47.918665614799153</v>
      </c>
      <c r="AA233" s="34">
        <f>AA227/AA232</f>
        <v>48.105022704519271</v>
      </c>
      <c r="AB233" s="54"/>
      <c r="AC233" s="34">
        <f>AC227/AC232</f>
        <v>46.195686920917723</v>
      </c>
      <c r="AD233" s="34">
        <f>AD227/AD232</f>
        <v>46.532218974798631</v>
      </c>
      <c r="AE233" s="34">
        <f>AE227/AE232</f>
        <v>48.666425175034114</v>
      </c>
      <c r="AF233" s="34">
        <f>AF227/AF232</f>
        <v>47.819653159247238</v>
      </c>
      <c r="AG233" s="54"/>
      <c r="AH233" s="34">
        <f>AH227/AH232</f>
        <v>46.355201136661222</v>
      </c>
      <c r="AI233" s="34">
        <f>AI227/AI232</f>
        <v>46.130967146728743</v>
      </c>
      <c r="AJ233" s="34">
        <f>AJ227/AJ232</f>
        <v>48.28965082622414</v>
      </c>
      <c r="AK233" s="34">
        <f>AK227/AK232</f>
        <v>47.96191345415302</v>
      </c>
      <c r="AL233" s="54"/>
      <c r="AM233" s="34">
        <f>AM227/AM232</f>
        <v>46.275306565035436</v>
      </c>
      <c r="AN233" s="34">
        <f>AN227/AN232</f>
        <v>46.075855766469097</v>
      </c>
      <c r="AO233" s="34">
        <f>AO227/AO232</f>
        <v>48.477305922167538</v>
      </c>
      <c r="AP233" s="34">
        <f>AP227/AP232</f>
        <v>47.890677660111635</v>
      </c>
      <c r="AQ233" s="54"/>
    </row>
    <row r="234" spans="1:43" s="43" customFormat="1" outlineLevel="1" x14ac:dyDescent="0.25">
      <c r="A234" s="307"/>
      <c r="B234" s="595" t="s">
        <v>234</v>
      </c>
      <c r="C234" s="596"/>
      <c r="D234" s="56">
        <f>(D193+D188)/D201</f>
        <v>2.4783172266068774E-2</v>
      </c>
      <c r="E234" s="56">
        <f>(E193+E188)/E201</f>
        <v>1.862044337628033E-2</v>
      </c>
      <c r="F234" s="285">
        <f t="shared" ref="F234:L234" si="637">(F193+F188)/F201</f>
        <v>1.4104190097872643E-2</v>
      </c>
      <c r="G234" s="285">
        <f t="shared" si="637"/>
        <v>1.5114935950133718E-2</v>
      </c>
      <c r="H234" s="311">
        <f t="shared" si="637"/>
        <v>1.5114935950133718E-2</v>
      </c>
      <c r="I234" s="285">
        <f t="shared" si="637"/>
        <v>9.6713821566244626E-3</v>
      </c>
      <c r="J234" s="285">
        <f t="shared" si="637"/>
        <v>9.1597553031598795E-3</v>
      </c>
      <c r="K234" s="285">
        <f t="shared" si="637"/>
        <v>1.5555616562459249E-2</v>
      </c>
      <c r="L234" s="285">
        <f t="shared" si="637"/>
        <v>1.6589218539890038E-2</v>
      </c>
      <c r="M234" s="54"/>
      <c r="N234" s="285">
        <f t="shared" ref="N234:P234" si="638">(N193+N188)/N201</f>
        <v>1.4228367975494099E-2</v>
      </c>
      <c r="O234" s="285">
        <f t="shared" si="638"/>
        <v>1.4373528458035493E-2</v>
      </c>
      <c r="P234" s="285">
        <f t="shared" si="638"/>
        <v>1.4910030939586384E-2</v>
      </c>
      <c r="Q234" s="64">
        <f>AVERAGE(L234,N234,O234,P234)</f>
        <v>1.5025286478251505E-2</v>
      </c>
      <c r="R234" s="54"/>
      <c r="S234" s="64">
        <f>AVERAGE(N234,O234,P234,Q234)</f>
        <v>1.463430346284187E-2</v>
      </c>
      <c r="T234" s="64">
        <f>AVERAGE(O234,P234,Q234,S234)</f>
        <v>1.4735787334678813E-2</v>
      </c>
      <c r="U234" s="64">
        <f>AVERAGE(P234,Q234,S234,T234)</f>
        <v>1.4826352053839642E-2</v>
      </c>
      <c r="V234" s="64">
        <f>AVERAGE(Q234,S234,T234,U234)</f>
        <v>1.4805432332402958E-2</v>
      </c>
      <c r="W234" s="54"/>
      <c r="X234" s="64">
        <f>AVERAGE(S234,T234,U234,V234)</f>
        <v>1.4750468795940821E-2</v>
      </c>
      <c r="Y234" s="64">
        <f>AVERAGE(T234,U234,V234,X234)</f>
        <v>1.4779510129215559E-2</v>
      </c>
      <c r="Z234" s="64">
        <f>AVERAGE(U234,V234,X234,Y234)</f>
        <v>1.4790440827849746E-2</v>
      </c>
      <c r="AA234" s="64">
        <f>AVERAGE(V234,X234,Y234,Z234)</f>
        <v>1.4781463021352272E-2</v>
      </c>
      <c r="AB234" s="54"/>
      <c r="AC234" s="64">
        <f>AVERAGE(X234,Y234,Z234,AA234)</f>
        <v>1.4775470693589601E-2</v>
      </c>
      <c r="AD234" s="64">
        <f>AVERAGE(Y234,Z234,AA234,AC234)</f>
        <v>1.4781721168001794E-2</v>
      </c>
      <c r="AE234" s="64">
        <f>AVERAGE(Z234,AA234,AC234,AD234)</f>
        <v>1.4782273927698354E-2</v>
      </c>
      <c r="AF234" s="64">
        <f>AVERAGE(AA234,AC234,AD234,AE234)</f>
        <v>1.4780232202660505E-2</v>
      </c>
      <c r="AG234" s="54"/>
      <c r="AH234" s="64">
        <f>AVERAGE(AC234,AD234,AE234,AF234)</f>
        <v>1.4779924497987564E-2</v>
      </c>
      <c r="AI234" s="64">
        <f>AVERAGE(AD234,AE234,AF234,AH234)</f>
        <v>1.4781037949087056E-2</v>
      </c>
      <c r="AJ234" s="64">
        <f>AVERAGE(AE234,AF234,AH234,AI234)</f>
        <v>1.4780867144358369E-2</v>
      </c>
      <c r="AK234" s="64">
        <f>AVERAGE(AF234,AH234,AI234,AJ234)</f>
        <v>1.4780515448523374E-2</v>
      </c>
      <c r="AL234" s="54"/>
      <c r="AM234" s="64">
        <f>AVERAGE(AH234,AI234,AJ234,AK234)</f>
        <v>1.4780586259989089E-2</v>
      </c>
      <c r="AN234" s="64">
        <f>AVERAGE(AI234,AJ234,AK234,AM234)</f>
        <v>1.4780751700489472E-2</v>
      </c>
      <c r="AO234" s="64">
        <f>AVERAGE(AJ234,AK234,AM234,AN234)</f>
        <v>1.4780680138340076E-2</v>
      </c>
      <c r="AP234" s="64">
        <f>AVERAGE(AK234,AM234,AN234,AO234)</f>
        <v>1.4780633386835502E-2</v>
      </c>
      <c r="AQ234" s="54"/>
    </row>
    <row r="235" spans="1:43" s="43" customFormat="1" outlineLevel="1" x14ac:dyDescent="0.25">
      <c r="A235" s="307"/>
      <c r="B235" s="550" t="s">
        <v>233</v>
      </c>
      <c r="C235" s="540"/>
      <c r="D235" s="56">
        <f>D188/(D188+D193)</f>
        <v>0.4648626817447496</v>
      </c>
      <c r="E235" s="56">
        <f>E188/(E188+E193)</f>
        <v>0.23318112633181123</v>
      </c>
      <c r="F235" s="285">
        <f t="shared" ref="F235:L235" si="639">F188/(F188+F193)</f>
        <v>0.24465558194774345</v>
      </c>
      <c r="G235" s="285">
        <f t="shared" si="639"/>
        <v>0.24268502581755594</v>
      </c>
      <c r="H235" s="311">
        <f t="shared" si="639"/>
        <v>0.24268502581755594</v>
      </c>
      <c r="I235" s="285">
        <f t="shared" si="639"/>
        <v>0.25503355704697983</v>
      </c>
      <c r="J235" s="285">
        <f t="shared" si="639"/>
        <v>0.21017083829956296</v>
      </c>
      <c r="K235" s="285">
        <f t="shared" si="639"/>
        <v>0.50716964482682547</v>
      </c>
      <c r="L235" s="285">
        <f t="shared" si="639"/>
        <v>0.57705725425815724</v>
      </c>
      <c r="M235" s="54"/>
      <c r="N235" s="285">
        <f t="shared" ref="N235:P235" si="640">N188/(N188+N193)</f>
        <v>0.55229831144465291</v>
      </c>
      <c r="O235" s="285">
        <f t="shared" si="640"/>
        <v>0.30161844041196662</v>
      </c>
      <c r="P235" s="285">
        <f t="shared" si="640"/>
        <v>0.34948805460750854</v>
      </c>
      <c r="Q235" s="64">
        <f>AVERAGE(L235,N235,O235,P235)</f>
        <v>0.44511551518057135</v>
      </c>
      <c r="R235" s="54"/>
      <c r="S235" s="64">
        <f>AVERAGE(N235,O235,P235,Q235)</f>
        <v>0.41213008041117483</v>
      </c>
      <c r="T235" s="64">
        <f>AVERAGE(O235,P235,Q235,S235)</f>
        <v>0.37708802265280539</v>
      </c>
      <c r="U235" s="64">
        <f>AVERAGE(P235,Q235,S235,T235)</f>
        <v>0.39595541821301505</v>
      </c>
      <c r="V235" s="64">
        <f>AVERAGE(Q235,S235,T235,U235)</f>
        <v>0.40757225911439166</v>
      </c>
      <c r="W235" s="54"/>
      <c r="X235" s="64">
        <f>AVERAGE(S235,T235,U235,V235)</f>
        <v>0.39818644509784673</v>
      </c>
      <c r="Y235" s="64">
        <f>AVERAGE(T235,U235,V235,X235)</f>
        <v>0.39470053626951468</v>
      </c>
      <c r="Z235" s="64">
        <f>AVERAGE(U235,V235,X235,Y235)</f>
        <v>0.39910366467369202</v>
      </c>
      <c r="AA235" s="64">
        <f>AVERAGE(V235,X235,Y235,Z235)</f>
        <v>0.3998907262888613</v>
      </c>
      <c r="AB235" s="54"/>
      <c r="AC235" s="64">
        <f>AVERAGE(X235,Y235,Z235,AA235)</f>
        <v>0.39797034308247869</v>
      </c>
      <c r="AD235" s="64">
        <f>AVERAGE(Y235,Z235,AA235,AC235)</f>
        <v>0.39791631757863666</v>
      </c>
      <c r="AE235" s="64">
        <f>AVERAGE(Z235,AA235,AC235,AD235)</f>
        <v>0.39872026290591717</v>
      </c>
      <c r="AF235" s="64">
        <f>AVERAGE(AA235,AC235,AD235,AE235)</f>
        <v>0.39862441246397345</v>
      </c>
      <c r="AG235" s="54"/>
      <c r="AH235" s="64">
        <f>AVERAGE(AC235,AD235,AE235,AF235)</f>
        <v>0.39830783400775149</v>
      </c>
      <c r="AI235" s="64">
        <f>AVERAGE(AD235,AE235,AF235,AH235)</f>
        <v>0.39839220673906972</v>
      </c>
      <c r="AJ235" s="64">
        <f>AVERAGE(AE235,AF235,AH235,AI235)</f>
        <v>0.39851117902917799</v>
      </c>
      <c r="AK235" s="64">
        <f>AVERAGE(AF235,AH235,AI235,AJ235)</f>
        <v>0.39845890805999318</v>
      </c>
      <c r="AL235" s="54"/>
      <c r="AM235" s="64">
        <f>AVERAGE(AH235,AI235,AJ235,AK235)</f>
        <v>0.39841753195899809</v>
      </c>
      <c r="AN235" s="64">
        <f>AVERAGE(AI235,AJ235,AK235,AM235)</f>
        <v>0.39844495644680977</v>
      </c>
      <c r="AO235" s="64">
        <f>AVERAGE(AJ235,AK235,AM235,AN235)</f>
        <v>0.39845814387374479</v>
      </c>
      <c r="AP235" s="64">
        <f>AVERAGE(AK235,AM235,AN235,AO235)</f>
        <v>0.3984448850848864</v>
      </c>
      <c r="AQ235" s="54"/>
    </row>
    <row r="236" spans="1:43" s="43" customFormat="1" outlineLevel="1" x14ac:dyDescent="0.25">
      <c r="A236" s="307"/>
      <c r="B236" s="539" t="s">
        <v>235</v>
      </c>
      <c r="C236" s="540"/>
      <c r="D236" s="56">
        <f>+(D209+D212)/D222</f>
        <v>-3.1717034875642636</v>
      </c>
      <c r="E236" s="56">
        <f>+(E209+E212)/E222</f>
        <v>-1.8304138862408643</v>
      </c>
      <c r="F236" s="285">
        <f>+(F209+F212)/F222</f>
        <v>-2.5837230840472332</v>
      </c>
      <c r="G236" s="285">
        <f>+(G209+G212)/G222</f>
        <v>-1.7921681913015568</v>
      </c>
      <c r="H236" s="311"/>
      <c r="I236" s="285">
        <f>+(I209+I212)/I222</f>
        <v>-1.7235726649997785</v>
      </c>
      <c r="J236" s="285">
        <f>+(J209+J212)/J222</f>
        <v>-1.8605318005017988</v>
      </c>
      <c r="K236" s="285">
        <f>+(K209+K212)/K222</f>
        <v>-1.9516598448569742</v>
      </c>
      <c r="L236" s="56">
        <f>+(L209+L212)/L222</f>
        <v>-2.0960971356771032</v>
      </c>
      <c r="M236" s="54"/>
      <c r="N236" s="56">
        <f>+(N209+N212)/N222</f>
        <v>-2.0136766194331983</v>
      </c>
      <c r="O236" s="56">
        <f>+(O209+O212)/O222</f>
        <v>-1.9152752899337104</v>
      </c>
      <c r="P236" s="56">
        <f>+(P209+P212)/P222</f>
        <v>-2.1515240716482933</v>
      </c>
      <c r="Q236" s="56">
        <f>+(Q209+Q212)/Q222</f>
        <v>-2.3618512248231203</v>
      </c>
      <c r="R236" s="54"/>
      <c r="S236" s="56">
        <f t="shared" ref="S236:AA236" si="641">+(S209+S212)/S222</f>
        <v>-2.3045269222909517</v>
      </c>
      <c r="T236" s="56">
        <f t="shared" si="641"/>
        <v>-2.2029435345745658</v>
      </c>
      <c r="U236" s="56">
        <f t="shared" si="641"/>
        <v>-2.2034883606759461</v>
      </c>
      <c r="V236" s="56">
        <f t="shared" si="641"/>
        <v>-2.2486555465483824</v>
      </c>
      <c r="W236" s="54">
        <f t="shared" si="641"/>
        <v>-2.2486555465483824</v>
      </c>
      <c r="X236" s="56">
        <f t="shared" si="641"/>
        <v>-2.2948577317878374</v>
      </c>
      <c r="Y236" s="56">
        <f t="shared" si="641"/>
        <v>-2.3001350146097042</v>
      </c>
      <c r="Z236" s="56">
        <f t="shared" si="641"/>
        <v>-2.3702258732258721</v>
      </c>
      <c r="AA236" s="56">
        <f t="shared" si="641"/>
        <v>-2.5045485501975029</v>
      </c>
      <c r="AB236" s="54"/>
      <c r="AC236" s="56">
        <f>+(AC209+AC212)/AC222</f>
        <v>-2.7687744989274847</v>
      </c>
      <c r="AD236" s="56">
        <f>+(AD209+AD212)/AD222</f>
        <v>-3.0238854890329638</v>
      </c>
      <c r="AE236" s="56">
        <f>+(AE209+AE212)/AE222</f>
        <v>-3.5201358757893071</v>
      </c>
      <c r="AF236" s="56">
        <f>+(AF209+AF212)/AF222</f>
        <v>-4.5613091712566982</v>
      </c>
      <c r="AG236" s="54"/>
      <c r="AH236" s="56">
        <f>+(AH209+AH212)/AH222</f>
        <v>-6.6618830606019594</v>
      </c>
      <c r="AI236" s="56">
        <f>+(AI209+AI212)/AI222</f>
        <v>-11.353148018267028</v>
      </c>
      <c r="AJ236" s="56">
        <f>+(AJ209+AJ212)/AJ222</f>
        <v>-173.32087003162695</v>
      </c>
      <c r="AK236" s="56">
        <f>+(AK209+AK212)/AK222</f>
        <v>10.726403224726528</v>
      </c>
      <c r="AL236" s="54"/>
      <c r="AM236" s="56">
        <f>+(AM209+AM212)/AM222</f>
        <v>5.1001460661855651</v>
      </c>
      <c r="AN236" s="56">
        <f>+(AN209+AN212)/AN222</f>
        <v>3.4207819372906494</v>
      </c>
      <c r="AO236" s="56">
        <f>+(AO209+AO212)/AO222</f>
        <v>2.4074483000974376</v>
      </c>
      <c r="AP236" s="56">
        <f>+(AP209+AP212)/AP222</f>
        <v>1.7717086424230484</v>
      </c>
      <c r="AQ236" s="54"/>
    </row>
    <row r="237" spans="1:43" s="43" customFormat="1" outlineLevel="1" x14ac:dyDescent="0.25">
      <c r="A237" s="307"/>
      <c r="B237" s="550" t="s">
        <v>236</v>
      </c>
      <c r="C237" s="540"/>
      <c r="D237" s="56">
        <f>+D209/(D209+D212)</f>
        <v>0</v>
      </c>
      <c r="E237" s="56">
        <f>+E209/(E209+E212)</f>
        <v>8.1375793413985785E-3</v>
      </c>
      <c r="F237" s="285">
        <f>+F209/(F209+F212)</f>
        <v>0</v>
      </c>
      <c r="G237" s="285">
        <f>+G209/(G209+G212)</f>
        <v>0</v>
      </c>
      <c r="H237" s="311"/>
      <c r="I237" s="285">
        <f>+I209/(I209+I212)</f>
        <v>8.5546532987690757E-2</v>
      </c>
      <c r="J237" s="285">
        <f>+J209/(J209+J212)</f>
        <v>0.16813887778982817</v>
      </c>
      <c r="K237" s="285">
        <f>+K209/(K209+K212)</f>
        <v>0.12987992894360045</v>
      </c>
      <c r="L237" s="56">
        <f>+L209/(L209+L212)</f>
        <v>0.10329514383758555</v>
      </c>
      <c r="M237" s="54"/>
      <c r="N237" s="56">
        <f>+N209/(N209+N212)</f>
        <v>7.8071889470410452E-2</v>
      </c>
      <c r="O237" s="56">
        <f>+O209/(O209+O212)</f>
        <v>1.2492661414742708E-3</v>
      </c>
      <c r="P237" s="56">
        <f>+P209/(P209+P212)</f>
        <v>6.8333093904132544E-2</v>
      </c>
      <c r="Q237" s="56">
        <f>+Q209/(Q209+Q212)</f>
        <v>5.2122410061177189E-2</v>
      </c>
      <c r="R237" s="54"/>
      <c r="S237" s="56">
        <f t="shared" ref="S237:AA237" si="642">+S209/(S209+S212)</f>
        <v>9.0055595214917697E-2</v>
      </c>
      <c r="T237" s="56">
        <f t="shared" si="642"/>
        <v>5.6021424136563913E-2</v>
      </c>
      <c r="U237" s="56">
        <f t="shared" si="642"/>
        <v>1.9418607361820179E-2</v>
      </c>
      <c r="V237" s="56">
        <f t="shared" si="642"/>
        <v>-7.9244954077477032E-6</v>
      </c>
      <c r="W237" s="54">
        <f t="shared" si="642"/>
        <v>-7.9244954077477032E-6</v>
      </c>
      <c r="X237" s="56">
        <f t="shared" si="642"/>
        <v>6.0626884736965508E-2</v>
      </c>
      <c r="Y237" s="56">
        <f t="shared" si="642"/>
        <v>4.1248937627381577E-2</v>
      </c>
      <c r="Z237" s="56">
        <f t="shared" si="642"/>
        <v>2.1054671373566664E-2</v>
      </c>
      <c r="AA237" s="56">
        <f t="shared" si="642"/>
        <v>-8.6065185771625215E-6</v>
      </c>
      <c r="AB237" s="54"/>
      <c r="AC237" s="56">
        <f>+AC209/(AC209+AC212)</f>
        <v>0.10277759275294744</v>
      </c>
      <c r="AD237" s="56">
        <f>+AD209/(AD209+AD212)</f>
        <v>7.0949052786463129E-2</v>
      </c>
      <c r="AE237" s="56">
        <f>+AE209/(AE209+AE212)</f>
        <v>3.6779252973565657E-2</v>
      </c>
      <c r="AF237" s="56">
        <f>+AF209/(AF209+AF212)</f>
        <v>0</v>
      </c>
      <c r="AG237" s="54"/>
      <c r="AH237" s="56">
        <f>+AH209/(AH209+AH212)</f>
        <v>9.5760980592441272E-2</v>
      </c>
      <c r="AI237" s="56">
        <f>+AI209/(AI209+AI212)</f>
        <v>6.594566077552097E-2</v>
      </c>
      <c r="AJ237" s="56">
        <f>+AJ209/(AJ209+AJ212)</f>
        <v>3.4097108565193671E-2</v>
      </c>
      <c r="AK237" s="56">
        <f>+AK209/(AK209+AK212)</f>
        <v>0</v>
      </c>
      <c r="AL237" s="54"/>
      <c r="AM237" s="56">
        <f>+AM209/(AM209+AM212)</f>
        <v>0.10977751756440281</v>
      </c>
      <c r="AN237" s="56">
        <f>+AN209/(AN209+AN212)</f>
        <v>7.5964752354907322E-2</v>
      </c>
      <c r="AO237" s="56">
        <f>+AO209/(AO209+AO212)</f>
        <v>3.9481996209728365E-2</v>
      </c>
      <c r="AP237" s="56">
        <f>+AP209/(AP209+AP212)</f>
        <v>0</v>
      </c>
      <c r="AQ237" s="54"/>
    </row>
    <row r="238" spans="1:43" s="43" customFormat="1" outlineLevel="1" x14ac:dyDescent="0.25">
      <c r="A238" s="307"/>
      <c r="B238" s="539" t="s">
        <v>230</v>
      </c>
      <c r="C238" s="540"/>
      <c r="D238" s="56">
        <f>+D197/(D208+D214)</f>
        <v>7.7585075018799465E-2</v>
      </c>
      <c r="E238" s="56">
        <f>+E197/(E208+E214)</f>
        <v>0.12468259571674534</v>
      </c>
      <c r="F238" s="277">
        <f t="shared" ref="F238:L238" si="643">+F197/(F208+F214)</f>
        <v>0.19119242713361023</v>
      </c>
      <c r="G238" s="277">
        <f t="shared" si="643"/>
        <v>0.22035590386103276</v>
      </c>
      <c r="H238" s="306">
        <f t="shared" si="643"/>
        <v>0.22035590386103276</v>
      </c>
      <c r="I238" s="305">
        <f t="shared" si="643"/>
        <v>0.20507171706404201</v>
      </c>
      <c r="J238" s="305">
        <f t="shared" si="643"/>
        <v>0.21050752296288999</v>
      </c>
      <c r="K238" s="277">
        <f t="shared" si="643"/>
        <v>0.2146584586535733</v>
      </c>
      <c r="L238" s="277">
        <f t="shared" si="643"/>
        <v>0.22220980757293607</v>
      </c>
      <c r="M238" s="79"/>
      <c r="N238" s="305">
        <f t="shared" ref="N238:P238" si="644">+N197/(N208+N214)</f>
        <v>0.21164495979407008</v>
      </c>
      <c r="O238" s="305">
        <f t="shared" si="644"/>
        <v>0.21706605185058006</v>
      </c>
      <c r="P238" s="277">
        <f t="shared" si="644"/>
        <v>0.22796408734312845</v>
      </c>
      <c r="Q238" s="65">
        <f>AVERAGE(L238,N238,O238,P238)</f>
        <v>0.21972122664017865</v>
      </c>
      <c r="R238" s="79"/>
      <c r="S238" s="51">
        <f>AVERAGE(N238,O238,P238,Q238)</f>
        <v>0.2190990814069893</v>
      </c>
      <c r="T238" s="51">
        <f>AVERAGE(O238,P238,Q238,S238)</f>
        <v>0.22096261181021912</v>
      </c>
      <c r="U238" s="65">
        <f>AVERAGE(P238,Q238,S238,T238)</f>
        <v>0.2219367518001289</v>
      </c>
      <c r="V238" s="65">
        <f>AVERAGE(Q238,S238,T238,U238)</f>
        <v>0.22042991791437899</v>
      </c>
      <c r="W238" s="79"/>
      <c r="X238" s="51">
        <f>AVERAGE(S238,T238,U238,V238)</f>
        <v>0.22060709073292906</v>
      </c>
      <c r="Y238" s="51">
        <f>AVERAGE(T238,U238,V238,X238)</f>
        <v>0.22098409306441399</v>
      </c>
      <c r="Z238" s="65">
        <f>AVERAGE(U238,V238,X238,Y238)</f>
        <v>0.22098946337796274</v>
      </c>
      <c r="AA238" s="161">
        <f>AVERAGE(V238,X238,Y238,Z238)</f>
        <v>0.2207526412724212</v>
      </c>
      <c r="AB238" s="54"/>
      <c r="AC238" s="51">
        <f>AVERAGE(X238,Y238,Z238,AA238)</f>
        <v>0.22083332211193177</v>
      </c>
      <c r="AD238" s="51">
        <f>AVERAGE(Y238,Z238,AA238,AC238)</f>
        <v>0.22088987995668241</v>
      </c>
      <c r="AE238" s="65">
        <f>AVERAGE(Z238,AA238,AC238,AD238)</f>
        <v>0.22086632667974954</v>
      </c>
      <c r="AF238" s="161">
        <f>AVERAGE(AA238,AC238,AD238,AE238)</f>
        <v>0.22083554250519621</v>
      </c>
      <c r="AG238" s="54"/>
      <c r="AH238" s="51">
        <f>AVERAGE(AC238,AD238,AE238,AF238)</f>
        <v>0.22085626781338996</v>
      </c>
      <c r="AI238" s="51">
        <f>AVERAGE(AD238,AE238,AF238,AH238)</f>
        <v>0.22086200423875454</v>
      </c>
      <c r="AJ238" s="65">
        <f>AVERAGE(AE238,AF238,AH238,AI238)</f>
        <v>0.22085503530927258</v>
      </c>
      <c r="AK238" s="161">
        <f>AVERAGE(AF238,AH238,AI238,AJ238)</f>
        <v>0.22085221246665332</v>
      </c>
      <c r="AL238" s="54"/>
      <c r="AM238" s="51">
        <f>AVERAGE(AH238,AI238,AJ238,AK238)</f>
        <v>0.2208563799570176</v>
      </c>
      <c r="AN238" s="51">
        <f>AVERAGE(AI238,AJ238,AK238,AM238)</f>
        <v>0.2208564079929245</v>
      </c>
      <c r="AO238" s="65">
        <f>AVERAGE(AJ238,AK238,AM238,AN238)</f>
        <v>0.22085500893146701</v>
      </c>
      <c r="AP238" s="161">
        <f>AVERAGE(AK238,AM238,AN238,AO238)</f>
        <v>0.2208550023370156</v>
      </c>
      <c r="AQ238" s="54"/>
    </row>
    <row r="239" spans="1:43" outlineLevel="1" x14ac:dyDescent="0.25">
      <c r="A239" s="254"/>
      <c r="B239" s="543" t="s">
        <v>70</v>
      </c>
      <c r="C239" s="544"/>
      <c r="D239" s="235"/>
      <c r="E239" s="235">
        <f>+E245/((E195+D195)/2)</f>
        <v>6.122482504846076E-2</v>
      </c>
      <c r="F239" s="312">
        <f t="shared" ref="F239:H239" si="645">+F245/((F195+E195)/2)</f>
        <v>5.8442138063667992E-2</v>
      </c>
      <c r="G239" s="312">
        <f t="shared" si="645"/>
        <v>5.7957922263164152E-2</v>
      </c>
      <c r="H239" s="313">
        <f t="shared" si="645"/>
        <v>0.2253370026587061</v>
      </c>
      <c r="I239" s="314">
        <f>+I245/((I195+G195)/2)</f>
        <v>5.75858250276855E-2</v>
      </c>
      <c r="J239" s="314">
        <f>+J245/((J195+I195)/2)</f>
        <v>5.9117695395957084E-2</v>
      </c>
      <c r="K239" s="312">
        <f>+K245/((K195+J195)/2)</f>
        <v>5.9467301657388859E-2</v>
      </c>
      <c r="L239" s="312">
        <f t="shared" ref="L239" si="646">+L245/((L195+K195)/2)</f>
        <v>6.0492940894950963E-2</v>
      </c>
      <c r="M239" s="104"/>
      <c r="N239" s="314">
        <f>+N245/((N195+L195)/2)</f>
        <v>6.2547808652661588E-2</v>
      </c>
      <c r="O239" s="314">
        <f>+O245/((O195+N195)/2)</f>
        <v>6.251524266319812E-2</v>
      </c>
      <c r="P239" s="312">
        <f>+P245/((P195+O195)/2)</f>
        <v>6.0825288199111989E-2</v>
      </c>
      <c r="Q239" s="149">
        <f>AVERAGE(L239,N239,O239,P239)</f>
        <v>6.1595320102480658E-2</v>
      </c>
      <c r="R239" s="104"/>
      <c r="S239" s="150">
        <f>AVERAGE(N239,O239,P239,Q239)</f>
        <v>6.1870914904363083E-2</v>
      </c>
      <c r="T239" s="150">
        <f>AVERAGE(O239,P239,Q239,S239)</f>
        <v>6.1701691467288461E-2</v>
      </c>
      <c r="U239" s="149">
        <f>AVERAGE(P239,Q239,S239,T239)</f>
        <v>6.149830366831105E-2</v>
      </c>
      <c r="V239" s="149">
        <f>AVERAGE(Q239,S239,T239,U239)</f>
        <v>6.1666557535610816E-2</v>
      </c>
      <c r="W239" s="104"/>
      <c r="X239" s="150">
        <f>AVERAGE(S239,T239,U239,V239)</f>
        <v>6.1684366893893353E-2</v>
      </c>
      <c r="Y239" s="150">
        <f>AVERAGE(T239,U239,V239,X239)</f>
        <v>6.1637729891275916E-2</v>
      </c>
      <c r="Z239" s="149">
        <f>AVERAGE(U239,V239,X239,Y239)</f>
        <v>6.1621739497272787E-2</v>
      </c>
      <c r="AA239" s="149">
        <f>AVERAGE(V239,X239,Y239,Z239)</f>
        <v>6.1652598454513222E-2</v>
      </c>
      <c r="AB239" s="236"/>
      <c r="AC239" s="150">
        <f>AVERAGE(X239,Y239,Z239,AA239)</f>
        <v>6.1649108684238813E-2</v>
      </c>
      <c r="AD239" s="150">
        <f>AVERAGE(Y239,Z239,AA239,AC239)</f>
        <v>6.1640294131825181E-2</v>
      </c>
      <c r="AE239" s="149">
        <f>AVERAGE(Z239,AA239,AC239,AD239)</f>
        <v>6.1640935191962502E-2</v>
      </c>
      <c r="AF239" s="149">
        <f>AVERAGE(AA239,AC239,AD239,AE239)</f>
        <v>6.1645734115634933E-2</v>
      </c>
      <c r="AG239" s="236"/>
      <c r="AH239" s="150">
        <f>AVERAGE(AC239,AD239,AE239,AF239)</f>
        <v>6.1644018030915355E-2</v>
      </c>
      <c r="AI239" s="150">
        <f>AVERAGE(AD239,AE239,AF239,AH239)</f>
        <v>6.1642745367584489E-2</v>
      </c>
      <c r="AJ239" s="149">
        <f>AVERAGE(AE239,AF239,AH239,AI239)</f>
        <v>6.1643358176524318E-2</v>
      </c>
      <c r="AK239" s="149">
        <f>AVERAGE(AF239,AH239,AI239,AJ239)</f>
        <v>6.1643963922664774E-2</v>
      </c>
      <c r="AL239" s="236"/>
      <c r="AM239" s="150">
        <f>AVERAGE(AH239,AI239,AJ239,AK239)</f>
        <v>6.1643521374422229E-2</v>
      </c>
      <c r="AN239" s="150">
        <f>AVERAGE(AI239,AJ239,AK239,AM239)</f>
        <v>6.1643397210298954E-2</v>
      </c>
      <c r="AO239" s="149">
        <f>AVERAGE(AJ239,AK239,AM239,AN239)</f>
        <v>6.1643560170977572E-2</v>
      </c>
      <c r="AP239" s="149">
        <f>AVERAGE(AK239,AM239,AN239,AO239)</f>
        <v>6.1643610669590884E-2</v>
      </c>
      <c r="AQ239" s="236"/>
    </row>
    <row r="240" spans="1:43" x14ac:dyDescent="0.25">
      <c r="A240" s="254"/>
      <c r="B240" s="19"/>
      <c r="C240" s="19"/>
      <c r="D240" s="13"/>
      <c r="E240" s="13"/>
      <c r="F240" s="13"/>
      <c r="G240" s="13"/>
    </row>
    <row r="241" spans="1:43" ht="15.75" x14ac:dyDescent="0.25">
      <c r="A241" s="254"/>
      <c r="B241" s="565" t="s">
        <v>118</v>
      </c>
      <c r="C241" s="566"/>
      <c r="D241" s="31" t="s">
        <v>106</v>
      </c>
      <c r="E241" s="31" t="s">
        <v>244</v>
      </c>
      <c r="F241" s="31" t="s">
        <v>246</v>
      </c>
      <c r="G241" s="31" t="s">
        <v>337</v>
      </c>
      <c r="H241" s="85" t="s">
        <v>337</v>
      </c>
      <c r="I241" s="31" t="s">
        <v>336</v>
      </c>
      <c r="J241" s="31" t="s">
        <v>335</v>
      </c>
      <c r="K241" s="31" t="s">
        <v>334</v>
      </c>
      <c r="L241" s="31" t="s">
        <v>321</v>
      </c>
      <c r="M241" s="85" t="s">
        <v>321</v>
      </c>
      <c r="N241" s="31" t="s">
        <v>338</v>
      </c>
      <c r="O241" s="31" t="s">
        <v>346</v>
      </c>
      <c r="P241" s="31" t="s">
        <v>348</v>
      </c>
      <c r="Q241" s="33" t="s">
        <v>120</v>
      </c>
      <c r="R241" s="88" t="s">
        <v>120</v>
      </c>
      <c r="S241" s="33" t="s">
        <v>121</v>
      </c>
      <c r="T241" s="33" t="s">
        <v>122</v>
      </c>
      <c r="U241" s="33" t="s">
        <v>123</v>
      </c>
      <c r="V241" s="33" t="s">
        <v>124</v>
      </c>
      <c r="W241" s="88" t="s">
        <v>124</v>
      </c>
      <c r="X241" s="33" t="s">
        <v>125</v>
      </c>
      <c r="Y241" s="33" t="s">
        <v>126</v>
      </c>
      <c r="Z241" s="33" t="s">
        <v>127</v>
      </c>
      <c r="AA241" s="33" t="s">
        <v>128</v>
      </c>
      <c r="AB241" s="88" t="s">
        <v>128</v>
      </c>
      <c r="AC241" s="33" t="s">
        <v>248</v>
      </c>
      <c r="AD241" s="33" t="s">
        <v>249</v>
      </c>
      <c r="AE241" s="33" t="s">
        <v>250</v>
      </c>
      <c r="AF241" s="33" t="s">
        <v>251</v>
      </c>
      <c r="AG241" s="88" t="s">
        <v>251</v>
      </c>
      <c r="AH241" s="33" t="s">
        <v>281</v>
      </c>
      <c r="AI241" s="33" t="s">
        <v>282</v>
      </c>
      <c r="AJ241" s="33" t="s">
        <v>283</v>
      </c>
      <c r="AK241" s="33" t="s">
        <v>284</v>
      </c>
      <c r="AL241" s="88" t="s">
        <v>284</v>
      </c>
      <c r="AM241" s="33" t="s">
        <v>352</v>
      </c>
      <c r="AN241" s="33" t="s">
        <v>353</v>
      </c>
      <c r="AO241" s="33" t="s">
        <v>354</v>
      </c>
      <c r="AP241" s="33" t="s">
        <v>355</v>
      </c>
      <c r="AQ241" s="88" t="s">
        <v>355</v>
      </c>
    </row>
    <row r="242" spans="1:43" ht="17.25" x14ac:dyDescent="0.4">
      <c r="A242" s="254"/>
      <c r="B242" s="537" t="s">
        <v>3</v>
      </c>
      <c r="C242" s="538"/>
      <c r="D242" s="32" t="s">
        <v>119</v>
      </c>
      <c r="E242" s="32" t="s">
        <v>243</v>
      </c>
      <c r="F242" s="32" t="s">
        <v>247</v>
      </c>
      <c r="G242" s="32" t="s">
        <v>257</v>
      </c>
      <c r="H242" s="86" t="s">
        <v>258</v>
      </c>
      <c r="I242" s="32" t="s">
        <v>259</v>
      </c>
      <c r="J242" s="32" t="s">
        <v>260</v>
      </c>
      <c r="K242" s="32" t="s">
        <v>261</v>
      </c>
      <c r="L242" s="32" t="s">
        <v>322</v>
      </c>
      <c r="M242" s="86" t="s">
        <v>333</v>
      </c>
      <c r="N242" s="32" t="s">
        <v>339</v>
      </c>
      <c r="O242" s="32" t="s">
        <v>347</v>
      </c>
      <c r="P242" s="32" t="s">
        <v>349</v>
      </c>
      <c r="Q242" s="30" t="s">
        <v>129</v>
      </c>
      <c r="R242" s="89" t="s">
        <v>130</v>
      </c>
      <c r="S242" s="30" t="s">
        <v>131</v>
      </c>
      <c r="T242" s="30" t="s">
        <v>132</v>
      </c>
      <c r="U242" s="30" t="s">
        <v>133</v>
      </c>
      <c r="V242" s="30" t="s">
        <v>134</v>
      </c>
      <c r="W242" s="89" t="s">
        <v>135</v>
      </c>
      <c r="X242" s="30" t="s">
        <v>136</v>
      </c>
      <c r="Y242" s="30" t="s">
        <v>137</v>
      </c>
      <c r="Z242" s="30" t="s">
        <v>138</v>
      </c>
      <c r="AA242" s="30" t="s">
        <v>139</v>
      </c>
      <c r="AB242" s="89" t="s">
        <v>140</v>
      </c>
      <c r="AC242" s="30" t="s">
        <v>252</v>
      </c>
      <c r="AD242" s="30" t="s">
        <v>253</v>
      </c>
      <c r="AE242" s="30" t="s">
        <v>254</v>
      </c>
      <c r="AF242" s="30" t="s">
        <v>255</v>
      </c>
      <c r="AG242" s="89" t="s">
        <v>256</v>
      </c>
      <c r="AH242" s="30" t="s">
        <v>285</v>
      </c>
      <c r="AI242" s="30" t="s">
        <v>286</v>
      </c>
      <c r="AJ242" s="30" t="s">
        <v>287</v>
      </c>
      <c r="AK242" s="30" t="s">
        <v>288</v>
      </c>
      <c r="AL242" s="89" t="s">
        <v>289</v>
      </c>
      <c r="AM242" s="30" t="s">
        <v>356</v>
      </c>
      <c r="AN242" s="30" t="s">
        <v>357</v>
      </c>
      <c r="AO242" s="30" t="s">
        <v>358</v>
      </c>
      <c r="AP242" s="30" t="s">
        <v>359</v>
      </c>
      <c r="AQ242" s="89" t="s">
        <v>360</v>
      </c>
    </row>
    <row r="243" spans="1:43" outlineLevel="1" x14ac:dyDescent="0.25">
      <c r="A243" s="254"/>
      <c r="B243" s="589" t="s">
        <v>11</v>
      </c>
      <c r="C243" s="590"/>
      <c r="D243" s="13"/>
      <c r="E243" s="13"/>
      <c r="F243" s="13"/>
      <c r="G243" s="13"/>
      <c r="H243" s="15"/>
      <c r="I243" s="13"/>
      <c r="J243" s="13"/>
      <c r="K243" s="302"/>
      <c r="L243" s="13"/>
      <c r="M243" s="15"/>
      <c r="N243" s="13"/>
      <c r="O243" s="13"/>
      <c r="P243" s="13"/>
      <c r="Q243" s="13"/>
      <c r="R243" s="15"/>
      <c r="S243" s="13"/>
      <c r="T243" s="13"/>
      <c r="U243" s="13"/>
      <c r="V243" s="13"/>
      <c r="W243" s="15"/>
      <c r="X243" s="13"/>
      <c r="Y243" s="13"/>
      <c r="Z243" s="13"/>
      <c r="AA243" s="13"/>
      <c r="AB243" s="15"/>
      <c r="AC243" s="13"/>
      <c r="AD243" s="13"/>
      <c r="AE243" s="13"/>
      <c r="AF243" s="13"/>
      <c r="AG243" s="15"/>
      <c r="AH243" s="13"/>
      <c r="AI243" s="13"/>
      <c r="AJ243" s="13"/>
      <c r="AK243" s="13"/>
      <c r="AL243" s="15"/>
      <c r="AM243" s="13"/>
      <c r="AN243" s="13"/>
      <c r="AO243" s="13"/>
      <c r="AP243" s="13"/>
      <c r="AQ243" s="15"/>
    </row>
    <row r="244" spans="1:43" outlineLevel="1" x14ac:dyDescent="0.25">
      <c r="A244" s="254"/>
      <c r="B244" s="57" t="s">
        <v>213</v>
      </c>
      <c r="C244" s="144"/>
      <c r="D244" s="34">
        <f>D33</f>
        <v>760.40000000000043</v>
      </c>
      <c r="E244" s="256">
        <f>E33-0.2</f>
        <v>658.59999999999968</v>
      </c>
      <c r="F244" s="34">
        <f>F33</f>
        <v>1373.200000000001</v>
      </c>
      <c r="G244" s="34">
        <f>G33+0.2</f>
        <v>802.400000000001</v>
      </c>
      <c r="H244" s="35">
        <f>H33</f>
        <v>3594.6000000000054</v>
      </c>
      <c r="I244" s="34">
        <f>I33</f>
        <v>885.29999999999882</v>
      </c>
      <c r="J244" s="34">
        <f>J33</f>
        <v>324.79999999999905</v>
      </c>
      <c r="K244" s="34">
        <f>K33</f>
        <v>-678.09999999999923</v>
      </c>
      <c r="L244" s="34">
        <f>924.7-K244-J244-I244</f>
        <v>392.70000000000141</v>
      </c>
      <c r="M244" s="35">
        <f t="shared" ref="M244:AQ244" si="647">M33</f>
        <v>924.70000000000437</v>
      </c>
      <c r="N244" s="34">
        <f t="shared" si="647"/>
        <v>622.20000000000016</v>
      </c>
      <c r="O244" s="34">
        <f t="shared" si="647"/>
        <v>659.4</v>
      </c>
      <c r="P244" s="34">
        <f t="shared" si="647"/>
        <v>1154.1999999999989</v>
      </c>
      <c r="Q244" s="34">
        <f t="shared" si="647"/>
        <v>1197.4380907815003</v>
      </c>
      <c r="R244" s="35">
        <f t="shared" si="647"/>
        <v>3633.2380907814968</v>
      </c>
      <c r="S244" s="34">
        <f t="shared" si="647"/>
        <v>1051.7399459974474</v>
      </c>
      <c r="T244" s="34">
        <f t="shared" si="647"/>
        <v>941.93110320430128</v>
      </c>
      <c r="U244" s="34">
        <f t="shared" si="647"/>
        <v>1210.5246885489103</v>
      </c>
      <c r="V244" s="34">
        <f t="shared" si="647"/>
        <v>1235.1051776597185</v>
      </c>
      <c r="W244" s="35">
        <f t="shared" si="647"/>
        <v>4439.3009154103711</v>
      </c>
      <c r="X244" s="34">
        <f t="shared" si="647"/>
        <v>1226.4576143126287</v>
      </c>
      <c r="Y244" s="34">
        <f t="shared" si="647"/>
        <v>1126.7738986537918</v>
      </c>
      <c r="Z244" s="34">
        <f t="shared" si="647"/>
        <v>1256.6111093339398</v>
      </c>
      <c r="AA244" s="34">
        <f t="shared" si="647"/>
        <v>1390.408312573647</v>
      </c>
      <c r="AB244" s="35">
        <f t="shared" si="647"/>
        <v>5000.2509348740132</v>
      </c>
      <c r="AC244" s="34">
        <f t="shared" si="647"/>
        <v>1344.3841158156908</v>
      </c>
      <c r="AD244" s="34">
        <f t="shared" si="647"/>
        <v>1243.8053330893365</v>
      </c>
      <c r="AE244" s="34">
        <f t="shared" si="647"/>
        <v>1379.8527796409758</v>
      </c>
      <c r="AF244" s="34">
        <f t="shared" si="647"/>
        <v>1526.1963720533217</v>
      </c>
      <c r="AG244" s="35">
        <f t="shared" si="647"/>
        <v>5494.2386005993221</v>
      </c>
      <c r="AH244" s="34">
        <f t="shared" si="647"/>
        <v>1506.3421954417527</v>
      </c>
      <c r="AI244" s="34">
        <f t="shared" si="647"/>
        <v>1397.1752824815396</v>
      </c>
      <c r="AJ244" s="34">
        <f t="shared" si="647"/>
        <v>1534.2539647629446</v>
      </c>
      <c r="AK244" s="34">
        <f t="shared" si="647"/>
        <v>1690.4445518437396</v>
      </c>
      <c r="AL244" s="35">
        <f t="shared" si="647"/>
        <v>6128.21599452998</v>
      </c>
      <c r="AM244" s="34">
        <f t="shared" si="647"/>
        <v>1660.8468117446373</v>
      </c>
      <c r="AN244" s="34">
        <f t="shared" si="647"/>
        <v>1543.8649134784564</v>
      </c>
      <c r="AO244" s="34">
        <f t="shared" si="647"/>
        <v>1685.0637566603571</v>
      </c>
      <c r="AP244" s="34">
        <f t="shared" si="647"/>
        <v>1851.1464131864234</v>
      </c>
      <c r="AQ244" s="35">
        <f t="shared" si="647"/>
        <v>6740.9218950698778</v>
      </c>
    </row>
    <row r="245" spans="1:43" outlineLevel="1" x14ac:dyDescent="0.25">
      <c r="A245" s="254"/>
      <c r="B245" s="57" t="s">
        <v>68</v>
      </c>
      <c r="C245" s="144"/>
      <c r="D245" s="34">
        <v>350.8</v>
      </c>
      <c r="E245" s="34">
        <f>723.5-D245</f>
        <v>372.7</v>
      </c>
      <c r="F245" s="34">
        <f>1083.6-E245-D245</f>
        <v>360.09999999999985</v>
      </c>
      <c r="G245" s="34">
        <f>1449.3-F245-E245-D245</f>
        <v>365.7</v>
      </c>
      <c r="H245" s="35">
        <f t="shared" ref="H245:H251" si="648">SUM(D245:G245)</f>
        <v>1449.3</v>
      </c>
      <c r="I245" s="34">
        <v>369.2</v>
      </c>
      <c r="J245" s="34">
        <f>746.9-I245</f>
        <v>377.7</v>
      </c>
      <c r="K245" s="34">
        <f>1124-J245-I245</f>
        <v>377.09999999999997</v>
      </c>
      <c r="L245" s="34">
        <f>1503.2-K245-J245-I245</f>
        <v>379.2000000000001</v>
      </c>
      <c r="M245" s="35">
        <f t="shared" ref="M245:M251" si="649">SUM(I245:L245)</f>
        <v>1503.2</v>
      </c>
      <c r="N245" s="34">
        <v>388.4</v>
      </c>
      <c r="O245" s="34">
        <f>772.9-N245</f>
        <v>384.5</v>
      </c>
      <c r="P245" s="34">
        <f>1146.2-O245-N245</f>
        <v>373.30000000000007</v>
      </c>
      <c r="Q245" s="34">
        <f>(P195*Q239)</f>
        <v>378.89745207839951</v>
      </c>
      <c r="R245" s="35">
        <f t="shared" ref="R245:R251" si="650">SUM(N245:Q245)</f>
        <v>1525.0974520783996</v>
      </c>
      <c r="S245" s="34">
        <f>(R195*S239)</f>
        <v>401.34440844386296</v>
      </c>
      <c r="T245" s="34">
        <f>(S195*T239)</f>
        <v>405.80678367272924</v>
      </c>
      <c r="U245" s="34">
        <f>(T195*U239)</f>
        <v>408.65855033456637</v>
      </c>
      <c r="V245" s="34">
        <f>(U195*V239)</f>
        <v>416.72031548007686</v>
      </c>
      <c r="W245" s="35">
        <f t="shared" ref="W245:W251" si="651">SUM(S245:V245)</f>
        <v>1632.5300579312354</v>
      </c>
      <c r="X245" s="34">
        <f>(W195*X239)</f>
        <v>422.59906168994257</v>
      </c>
      <c r="Y245" s="34">
        <f>(X195*Y239)</f>
        <v>426.36645223088726</v>
      </c>
      <c r="Z245" s="34">
        <f>(Y195*Z239)</f>
        <v>429.48103154149999</v>
      </c>
      <c r="AA245" s="34">
        <f>(Z195*AA239)</f>
        <v>435.48134105614588</v>
      </c>
      <c r="AB245" s="35">
        <f t="shared" ref="AB245:AB251" si="652">SUM(X245:AA245)</f>
        <v>1713.9278865184756</v>
      </c>
      <c r="AC245" s="34">
        <f>(AB195*AC239)</f>
        <v>439.89027474272535</v>
      </c>
      <c r="AD245" s="34">
        <f>(AC195*AD239)</f>
        <v>442.37844178165722</v>
      </c>
      <c r="AE245" s="34">
        <f>(AD195*AE239)</f>
        <v>444.26844271579654</v>
      </c>
      <c r="AF245" s="34">
        <f>(AE195*AF239)</f>
        <v>448.76468950025412</v>
      </c>
      <c r="AG245" s="35">
        <f t="shared" ref="AG245" si="653">SUM(AC245:AF245)</f>
        <v>1775.3018487404333</v>
      </c>
      <c r="AH245" s="34">
        <f>(AG195*AH239)</f>
        <v>453.65695064999824</v>
      </c>
      <c r="AI245" s="34">
        <f>(AH195*AI239)</f>
        <v>457.93241088100814</v>
      </c>
      <c r="AJ245" s="34">
        <f>(AI195*AJ239)</f>
        <v>461.41434697410398</v>
      </c>
      <c r="AK245" s="34">
        <f>(AJ195*AK239)</f>
        <v>467.50121987403952</v>
      </c>
      <c r="AL245" s="35">
        <f t="shared" ref="AL245" si="654">SUM(AH245:AK245)</f>
        <v>1840.50492837915</v>
      </c>
      <c r="AM245" s="34">
        <f>(AL195*AM239)</f>
        <v>473.6416743672944</v>
      </c>
      <c r="AN245" s="34">
        <f>(AM195*AN239)</f>
        <v>479.3325679772442</v>
      </c>
      <c r="AO245" s="34">
        <f>(AN195*AO239)</f>
        <v>484.05134766594472</v>
      </c>
      <c r="AP245" s="34">
        <f>(AO195*AP239)</f>
        <v>491.44108744143176</v>
      </c>
      <c r="AQ245" s="35">
        <f t="shared" ref="AQ245" si="655">SUM(AM245:AP245)</f>
        <v>1928.4666774519153</v>
      </c>
    </row>
    <row r="246" spans="1:43" outlineLevel="1" x14ac:dyDescent="0.25">
      <c r="A246" s="254"/>
      <c r="B246" s="57" t="s">
        <v>214</v>
      </c>
      <c r="C246" s="144"/>
      <c r="D246" s="34">
        <v>-354.6</v>
      </c>
      <c r="E246" s="34">
        <f>-714.5-D246</f>
        <v>-359.9</v>
      </c>
      <c r="F246" s="34">
        <f>-1243.5-E246-D246</f>
        <v>-529</v>
      </c>
      <c r="G246" s="256">
        <f>-1495.4-F246-E246-D246</f>
        <v>-251.90000000000009</v>
      </c>
      <c r="H246" s="35">
        <f>SUM(D246:G246)</f>
        <v>-1495.4</v>
      </c>
      <c r="I246" s="34">
        <v>10.4</v>
      </c>
      <c r="J246" s="34">
        <f>47.7-I246</f>
        <v>37.300000000000004</v>
      </c>
      <c r="K246" s="34">
        <f>20-J246-I246</f>
        <v>-27.700000000000003</v>
      </c>
      <c r="L246" s="256">
        <f>-25.8-K246-J246-I246</f>
        <v>-45.800000000000004</v>
      </c>
      <c r="M246" s="35">
        <f>SUM(I246:L246)</f>
        <v>-25.800000000000004</v>
      </c>
      <c r="N246" s="34">
        <v>-6.1</v>
      </c>
      <c r="O246" s="34">
        <f>-25.2-N246</f>
        <v>-19.100000000000001</v>
      </c>
      <c r="P246" s="34">
        <f>-113.2-O246-N246</f>
        <v>-88</v>
      </c>
      <c r="Q246" s="34">
        <f>-(Q197-P197)</f>
        <v>76.212470265571937</v>
      </c>
      <c r="R246" s="35">
        <f>SUM(N246:Q246)</f>
        <v>-36.987529734428065</v>
      </c>
      <c r="S246" s="34">
        <f>-(S197-Q197)</f>
        <v>-95.265802337157993</v>
      </c>
      <c r="T246" s="34">
        <f>-(T197-S197)</f>
        <v>59.244144127964319</v>
      </c>
      <c r="U246" s="34">
        <f>-(U197-T197)</f>
        <v>1.6639888241684275</v>
      </c>
      <c r="V246" s="34">
        <f>-(V197-U197)</f>
        <v>21.802917148497727</v>
      </c>
      <c r="W246" s="35">
        <f>SUM(S246:V246)</f>
        <v>-12.55475223652752</v>
      </c>
      <c r="X246" s="34">
        <f>-(X197-V197)</f>
        <v>-111.36488202512805</v>
      </c>
      <c r="Y246" s="34">
        <f>-(Y197-X197)</f>
        <v>77.588069059065674</v>
      </c>
      <c r="Z246" s="34">
        <f>-(Z197-Y197)</f>
        <v>9.7983194048365476</v>
      </c>
      <c r="AA246" s="34">
        <f>-(AA197-Z197)</f>
        <v>11.708239869510635</v>
      </c>
      <c r="AB246" s="35">
        <f>SUM(X246:AA246)</f>
        <v>-12.270253691715197</v>
      </c>
      <c r="AC246" s="34">
        <f>-(AC197-AA197)</f>
        <v>-120.38923257904844</v>
      </c>
      <c r="AD246" s="34">
        <f>-(AD197-AC197)</f>
        <v>86.459897450060225</v>
      </c>
      <c r="AE246" s="34">
        <f>-(AE197-AD197)</f>
        <v>10.297607577189638</v>
      </c>
      <c r="AF246" s="34">
        <f>-(AF197-AE197)</f>
        <v>10.286727047628801</v>
      </c>
      <c r="AG246" s="35">
        <f>SUM(AC246:AF246)</f>
        <v>-13.345000504169775</v>
      </c>
      <c r="AH246" s="34">
        <f>-(AH197-AF197)</f>
        <v>-130.40124585861463</v>
      </c>
      <c r="AI246" s="34">
        <f>-(AI197-AH197)</f>
        <v>93.562197939615544</v>
      </c>
      <c r="AJ246" s="34">
        <f>-(AJ197-AI197)</f>
        <v>10.455712383027048</v>
      </c>
      <c r="AK246" s="34">
        <f>-(AK197-AJ197)</f>
        <v>10.349149279902804</v>
      </c>
      <c r="AL246" s="35">
        <f>SUM(AH246:AK246)</f>
        <v>-16.034186256069233</v>
      </c>
      <c r="AM246" s="34">
        <f>-(AM197-AK197)</f>
        <v>-141.61467853741419</v>
      </c>
      <c r="AN246" s="34">
        <f>-(AN197-AM197)</f>
        <v>100.8443991368365</v>
      </c>
      <c r="AO246" s="34">
        <f>-(AO197-AN197)</f>
        <v>10.738134978769722</v>
      </c>
      <c r="AP246" s="34">
        <f>-(AP197-AO197)</f>
        <v>10.650967705647872</v>
      </c>
      <c r="AQ246" s="35">
        <f>SUM(AM246:AP246)</f>
        <v>-19.381176716160098</v>
      </c>
    </row>
    <row r="247" spans="1:43" outlineLevel="1" x14ac:dyDescent="0.25">
      <c r="A247" s="254"/>
      <c r="B247" s="57" t="s">
        <v>215</v>
      </c>
      <c r="C247" s="144"/>
      <c r="D247" s="34">
        <v>-55</v>
      </c>
      <c r="E247" s="34">
        <f>-108.2-D247</f>
        <v>-53.2</v>
      </c>
      <c r="F247" s="34">
        <f>-174.1-E247-D247</f>
        <v>-65.899999999999991</v>
      </c>
      <c r="G247" s="256">
        <f>-250.6-F247-E247-D247</f>
        <v>-76.5</v>
      </c>
      <c r="H247" s="35">
        <f t="shared" si="648"/>
        <v>-250.6</v>
      </c>
      <c r="I247" s="34">
        <v>-62.9</v>
      </c>
      <c r="J247" s="34">
        <f>-116.3-I247</f>
        <v>-53.4</v>
      </c>
      <c r="K247" s="34">
        <f>-182.3-J247-I247</f>
        <v>-66</v>
      </c>
      <c r="L247" s="256">
        <f>-280.7-K247-J247-I247</f>
        <v>-98.399999999999977</v>
      </c>
      <c r="M247" s="35">
        <f t="shared" ref="M247:M250" si="656">SUM(I247:L247)</f>
        <v>-280.7</v>
      </c>
      <c r="N247" s="34">
        <v>-69</v>
      </c>
      <c r="O247" s="34">
        <f>-131.3-N247</f>
        <v>-62.300000000000011</v>
      </c>
      <c r="P247" s="34">
        <f>-238.3-O247-N247</f>
        <v>-107</v>
      </c>
      <c r="Q247" s="34">
        <f>-Q24</f>
        <v>-94.375</v>
      </c>
      <c r="R247" s="35">
        <f t="shared" ref="R247:R250" si="657">SUM(N247:Q247)</f>
        <v>-332.67500000000001</v>
      </c>
      <c r="S247" s="34">
        <f>-S24</f>
        <v>-89.918750000000003</v>
      </c>
      <c r="T247" s="34">
        <f>-T24</f>
        <v>-91.723437500000017</v>
      </c>
      <c r="U247" s="34">
        <f>-U24</f>
        <v>-95.379296874999994</v>
      </c>
      <c r="V247" s="34">
        <f>-V24</f>
        <v>-92.84912109375</v>
      </c>
      <c r="W247" s="35">
        <f t="shared" ref="W247:W250" si="658">SUM(S247:V247)</f>
        <v>-369.87060546875</v>
      </c>
      <c r="X247" s="34">
        <f>-X24</f>
        <v>-92.4676513671875</v>
      </c>
      <c r="Y247" s="34">
        <f>-Y24</f>
        <v>-93.104876708984364</v>
      </c>
      <c r="Z247" s="34">
        <f>-Z24</f>
        <v>-93.450236511230472</v>
      </c>
      <c r="AA247" s="34">
        <f>-AA24</f>
        <v>-92.96797142028808</v>
      </c>
      <c r="AB247" s="35">
        <f t="shared" ref="AB247:AB250" si="659">SUM(X247:AA247)</f>
        <v>-371.99073600769043</v>
      </c>
      <c r="AC247" s="34">
        <f>-AC24</f>
        <v>-92.997684001922607</v>
      </c>
      <c r="AD247" s="34">
        <f>-AD24</f>
        <v>-93.130192160606384</v>
      </c>
      <c r="AE247" s="34">
        <f>-AE24</f>
        <v>-93.136521023511875</v>
      </c>
      <c r="AF247" s="34">
        <f>-AF24</f>
        <v>-93.058092151582244</v>
      </c>
      <c r="AG247" s="35">
        <f t="shared" ref="AG247:AG251" si="660">SUM(AC247:AF247)</f>
        <v>-372.3224893376231</v>
      </c>
      <c r="AH247" s="34">
        <f>-AH24</f>
        <v>-93.080622334405774</v>
      </c>
      <c r="AI247" s="34">
        <f>-AI24</f>
        <v>-93.101356917526573</v>
      </c>
      <c r="AJ247" s="34">
        <f>-AJ24</f>
        <v>-93.09414810675662</v>
      </c>
      <c r="AK247" s="34">
        <f>-AK24</f>
        <v>-93.083554877567792</v>
      </c>
      <c r="AL247" s="35">
        <f t="shared" ref="AL247:AL251" si="661">SUM(AH247:AK247)</f>
        <v>-372.35968223625679</v>
      </c>
      <c r="AM247" s="34">
        <f>-AM24</f>
        <v>-93.089920559064197</v>
      </c>
      <c r="AN247" s="34">
        <f>-AN24</f>
        <v>-93.092245115228792</v>
      </c>
      <c r="AO247" s="34">
        <f>-AO24</f>
        <v>-93.089967164654354</v>
      </c>
      <c r="AP247" s="34">
        <f>-AP24</f>
        <v>-93.088921929128787</v>
      </c>
      <c r="AQ247" s="35">
        <f t="shared" ref="AQ247:AQ251" si="662">SUM(AM247:AP247)</f>
        <v>-372.36105476807614</v>
      </c>
    </row>
    <row r="248" spans="1:43" outlineLevel="1" x14ac:dyDescent="0.25">
      <c r="A248" s="254"/>
      <c r="B248" s="57" t="s">
        <v>216</v>
      </c>
      <c r="C248" s="144"/>
      <c r="D248" s="34">
        <v>63.7</v>
      </c>
      <c r="E248" s="34">
        <f>93.3-D248</f>
        <v>29.599999999999994</v>
      </c>
      <c r="F248" s="34">
        <f>163.7-E248-D248</f>
        <v>70.399999999999991</v>
      </c>
      <c r="G248" s="256">
        <f>216.8-F248-E248-D248</f>
        <v>53.100000000000037</v>
      </c>
      <c r="H248" s="35">
        <f t="shared" si="648"/>
        <v>216.8</v>
      </c>
      <c r="I248" s="34">
        <v>64.3</v>
      </c>
      <c r="J248" s="34">
        <f>98.1-I248</f>
        <v>33.799999999999997</v>
      </c>
      <c r="K248" s="34">
        <f>165.6-J248-I248</f>
        <v>67.500000000000014</v>
      </c>
      <c r="L248" s="256">
        <f>227.7-K248-J248-I248</f>
        <v>62.099999999999994</v>
      </c>
      <c r="M248" s="35">
        <f t="shared" si="656"/>
        <v>227.70000000000002</v>
      </c>
      <c r="N248" s="34">
        <v>77.2</v>
      </c>
      <c r="O248" s="34">
        <f>130.2-N248</f>
        <v>52.999999999999986</v>
      </c>
      <c r="P248" s="34">
        <f>226.7-O248-N248</f>
        <v>96.499999999999986</v>
      </c>
      <c r="Q248" s="34">
        <f>-Q292*Q247</f>
        <v>94.375</v>
      </c>
      <c r="R248" s="35">
        <f t="shared" si="657"/>
        <v>321.07499999999999</v>
      </c>
      <c r="S248" s="34">
        <f>-S292*S247</f>
        <v>89.918750000000003</v>
      </c>
      <c r="T248" s="34">
        <f>-T292*T247</f>
        <v>91.723437500000017</v>
      </c>
      <c r="U248" s="34">
        <f>-U292*U247</f>
        <v>95.379296874999994</v>
      </c>
      <c r="V248" s="34">
        <f>-V292*V247</f>
        <v>92.84912109375</v>
      </c>
      <c r="W248" s="35">
        <f t="shared" si="658"/>
        <v>369.87060546875</v>
      </c>
      <c r="X248" s="34">
        <f>-X292*X247</f>
        <v>92.4676513671875</v>
      </c>
      <c r="Y248" s="34">
        <f>-Y292*Y247</f>
        <v>93.104876708984364</v>
      </c>
      <c r="Z248" s="34">
        <f>-Z292*Z247</f>
        <v>93.450236511230472</v>
      </c>
      <c r="AA248" s="34">
        <f>-AA292*AA247</f>
        <v>92.96797142028808</v>
      </c>
      <c r="AB248" s="35">
        <f t="shared" si="659"/>
        <v>371.99073600769043</v>
      </c>
      <c r="AC248" s="34">
        <f>-AC292*AC247</f>
        <v>92.997684001922607</v>
      </c>
      <c r="AD248" s="34">
        <f>-AD292*AD247</f>
        <v>93.130192160606384</v>
      </c>
      <c r="AE248" s="34">
        <f>-AE292*AE247</f>
        <v>93.136521023511875</v>
      </c>
      <c r="AF248" s="34">
        <f>-AF292*AF247</f>
        <v>93.058092151582244</v>
      </c>
      <c r="AG248" s="35">
        <f t="shared" si="660"/>
        <v>372.3224893376231</v>
      </c>
      <c r="AH248" s="34">
        <f>-AH292*AH247</f>
        <v>93.080622334405774</v>
      </c>
      <c r="AI248" s="34">
        <f>-AI292*AI247</f>
        <v>93.101356917526573</v>
      </c>
      <c r="AJ248" s="34">
        <f>-AJ292*AJ247</f>
        <v>93.09414810675662</v>
      </c>
      <c r="AK248" s="34">
        <f>-AK292*AK247</f>
        <v>93.083554877567792</v>
      </c>
      <c r="AL248" s="35">
        <f t="shared" si="661"/>
        <v>372.35968223625679</v>
      </c>
      <c r="AM248" s="34">
        <f>-AM292*AM247</f>
        <v>93.089920559064197</v>
      </c>
      <c r="AN248" s="34">
        <f>-AN292*AN247</f>
        <v>93.092245115228792</v>
      </c>
      <c r="AO248" s="34">
        <f>-AO292*AO247</f>
        <v>93.089967164654354</v>
      </c>
      <c r="AP248" s="34">
        <f>-AP292*AP247</f>
        <v>93.088921929128787</v>
      </c>
      <c r="AQ248" s="35">
        <f t="shared" si="662"/>
        <v>372.36105476807614</v>
      </c>
    </row>
    <row r="249" spans="1:43" outlineLevel="1" x14ac:dyDescent="0.25">
      <c r="A249" s="254"/>
      <c r="B249" s="57" t="s">
        <v>222</v>
      </c>
      <c r="C249" s="144"/>
      <c r="D249" s="34">
        <v>0</v>
      </c>
      <c r="E249" s="34">
        <f>-21-D249</f>
        <v>-21</v>
      </c>
      <c r="F249" s="34">
        <f>-622.8-E249-D249</f>
        <v>-601.79999999999995</v>
      </c>
      <c r="G249" s="256">
        <f>-622.8-F249-E249-D249</f>
        <v>0</v>
      </c>
      <c r="H249" s="35">
        <f t="shared" si="648"/>
        <v>-622.79999999999995</v>
      </c>
      <c r="I249" s="34">
        <v>0</v>
      </c>
      <c r="J249" s="34">
        <f t="shared" ref="J249" si="663">0-I249</f>
        <v>0</v>
      </c>
      <c r="K249" s="34">
        <f t="shared" ref="K249" si="664">0-J249-I249</f>
        <v>0</v>
      </c>
      <c r="L249" s="256">
        <f t="shared" ref="L249" si="665">0-K249-J249-I249</f>
        <v>0</v>
      </c>
      <c r="M249" s="35">
        <f t="shared" si="656"/>
        <v>0</v>
      </c>
      <c r="N249" s="34">
        <f>N28</f>
        <v>0</v>
      </c>
      <c r="O249" s="34">
        <f t="shared" ref="O249" si="666">0-N249</f>
        <v>0</v>
      </c>
      <c r="P249" s="34">
        <f t="shared" ref="P249" si="667">0-O249-N249</f>
        <v>0</v>
      </c>
      <c r="Q249" s="34">
        <f>Q28</f>
        <v>0</v>
      </c>
      <c r="R249" s="35">
        <f t="shared" si="657"/>
        <v>0</v>
      </c>
      <c r="S249" s="34">
        <f>S28</f>
        <v>0</v>
      </c>
      <c r="T249" s="34">
        <f>T28</f>
        <v>0</v>
      </c>
      <c r="U249" s="34">
        <f>U28</f>
        <v>0</v>
      </c>
      <c r="V249" s="34">
        <f>V28</f>
        <v>0</v>
      </c>
      <c r="W249" s="35">
        <f t="shared" si="658"/>
        <v>0</v>
      </c>
      <c r="X249" s="34">
        <f>X28</f>
        <v>0</v>
      </c>
      <c r="Y249" s="34">
        <f>Y28</f>
        <v>0</v>
      </c>
      <c r="Z249" s="34">
        <f>Z28</f>
        <v>0</v>
      </c>
      <c r="AA249" s="34">
        <f>AA28</f>
        <v>0</v>
      </c>
      <c r="AB249" s="35">
        <f t="shared" si="659"/>
        <v>0</v>
      </c>
      <c r="AC249" s="34">
        <f>AC28</f>
        <v>0</v>
      </c>
      <c r="AD249" s="34">
        <f>AD28</f>
        <v>0</v>
      </c>
      <c r="AE249" s="34">
        <f>AE28</f>
        <v>0</v>
      </c>
      <c r="AF249" s="34">
        <f>AF28</f>
        <v>0</v>
      </c>
      <c r="AG249" s="35">
        <f t="shared" si="660"/>
        <v>0</v>
      </c>
      <c r="AH249" s="34">
        <f>AH28</f>
        <v>0</v>
      </c>
      <c r="AI249" s="34">
        <f>AI28</f>
        <v>0</v>
      </c>
      <c r="AJ249" s="34">
        <f>AJ28</f>
        <v>0</v>
      </c>
      <c r="AK249" s="34">
        <f>AK28</f>
        <v>0</v>
      </c>
      <c r="AL249" s="35">
        <f t="shared" si="661"/>
        <v>0</v>
      </c>
      <c r="AM249" s="34">
        <f>AM28</f>
        <v>0</v>
      </c>
      <c r="AN249" s="34">
        <f>AN28</f>
        <v>0</v>
      </c>
      <c r="AO249" s="34">
        <f>AO28</f>
        <v>0</v>
      </c>
      <c r="AP249" s="34">
        <f>AP28</f>
        <v>0</v>
      </c>
      <c r="AQ249" s="35">
        <f t="shared" si="662"/>
        <v>0</v>
      </c>
    </row>
    <row r="250" spans="1:43" outlineLevel="1" x14ac:dyDescent="0.25">
      <c r="A250" s="254"/>
      <c r="B250" s="57" t="s">
        <v>217</v>
      </c>
      <c r="C250" s="144"/>
      <c r="D250" s="34">
        <v>97.3</v>
      </c>
      <c r="E250" s="34">
        <f>192.1-D250</f>
        <v>94.8</v>
      </c>
      <c r="F250" s="34">
        <f>255.4-E250-D250</f>
        <v>63.300000000000026</v>
      </c>
      <c r="G250" s="256">
        <f>308-F250-E250-D250</f>
        <v>52.59999999999998</v>
      </c>
      <c r="H250" s="35">
        <f t="shared" si="648"/>
        <v>308</v>
      </c>
      <c r="I250" s="34">
        <v>90.3</v>
      </c>
      <c r="J250" s="34">
        <f>146.6-I250</f>
        <v>56.3</v>
      </c>
      <c r="K250" s="34">
        <f>188-J250-I250</f>
        <v>41.399999999999991</v>
      </c>
      <c r="L250" s="256">
        <f>248.6-K250-J250-I250</f>
        <v>60.59999999999998</v>
      </c>
      <c r="M250" s="35">
        <f t="shared" si="656"/>
        <v>248.59999999999997</v>
      </c>
      <c r="N250" s="34">
        <v>99.3</v>
      </c>
      <c r="O250" s="34">
        <f>175.3-N250</f>
        <v>76.000000000000014</v>
      </c>
      <c r="P250" s="34">
        <f>255.3-O250-N250</f>
        <v>80.000000000000014</v>
      </c>
      <c r="Q250" s="34">
        <f>Q16*Q291</f>
        <v>96.34918385095385</v>
      </c>
      <c r="R250" s="35">
        <f t="shared" si="657"/>
        <v>351.64918385095388</v>
      </c>
      <c r="S250" s="34">
        <f>S16*S291</f>
        <v>95.184510598737972</v>
      </c>
      <c r="T250" s="34">
        <f>T16*T291</f>
        <v>86.846690009804874</v>
      </c>
      <c r="U250" s="34">
        <f>U16*U291</f>
        <v>95.635098174510929</v>
      </c>
      <c r="V250" s="34">
        <f>V16*V291</f>
        <v>98.776724292766474</v>
      </c>
      <c r="W250" s="35">
        <f t="shared" si="658"/>
        <v>376.44302307582024</v>
      </c>
      <c r="X250" s="34">
        <f>X16*X291</f>
        <v>99.248308609235238</v>
      </c>
      <c r="Y250" s="34">
        <f>Y16*Y291</f>
        <v>96.278078608144284</v>
      </c>
      <c r="Z250" s="34">
        <f>Z16*Z291</f>
        <v>105.50425501698285</v>
      </c>
      <c r="AA250" s="34">
        <f>AA16*AA291</f>
        <v>106.93114792985524</v>
      </c>
      <c r="AB250" s="35">
        <f t="shared" si="659"/>
        <v>407.96179016421763</v>
      </c>
      <c r="AC250" s="34">
        <f>AC16*AC291</f>
        <v>106.4612802112492</v>
      </c>
      <c r="AD250" s="34">
        <f>AD16*AD291</f>
        <v>104.48928157220276</v>
      </c>
      <c r="AE250" s="34">
        <f>AE16*AE291</f>
        <v>114.22262189883166</v>
      </c>
      <c r="AF250" s="34">
        <f>AF16*AF291</f>
        <v>115.48907341395807</v>
      </c>
      <c r="AG250" s="35">
        <f t="shared" si="660"/>
        <v>440.66225709624172</v>
      </c>
      <c r="AH250" s="34">
        <f>AH16*AH291</f>
        <v>115.33049301022807</v>
      </c>
      <c r="AI250" s="34">
        <f>AI16*AI291</f>
        <v>113.28800484472112</v>
      </c>
      <c r="AJ250" s="34">
        <f>AJ16*AJ291</f>
        <v>123.26957058511718</v>
      </c>
      <c r="AK250" s="34">
        <f>AK16*AK291</f>
        <v>124.68872138717747</v>
      </c>
      <c r="AL250" s="35">
        <f t="shared" si="661"/>
        <v>476.57678982724383</v>
      </c>
      <c r="AM250" s="34">
        <f>AM16*AM291</f>
        <v>124.60529706813605</v>
      </c>
      <c r="AN250" s="34">
        <f>AN16*AN291</f>
        <v>122.33852193394955</v>
      </c>
      <c r="AO250" s="34">
        <f>AO16*AO291</f>
        <v>132.89085713148398</v>
      </c>
      <c r="AP250" s="34">
        <f>AP16*AP291</f>
        <v>134.46195728313819</v>
      </c>
      <c r="AQ250" s="35">
        <f t="shared" si="662"/>
        <v>514.29663341670778</v>
      </c>
    </row>
    <row r="251" spans="1:43" outlineLevel="1" x14ac:dyDescent="0.25">
      <c r="A251" s="254"/>
      <c r="B251" s="146" t="s">
        <v>223</v>
      </c>
      <c r="C251" s="147"/>
      <c r="D251" s="34">
        <v>6.1</v>
      </c>
      <c r="E251" s="256">
        <f>5.4+91.1-D251</f>
        <v>90.4</v>
      </c>
      <c r="F251" s="256">
        <f>10.5+122.3-E251-D251</f>
        <v>36.300000000000004</v>
      </c>
      <c r="G251" s="256">
        <f>10.5+187.9-F251-E251-D251</f>
        <v>65.599999999999994</v>
      </c>
      <c r="H251" s="35">
        <f t="shared" si="648"/>
        <v>198.4</v>
      </c>
      <c r="I251" s="256">
        <f>5.1+294.9</f>
        <v>300</v>
      </c>
      <c r="J251" s="256">
        <f>596.3+67.7-I251</f>
        <v>364</v>
      </c>
      <c r="K251" s="256">
        <f>902.4+124.6+63.7-J251-I251</f>
        <v>426.70000000000005</v>
      </c>
      <c r="L251" s="256">
        <f>1197.6+454.4+24.5-K251-J251-I251</f>
        <v>585.79999999999995</v>
      </c>
      <c r="M251" s="35">
        <f t="shared" si="649"/>
        <v>1676.5</v>
      </c>
      <c r="N251" s="256">
        <f>308.3+132.6-10.2</f>
        <v>430.7</v>
      </c>
      <c r="O251" s="256">
        <f>617.9+175.4-15.4-N251</f>
        <v>347.2</v>
      </c>
      <c r="P251" s="256">
        <f>931.7+204.7-6.8-O251-N251</f>
        <v>351.7000000000001</v>
      </c>
      <c r="Q251" s="63">
        <v>0</v>
      </c>
      <c r="R251" s="35">
        <f t="shared" si="650"/>
        <v>1129.6000000000001</v>
      </c>
      <c r="S251" s="63">
        <v>0</v>
      </c>
      <c r="T251" s="63">
        <v>0</v>
      </c>
      <c r="U251" s="63">
        <v>0</v>
      </c>
      <c r="V251" s="63">
        <v>0</v>
      </c>
      <c r="W251" s="35">
        <f t="shared" si="651"/>
        <v>0</v>
      </c>
      <c r="X251" s="63">
        <v>0</v>
      </c>
      <c r="Y251" s="63">
        <v>0</v>
      </c>
      <c r="Z251" s="63">
        <v>0</v>
      </c>
      <c r="AA251" s="63">
        <v>0</v>
      </c>
      <c r="AB251" s="35">
        <f t="shared" si="652"/>
        <v>0</v>
      </c>
      <c r="AC251" s="63">
        <v>0</v>
      </c>
      <c r="AD251" s="63">
        <v>0</v>
      </c>
      <c r="AE251" s="63">
        <v>0</v>
      </c>
      <c r="AF251" s="63">
        <v>0</v>
      </c>
      <c r="AG251" s="35">
        <f t="shared" si="660"/>
        <v>0</v>
      </c>
      <c r="AH251" s="63">
        <v>0</v>
      </c>
      <c r="AI251" s="63">
        <v>0</v>
      </c>
      <c r="AJ251" s="63">
        <v>0</v>
      </c>
      <c r="AK251" s="63">
        <v>0</v>
      </c>
      <c r="AL251" s="35">
        <f t="shared" si="661"/>
        <v>0</v>
      </c>
      <c r="AM251" s="63">
        <v>0</v>
      </c>
      <c r="AN251" s="63">
        <v>0</v>
      </c>
      <c r="AO251" s="63">
        <v>0</v>
      </c>
      <c r="AP251" s="63">
        <v>0</v>
      </c>
      <c r="AQ251" s="35">
        <f t="shared" si="662"/>
        <v>0</v>
      </c>
    </row>
    <row r="252" spans="1:43" outlineLevel="1" x14ac:dyDescent="0.25">
      <c r="A252" s="254"/>
      <c r="B252" s="623" t="s">
        <v>69</v>
      </c>
      <c r="C252" s="624"/>
      <c r="D252" s="251"/>
      <c r="E252" s="353"/>
      <c r="F252" s="246"/>
      <c r="G252" s="246"/>
      <c r="H252" s="247"/>
      <c r="I252" s="246"/>
      <c r="J252" s="246"/>
      <c r="K252" s="246"/>
      <c r="L252" s="246"/>
      <c r="M252" s="247"/>
      <c r="N252" s="246"/>
      <c r="O252" s="246"/>
      <c r="P252" s="246"/>
      <c r="Q252" s="246"/>
      <c r="R252" s="247"/>
      <c r="S252" s="246"/>
      <c r="T252" s="246"/>
      <c r="U252" s="246"/>
      <c r="V252" s="246"/>
      <c r="W252" s="247"/>
      <c r="X252" s="246"/>
      <c r="Y252" s="246"/>
      <c r="Z252" s="246"/>
      <c r="AA252" s="246"/>
      <c r="AB252" s="247"/>
      <c r="AC252" s="246"/>
      <c r="AD252" s="246"/>
      <c r="AE252" s="246"/>
      <c r="AF252" s="246"/>
      <c r="AG252" s="247"/>
      <c r="AH252" s="246"/>
      <c r="AI252" s="246"/>
      <c r="AJ252" s="246"/>
      <c r="AK252" s="246"/>
      <c r="AL252" s="247"/>
      <c r="AM252" s="246"/>
      <c r="AN252" s="246"/>
      <c r="AO252" s="246"/>
      <c r="AP252" s="246"/>
      <c r="AQ252" s="247"/>
    </row>
    <row r="253" spans="1:43" outlineLevel="1" x14ac:dyDescent="0.25">
      <c r="A253" s="254"/>
      <c r="B253" s="619" t="s">
        <v>108</v>
      </c>
      <c r="C253" s="620"/>
      <c r="D253" s="81">
        <v>-28.8</v>
      </c>
      <c r="E253" s="81">
        <f>9.8-D253</f>
        <v>38.6</v>
      </c>
      <c r="F253" s="81">
        <f>-70.1-E253-D253</f>
        <v>-79.899999999999991</v>
      </c>
      <c r="G253" s="81">
        <f>-197.7-F253-E253-D253</f>
        <v>-127.60000000000001</v>
      </c>
      <c r="H253" s="82">
        <f t="shared" ref="H253:H259" si="668">SUM(D253:G253)</f>
        <v>-197.7</v>
      </c>
      <c r="I253" s="81">
        <v>-22.9</v>
      </c>
      <c r="J253" s="81">
        <f>-60.7-I253</f>
        <v>-37.800000000000004</v>
      </c>
      <c r="K253" s="81">
        <f>13.4-J253-I253</f>
        <v>74.099999999999994</v>
      </c>
      <c r="L253" s="81">
        <f>-2.7-K253-J253-I253</f>
        <v>-16.099999999999994</v>
      </c>
      <c r="M253" s="82">
        <f t="shared" ref="M253:M258" si="669">SUM(I253:L253)</f>
        <v>-2.7000000000000028</v>
      </c>
      <c r="N253" s="81">
        <v>19.600000000000001</v>
      </c>
      <c r="O253" s="81">
        <f>12.8-N253</f>
        <v>-6.8000000000000007</v>
      </c>
      <c r="P253" s="81">
        <f>-13.1-O253-N253</f>
        <v>-25.9</v>
      </c>
      <c r="Q253" s="81">
        <f t="shared" ref="Q253:Q255" si="670">-(Q189-P189)</f>
        <v>-161.57244399610568</v>
      </c>
      <c r="R253" s="82">
        <f t="shared" ref="R253:R258" si="671">SUM(N253:Q253)</f>
        <v>-174.67244399610567</v>
      </c>
      <c r="S253" s="81">
        <f>-(S189-Q189)</f>
        <v>38.218277912264966</v>
      </c>
      <c r="T253" s="81">
        <f t="shared" ref="T253:V255" si="672">-(T189-S189)</f>
        <v>33.587788298111036</v>
      </c>
      <c r="U253" s="81">
        <f t="shared" si="672"/>
        <v>-12.779536020434534</v>
      </c>
      <c r="V253" s="81">
        <f t="shared" si="672"/>
        <v>-83.429526837824596</v>
      </c>
      <c r="W253" s="82">
        <f t="shared" ref="W253:W258" si="673">SUM(S253:V253)</f>
        <v>-24.402996647883128</v>
      </c>
      <c r="X253" s="81">
        <f>-(X189-V189)</f>
        <v>-21.499092537980459</v>
      </c>
      <c r="Y253" s="81">
        <f t="shared" ref="Y253:AA255" si="674">-(Y189-X189)</f>
        <v>19.704496597759317</v>
      </c>
      <c r="Z253" s="81">
        <f t="shared" si="674"/>
        <v>-7.27719942999056</v>
      </c>
      <c r="AA253" s="81">
        <f t="shared" si="674"/>
        <v>-85.780535904764974</v>
      </c>
      <c r="AB253" s="82">
        <f t="shared" ref="AB253:AB258" si="675">SUM(X253:AA253)</f>
        <v>-94.852331274976677</v>
      </c>
      <c r="AC253" s="81">
        <f>-(AC189-AA189)</f>
        <v>-14.071896678372468</v>
      </c>
      <c r="AD253" s="81">
        <f t="shared" ref="AD253:AF255" si="676">-(AD189-AC189)</f>
        <v>16.897442076440484</v>
      </c>
      <c r="AE253" s="81">
        <f t="shared" si="676"/>
        <v>-6.9527596107329828</v>
      </c>
      <c r="AF253" s="81">
        <f t="shared" si="676"/>
        <v>-92.729287038060647</v>
      </c>
      <c r="AG253" s="82">
        <f t="shared" ref="AG253:AG258" si="677">SUM(AC253:AF253)</f>
        <v>-96.856501250725614</v>
      </c>
      <c r="AH253" s="81">
        <f>-(AH189-AF189)</f>
        <v>-18.364681394618174</v>
      </c>
      <c r="AI253" s="81">
        <f t="shared" ref="AI253:AK255" si="678">-(AI189-AH189)</f>
        <v>18.727258726722312</v>
      </c>
      <c r="AJ253" s="81">
        <f t="shared" si="678"/>
        <v>-2.2935003460886492</v>
      </c>
      <c r="AK253" s="81">
        <f t="shared" si="678"/>
        <v>-101.06830054045281</v>
      </c>
      <c r="AL253" s="82">
        <f t="shared" ref="AL253:AL258" si="679">SUM(AH253:AK253)</f>
        <v>-102.99922355443732</v>
      </c>
      <c r="AM253" s="81">
        <f>-(AM189-AK189)</f>
        <v>-20.511641498194194</v>
      </c>
      <c r="AN253" s="81">
        <f t="shared" ref="AN253:AP255" si="680">-(AN189-AM189)</f>
        <v>21.090281180345755</v>
      </c>
      <c r="AO253" s="81">
        <f t="shared" si="680"/>
        <v>-0.28541602083191719</v>
      </c>
      <c r="AP253" s="81">
        <f t="shared" si="680"/>
        <v>-109.44897410907333</v>
      </c>
      <c r="AQ253" s="82">
        <f t="shared" ref="AQ253:AQ258" si="681">SUM(AM253:AP253)</f>
        <v>-109.15575044775369</v>
      </c>
    </row>
    <row r="254" spans="1:43" outlineLevel="1" x14ac:dyDescent="0.25">
      <c r="A254" s="254"/>
      <c r="B254" s="547" t="s">
        <v>203</v>
      </c>
      <c r="C254" s="548"/>
      <c r="D254" s="81">
        <v>44.8</v>
      </c>
      <c r="E254" s="81">
        <f>-51-D254</f>
        <v>-95.8</v>
      </c>
      <c r="F254" s="81">
        <f>-140.5-E254-D254</f>
        <v>-89.5</v>
      </c>
      <c r="G254" s="81">
        <f>-173-F254-E254-D254</f>
        <v>-32.5</v>
      </c>
      <c r="H254" s="82">
        <f t="shared" si="668"/>
        <v>-173</v>
      </c>
      <c r="I254" s="81">
        <v>122.8</v>
      </c>
      <c r="J254" s="81">
        <f>36.9-I254</f>
        <v>-85.9</v>
      </c>
      <c r="K254" s="81">
        <f>-51.7-J254-I254</f>
        <v>-88.6</v>
      </c>
      <c r="L254" s="81">
        <f>-10.9-K254-J254-I254</f>
        <v>40.799999999999997</v>
      </c>
      <c r="M254" s="82">
        <f t="shared" si="669"/>
        <v>-10.900000000000006</v>
      </c>
      <c r="N254" s="81">
        <v>90.1</v>
      </c>
      <c r="O254" s="81">
        <f>51.3-N254</f>
        <v>-38.799999999999997</v>
      </c>
      <c r="P254" s="81">
        <f>8.4-O254-N254</f>
        <v>-42.9</v>
      </c>
      <c r="Q254" s="81">
        <f t="shared" si="670"/>
        <v>-866.50958304159462</v>
      </c>
      <c r="R254" s="82">
        <f t="shared" si="671"/>
        <v>-858.10958304159465</v>
      </c>
      <c r="S254" s="81">
        <f>-(S190-Q190)</f>
        <v>710.23655422142406</v>
      </c>
      <c r="T254" s="81">
        <f t="shared" si="672"/>
        <v>-64.737331468384127</v>
      </c>
      <c r="U254" s="81">
        <f t="shared" si="672"/>
        <v>3.8558668663570188</v>
      </c>
      <c r="V254" s="81">
        <f t="shared" si="672"/>
        <v>-738.59492776977822</v>
      </c>
      <c r="W254" s="82">
        <f t="shared" si="673"/>
        <v>-89.239838150381274</v>
      </c>
      <c r="X254" s="81">
        <f>-(X190-V190)</f>
        <v>664.29108856617495</v>
      </c>
      <c r="Y254" s="81">
        <f t="shared" si="674"/>
        <v>-95.417190707133159</v>
      </c>
      <c r="Z254" s="81">
        <f t="shared" si="674"/>
        <v>-29.992054553373237</v>
      </c>
      <c r="AA254" s="81">
        <f t="shared" si="674"/>
        <v>-727.79683544528143</v>
      </c>
      <c r="AB254" s="82">
        <f t="shared" si="675"/>
        <v>-188.91499213961288</v>
      </c>
      <c r="AC254" s="81">
        <f>-(AC190-AA190)</f>
        <v>699.90572329554743</v>
      </c>
      <c r="AD254" s="81">
        <f t="shared" si="676"/>
        <v>-110.29588019407447</v>
      </c>
      <c r="AE254" s="81">
        <f t="shared" si="676"/>
        <v>-31.339649147110322</v>
      </c>
      <c r="AF254" s="81">
        <f t="shared" si="676"/>
        <v>-793.22312406717947</v>
      </c>
      <c r="AG254" s="82">
        <f t="shared" si="677"/>
        <v>-234.95293011281683</v>
      </c>
      <c r="AH254" s="81">
        <f>-(AH190-AF190)</f>
        <v>776.83969197277565</v>
      </c>
      <c r="AI254" s="81">
        <f t="shared" si="678"/>
        <v>-117.80368730563896</v>
      </c>
      <c r="AJ254" s="81">
        <f t="shared" si="678"/>
        <v>-24.877200658462698</v>
      </c>
      <c r="AK254" s="81">
        <f t="shared" si="678"/>
        <v>-855.94105511515545</v>
      </c>
      <c r="AL254" s="82">
        <f t="shared" si="679"/>
        <v>-221.78225110648145</v>
      </c>
      <c r="AM254" s="81">
        <f>-(AM190-AK190)</f>
        <v>823.06018210846696</v>
      </c>
      <c r="AN254" s="81">
        <f t="shared" si="680"/>
        <v>-125.13706484949807</v>
      </c>
      <c r="AO254" s="81">
        <f t="shared" si="680"/>
        <v>-23.04047214283537</v>
      </c>
      <c r="AP254" s="81">
        <f t="shared" si="680"/>
        <v>-925.78249128115658</v>
      </c>
      <c r="AQ254" s="82">
        <f t="shared" si="681"/>
        <v>-250.89984616502306</v>
      </c>
    </row>
    <row r="255" spans="1:43" outlineLevel="1" x14ac:dyDescent="0.25">
      <c r="A255" s="254"/>
      <c r="B255" s="619" t="s">
        <v>226</v>
      </c>
      <c r="C255" s="620"/>
      <c r="D255" s="81">
        <v>847.3</v>
      </c>
      <c r="E255" s="81">
        <f>774.6-D255</f>
        <v>-72.699999999999932</v>
      </c>
      <c r="F255" s="81">
        <f>831.6-E255-D255</f>
        <v>57</v>
      </c>
      <c r="G255" s="81">
        <f>922-F255-E255-D255</f>
        <v>90.399999999999977</v>
      </c>
      <c r="H255" s="82">
        <f t="shared" si="668"/>
        <v>922</v>
      </c>
      <c r="I255" s="81">
        <v>-28.5</v>
      </c>
      <c r="J255" s="81">
        <f>-247.7-I255</f>
        <v>-219.2</v>
      </c>
      <c r="K255" s="81">
        <f>-492.1-J255-I255</f>
        <v>-244.40000000000003</v>
      </c>
      <c r="L255" s="81">
        <f>-317.5-K255-J255-I255</f>
        <v>174.60000000000002</v>
      </c>
      <c r="M255" s="82">
        <f t="shared" si="669"/>
        <v>-317.5</v>
      </c>
      <c r="N255" s="81">
        <v>5.2</v>
      </c>
      <c r="O255" s="81">
        <f>139.7-N255</f>
        <v>134.5</v>
      </c>
      <c r="P255" s="81">
        <f>216.8-O255-N255</f>
        <v>77.100000000000009</v>
      </c>
      <c r="Q255" s="81">
        <f t="shared" si="670"/>
        <v>-5.6559999999999491</v>
      </c>
      <c r="R255" s="82">
        <f t="shared" si="671"/>
        <v>211.14400000000006</v>
      </c>
      <c r="S255" s="81">
        <f>-(S191-Q191)</f>
        <v>-5.7125600000000532</v>
      </c>
      <c r="T255" s="81">
        <f t="shared" si="672"/>
        <v>-5.7696856000000025</v>
      </c>
      <c r="U255" s="81">
        <f t="shared" si="672"/>
        <v>-5.8273824560000094</v>
      </c>
      <c r="V255" s="81">
        <f t="shared" si="672"/>
        <v>-5.8856562805600561</v>
      </c>
      <c r="W255" s="82">
        <f t="shared" si="673"/>
        <v>-23.195284336560121</v>
      </c>
      <c r="X255" s="81">
        <f>-(X191-V191)</f>
        <v>-5.9445128433656009</v>
      </c>
      <c r="Y255" s="81">
        <f t="shared" si="674"/>
        <v>-6.0039579717993092</v>
      </c>
      <c r="Z255" s="81">
        <f t="shared" si="674"/>
        <v>-6.0639975515172182</v>
      </c>
      <c r="AA255" s="81">
        <f t="shared" si="674"/>
        <v>-6.1246375270324052</v>
      </c>
      <c r="AB255" s="82">
        <f t="shared" si="675"/>
        <v>-24.137105893714534</v>
      </c>
      <c r="AC255" s="81">
        <f>-(AC191-AA191)</f>
        <v>-6.1858839023027485</v>
      </c>
      <c r="AD255" s="81">
        <f t="shared" si="676"/>
        <v>-6.2477427413257374</v>
      </c>
      <c r="AE255" s="81">
        <f t="shared" si="676"/>
        <v>-6.3102201687390789</v>
      </c>
      <c r="AF255" s="81">
        <f t="shared" si="676"/>
        <v>-6.3733223704264219</v>
      </c>
      <c r="AG255" s="82">
        <f t="shared" si="677"/>
        <v>-25.117169182793987</v>
      </c>
      <c r="AH255" s="81">
        <f>-(AH191-AF191)</f>
        <v>-6.4370555941306975</v>
      </c>
      <c r="AI255" s="81">
        <f t="shared" si="678"/>
        <v>-6.5014261500720067</v>
      </c>
      <c r="AJ255" s="81">
        <f t="shared" si="678"/>
        <v>-6.5664404115726711</v>
      </c>
      <c r="AK255" s="81">
        <f t="shared" si="678"/>
        <v>-6.6321048156884217</v>
      </c>
      <c r="AL255" s="82">
        <f t="shared" si="679"/>
        <v>-26.137026971463797</v>
      </c>
      <c r="AM255" s="81">
        <f>-(AM191-AK191)</f>
        <v>-6.6984258638453866</v>
      </c>
      <c r="AN255" s="81">
        <f t="shared" si="680"/>
        <v>-6.7654101224837859</v>
      </c>
      <c r="AO255" s="81">
        <f t="shared" si="680"/>
        <v>-6.8330642237086749</v>
      </c>
      <c r="AP255" s="81">
        <f t="shared" si="680"/>
        <v>-6.9013948659456901</v>
      </c>
      <c r="AQ255" s="82">
        <f t="shared" si="681"/>
        <v>-27.198295075983538</v>
      </c>
    </row>
    <row r="256" spans="1:43" outlineLevel="1" x14ac:dyDescent="0.25">
      <c r="A256" s="254"/>
      <c r="B256" s="619" t="s">
        <v>37</v>
      </c>
      <c r="C256" s="620"/>
      <c r="D256" s="81">
        <v>-21.3</v>
      </c>
      <c r="E256" s="81">
        <f>-83.4-D256</f>
        <v>-62.100000000000009</v>
      </c>
      <c r="F256" s="81">
        <f>-15.1-E256-D256</f>
        <v>68.300000000000011</v>
      </c>
      <c r="G256" s="81">
        <f>31.9-F256-E256-D256</f>
        <v>47</v>
      </c>
      <c r="H256" s="82">
        <f t="shared" si="668"/>
        <v>31.900000000000006</v>
      </c>
      <c r="I256" s="81">
        <v>-110.3</v>
      </c>
      <c r="J256" s="81">
        <f>-186.4-I256</f>
        <v>-76.100000000000009</v>
      </c>
      <c r="K256" s="81">
        <f>-320.3-J256-I256</f>
        <v>-133.89999999999998</v>
      </c>
      <c r="L256" s="81">
        <f>-210.8-K256-J256-I256</f>
        <v>109.49999999999997</v>
      </c>
      <c r="M256" s="82">
        <f t="shared" si="669"/>
        <v>-210.79999999999998</v>
      </c>
      <c r="N256" s="81">
        <v>24.8</v>
      </c>
      <c r="O256" s="81">
        <f>21.3-N256</f>
        <v>-3.5</v>
      </c>
      <c r="P256" s="81">
        <f>108.2-O256-N256</f>
        <v>86.9</v>
      </c>
      <c r="Q256" s="81">
        <f>Q203-P203</f>
        <v>185.99939135433078</v>
      </c>
      <c r="R256" s="82">
        <f t="shared" si="671"/>
        <v>294.19939135433077</v>
      </c>
      <c r="S256" s="81">
        <f>S203-Q203</f>
        <v>-129.33676756785121</v>
      </c>
      <c r="T256" s="81">
        <f>T203-S203</f>
        <v>9.4133785694252765</v>
      </c>
      <c r="U256" s="81">
        <f>U203-T203</f>
        <v>173.48468701544789</v>
      </c>
      <c r="V256" s="81">
        <f>V203-U203</f>
        <v>-37.153998765913457</v>
      </c>
      <c r="W256" s="82">
        <f t="shared" si="673"/>
        <v>16.407299251108498</v>
      </c>
      <c r="X256" s="81">
        <f>X203-V203</f>
        <v>-34.158721541235991</v>
      </c>
      <c r="Y256" s="81">
        <f>Y203-X203</f>
        <v>22.196597843334075</v>
      </c>
      <c r="Z256" s="81">
        <f>Z203-Y203</f>
        <v>156.96879708786651</v>
      </c>
      <c r="AA256" s="81">
        <f>AA203-Z203</f>
        <v>-27.643293550445833</v>
      </c>
      <c r="AB256" s="82">
        <f t="shared" si="675"/>
        <v>117.36337983951876</v>
      </c>
      <c r="AC256" s="81">
        <f>AC203-AA203</f>
        <v>-53.245002258888007</v>
      </c>
      <c r="AD256" s="81">
        <f>AD203-AC203</f>
        <v>31.585065050956928</v>
      </c>
      <c r="AE256" s="81">
        <f>AE203-AD203</f>
        <v>201.49383580450422</v>
      </c>
      <c r="AF256" s="81">
        <f>AF203-AE203</f>
        <v>-62.93432304609837</v>
      </c>
      <c r="AG256" s="82">
        <f t="shared" si="677"/>
        <v>116.89957555047476</v>
      </c>
      <c r="AH256" s="81">
        <f>AH203-AF203</f>
        <v>-54.460503216874031</v>
      </c>
      <c r="AI256" s="81">
        <f>AI203-AH203</f>
        <v>31.735040191452981</v>
      </c>
      <c r="AJ256" s="81">
        <f>AJ203-AI203</f>
        <v>193.3384776778646</v>
      </c>
      <c r="AK256" s="81">
        <f>AK203-AJ203</f>
        <v>-47.160803881631637</v>
      </c>
      <c r="AL256" s="82">
        <f t="shared" si="679"/>
        <v>123.45221077081192</v>
      </c>
      <c r="AM256" s="81">
        <f>AM203-AK203</f>
        <v>-57.545262873222782</v>
      </c>
      <c r="AN256" s="81">
        <f>AN203-AM203</f>
        <v>33.599664643279766</v>
      </c>
      <c r="AO256" s="81">
        <f>AO203-AN203</f>
        <v>215.27989292863253</v>
      </c>
      <c r="AP256" s="81">
        <f>AP203-AO203</f>
        <v>-59.642124073329114</v>
      </c>
      <c r="AQ256" s="82">
        <f t="shared" si="681"/>
        <v>131.6921706253604</v>
      </c>
    </row>
    <row r="257" spans="1:43" outlineLevel="1" x14ac:dyDescent="0.25">
      <c r="A257" s="254"/>
      <c r="B257" s="547" t="s">
        <v>208</v>
      </c>
      <c r="C257" s="548"/>
      <c r="D257" s="81">
        <v>362.7</v>
      </c>
      <c r="E257" s="81">
        <f>9.4-D257</f>
        <v>-353.3</v>
      </c>
      <c r="F257" s="81">
        <f>-32.4-E257-D257</f>
        <v>-41.799999999999955</v>
      </c>
      <c r="G257" s="81">
        <f>-30.5-F257-E257-D257</f>
        <v>1.8999999999999773</v>
      </c>
      <c r="H257" s="82">
        <f t="shared" si="668"/>
        <v>-30.5</v>
      </c>
      <c r="I257" s="81">
        <v>426.7</v>
      </c>
      <c r="J257" s="81">
        <f>112.1-I257</f>
        <v>-314.60000000000002</v>
      </c>
      <c r="K257" s="81">
        <f>92-J257-I257</f>
        <v>-20.099999999999966</v>
      </c>
      <c r="L257" s="81">
        <f>31-K257-J257-I257</f>
        <v>-61</v>
      </c>
      <c r="M257" s="82">
        <f t="shared" si="669"/>
        <v>31</v>
      </c>
      <c r="N257" s="81">
        <v>398.9</v>
      </c>
      <c r="O257" s="81">
        <f>89.8-N257</f>
        <v>-309.09999999999997</v>
      </c>
      <c r="P257" s="81">
        <f>52.4-O257-N257</f>
        <v>-37.400000000000034</v>
      </c>
      <c r="Q257" s="81">
        <f>+(Q208-P208)</f>
        <v>-16.282999999999902</v>
      </c>
      <c r="R257" s="82">
        <f t="shared" si="671"/>
        <v>36.117000000000075</v>
      </c>
      <c r="S257" s="81">
        <f>+(S208-Q208)</f>
        <v>483.60509999999999</v>
      </c>
      <c r="T257" s="81">
        <f>+(T208-S208)</f>
        <v>-314.34331500000008</v>
      </c>
      <c r="U257" s="81">
        <f>+(U208-T208)</f>
        <v>-17.81278784999995</v>
      </c>
      <c r="V257" s="81">
        <f>+(V208-U208)</f>
        <v>-17.634659971500014</v>
      </c>
      <c r="W257" s="82">
        <f t="shared" si="673"/>
        <v>133.81433717849995</v>
      </c>
      <c r="X257" s="81">
        <f>+(X208-V208)</f>
        <v>523.74940115355025</v>
      </c>
      <c r="Y257" s="81">
        <f>+(Y208-X208)</f>
        <v>-340.43711074980752</v>
      </c>
      <c r="Z257" s="81">
        <f>+(Z208-Y208)</f>
        <v>-19.291436275822434</v>
      </c>
      <c r="AA257" s="81">
        <f>+(AA208-Z208)</f>
        <v>-19.098521913064133</v>
      </c>
      <c r="AB257" s="82">
        <f t="shared" si="675"/>
        <v>144.92233221485617</v>
      </c>
      <c r="AC257" s="81">
        <f>+(AC208-AA208)</f>
        <v>567.22610081800713</v>
      </c>
      <c r="AD257" s="81">
        <f>+(AD208-AC208)</f>
        <v>-368.69696553170434</v>
      </c>
      <c r="AE257" s="81">
        <f>+(AE208-AD208)</f>
        <v>-20.892828046796694</v>
      </c>
      <c r="AF257" s="81">
        <f>+(AF208-AE208)</f>
        <v>-20.68389976632875</v>
      </c>
      <c r="AG257" s="82">
        <f t="shared" si="677"/>
        <v>156.95240747317735</v>
      </c>
      <c r="AH257" s="81">
        <f>+(AH208-AF208)</f>
        <v>614.31182305996003</v>
      </c>
      <c r="AI257" s="81">
        <f>+(AI208-AH208)</f>
        <v>-399.30268498897431</v>
      </c>
      <c r="AJ257" s="81">
        <f>+(AJ208-AI208)</f>
        <v>-22.627152149375434</v>
      </c>
      <c r="AK257" s="81">
        <f>+(AK208-AJ208)</f>
        <v>-22.400880627881634</v>
      </c>
      <c r="AL257" s="82">
        <f t="shared" si="679"/>
        <v>169.98110529372866</v>
      </c>
      <c r="AM257" s="81">
        <f>+(AM208-AK208)</f>
        <v>665.30615464807897</v>
      </c>
      <c r="AN257" s="81">
        <f>+(AN208-AM208)</f>
        <v>-432.44900052125104</v>
      </c>
      <c r="AO257" s="81">
        <f>+(AO208-AN208)</f>
        <v>-24.505443362871119</v>
      </c>
      <c r="AP257" s="81">
        <f>+(AP208-AO208)</f>
        <v>-24.260388929242254</v>
      </c>
      <c r="AQ257" s="82">
        <f t="shared" si="681"/>
        <v>184.09132183471456</v>
      </c>
    </row>
    <row r="258" spans="1:43" outlineLevel="1" x14ac:dyDescent="0.25">
      <c r="A258" s="254"/>
      <c r="B258" s="547" t="s">
        <v>268</v>
      </c>
      <c r="C258" s="548"/>
      <c r="D258" s="81">
        <v>0</v>
      </c>
      <c r="E258" s="81">
        <v>0</v>
      </c>
      <c r="F258" s="81">
        <f>1045.4-E258-D258</f>
        <v>1045.4000000000001</v>
      </c>
      <c r="G258" s="81">
        <f>1237-F258-E258-D258</f>
        <v>191.59999999999991</v>
      </c>
      <c r="H258" s="82">
        <f t="shared" si="668"/>
        <v>1237</v>
      </c>
      <c r="I258" s="81">
        <v>125.1</v>
      </c>
      <c r="J258" s="81">
        <f>-1227.4-I258</f>
        <v>-1352.5</v>
      </c>
      <c r="K258" s="81">
        <f>-1224.5-J258-I258</f>
        <v>2.9000000000000057</v>
      </c>
      <c r="L258" s="81">
        <f>-1214.6-K258-J258-I258</f>
        <v>9.9000000000000057</v>
      </c>
      <c r="M258" s="82">
        <f t="shared" si="669"/>
        <v>-1214.5999999999999</v>
      </c>
      <c r="N258" s="81">
        <v>56.9</v>
      </c>
      <c r="O258" s="81">
        <f>40-N258</f>
        <v>-16.899999999999999</v>
      </c>
      <c r="P258" s="81">
        <f>128.9-O258-N258</f>
        <v>88.9</v>
      </c>
      <c r="Q258" s="81">
        <f t="shared" ref="Q258" si="682">+(Q206-P206)</f>
        <v>0</v>
      </c>
      <c r="R258" s="82">
        <f t="shared" si="671"/>
        <v>128.9</v>
      </c>
      <c r="S258" s="81">
        <f>+(S206-Q206)</f>
        <v>0</v>
      </c>
      <c r="T258" s="81">
        <f t="shared" ref="T258:V258" si="683">+(T206-S206)</f>
        <v>0</v>
      </c>
      <c r="U258" s="81">
        <f t="shared" si="683"/>
        <v>0</v>
      </c>
      <c r="V258" s="81">
        <f t="shared" si="683"/>
        <v>0</v>
      </c>
      <c r="W258" s="82">
        <f t="shared" si="673"/>
        <v>0</v>
      </c>
      <c r="X258" s="81">
        <f>+(X206-V206)</f>
        <v>0</v>
      </c>
      <c r="Y258" s="81">
        <f t="shared" ref="Y258:AA258" si="684">+(Y206-X206)</f>
        <v>0</v>
      </c>
      <c r="Z258" s="81">
        <f t="shared" si="684"/>
        <v>0</v>
      </c>
      <c r="AA258" s="81">
        <f t="shared" si="684"/>
        <v>0</v>
      </c>
      <c r="AB258" s="82">
        <f t="shared" si="675"/>
        <v>0</v>
      </c>
      <c r="AC258" s="81">
        <f>+(AC206-AA206)</f>
        <v>0</v>
      </c>
      <c r="AD258" s="81">
        <f t="shared" ref="AD258:AF258" si="685">+(AD206-AC206)</f>
        <v>0</v>
      </c>
      <c r="AE258" s="81">
        <f t="shared" si="685"/>
        <v>0</v>
      </c>
      <c r="AF258" s="81">
        <f t="shared" si="685"/>
        <v>0</v>
      </c>
      <c r="AG258" s="82">
        <f t="shared" si="677"/>
        <v>0</v>
      </c>
      <c r="AH258" s="81">
        <f>+(AH206-AF206)</f>
        <v>0</v>
      </c>
      <c r="AI258" s="81">
        <f t="shared" ref="AI258:AK258" si="686">+(AI206-AH206)</f>
        <v>0</v>
      </c>
      <c r="AJ258" s="81">
        <f t="shared" si="686"/>
        <v>0</v>
      </c>
      <c r="AK258" s="81">
        <f t="shared" si="686"/>
        <v>0</v>
      </c>
      <c r="AL258" s="82">
        <f t="shared" si="679"/>
        <v>0</v>
      </c>
      <c r="AM258" s="81">
        <f>+(AM206-AK206)</f>
        <v>0</v>
      </c>
      <c r="AN258" s="81">
        <f t="shared" ref="AN258:AP258" si="687">+(AN206-AM206)</f>
        <v>0</v>
      </c>
      <c r="AO258" s="81">
        <f t="shared" si="687"/>
        <v>0</v>
      </c>
      <c r="AP258" s="81">
        <f t="shared" si="687"/>
        <v>0</v>
      </c>
      <c r="AQ258" s="82">
        <f t="shared" si="681"/>
        <v>0</v>
      </c>
    </row>
    <row r="259" spans="1:43" ht="17.25" outlineLevel="1" x14ac:dyDescent="0.4">
      <c r="A259" s="254"/>
      <c r="B259" s="619" t="s">
        <v>224</v>
      </c>
      <c r="C259" s="620"/>
      <c r="D259" s="248">
        <v>305.60000000000002</v>
      </c>
      <c r="E259" s="248">
        <f>429.3-D259</f>
        <v>123.69999999999999</v>
      </c>
      <c r="F259" s="248">
        <f>-67.4-E259-D259</f>
        <v>-496.70000000000005</v>
      </c>
      <c r="G259" s="248">
        <f>-141.1-F259-E259-D259</f>
        <v>-73.699999999999989</v>
      </c>
      <c r="H259" s="241">
        <f t="shared" si="668"/>
        <v>-141.10000000000002</v>
      </c>
      <c r="I259" s="248">
        <f>-31.8-301.6</f>
        <v>-333.40000000000003</v>
      </c>
      <c r="J259" s="248">
        <f>-608.6-140.5-I259</f>
        <v>-415.7</v>
      </c>
      <c r="K259" s="248">
        <f>-918.2+70.5-J259-I259</f>
        <v>-98.600000000000023</v>
      </c>
      <c r="L259" s="248">
        <f>-1231.4+280.5-K259-J259-I259</f>
        <v>-103.20000000000005</v>
      </c>
      <c r="M259" s="241">
        <f t="shared" ref="M259" si="688">SUM(I259:L259)</f>
        <v>-950.90000000000009</v>
      </c>
      <c r="N259" s="248">
        <f>-314.8+12.3</f>
        <v>-302.5</v>
      </c>
      <c r="O259" s="248">
        <f>-676.3+59.5-N259</f>
        <v>-314.29999999999995</v>
      </c>
      <c r="P259" s="248">
        <f>-1029.8+154.6-O259-N259</f>
        <v>-258.39999999999998</v>
      </c>
      <c r="Q259" s="248">
        <f t="shared" ref="Q259" si="689">(Q204-P204)+(Q214-P214)+(Q215-P215)+(Q207-P207)+(Q205-P205)</f>
        <v>221.75774610234214</v>
      </c>
      <c r="R259" s="241">
        <f t="shared" ref="R259" si="690">SUM(N259:Q259)</f>
        <v>-653.44225389765779</v>
      </c>
      <c r="S259" s="248">
        <f>(S204-Q204)+(S214-Q214)+(S215-Q215)+(S207-Q207)+(S205-Q205)</f>
        <v>79.474037824011134</v>
      </c>
      <c r="T259" s="248">
        <f t="shared" ref="T259:V259" si="691">(T204-S204)+(T214-S214)+(T215-S215)+(T207-S207)+(T205-S205)</f>
        <v>-75.040899443346007</v>
      </c>
      <c r="U259" s="248">
        <f t="shared" si="691"/>
        <v>115.56487202641767</v>
      </c>
      <c r="V259" s="248">
        <f t="shared" si="691"/>
        <v>222.45438692836592</v>
      </c>
      <c r="W259" s="241">
        <f t="shared" ref="W259" si="692">SUM(S259:V259)</f>
        <v>342.45239733544872</v>
      </c>
      <c r="X259" s="248">
        <f>(X204-V204)+(X214-V214)+(X215-V215)+(X207-V207)+(X205-V205)</f>
        <v>-135.84233954138597</v>
      </c>
      <c r="Y259" s="248">
        <f t="shared" ref="Y259:AA259" si="693">(Y204-X204)+(Y214-X214)+(Y215-X215)+(Y207-X207)+(Y205-X205)</f>
        <v>-81.250102978313748</v>
      </c>
      <c r="Z259" s="248">
        <f t="shared" si="693"/>
        <v>143.21139664513908</v>
      </c>
      <c r="AA259" s="248">
        <f t="shared" si="693"/>
        <v>1.4232210609486629</v>
      </c>
      <c r="AB259" s="241">
        <f t="shared" ref="AB259" si="694">SUM(X259:AA259)</f>
        <v>-72.457824813611978</v>
      </c>
      <c r="AC259" s="248">
        <f>(AC204-AA204)+(AC214-AA214)+(AC215-AA215)+(AC207-AA207)+(AC205-AA205)</f>
        <v>-14.600753885181234</v>
      </c>
      <c r="AD259" s="248">
        <f t="shared" ref="AD259:AF259" si="695">(AD204-AC204)+(AD214-AC214)+(AD215-AC215)+(AD207-AC207)+(AD205-AC205)</f>
        <v>-46.65246619581535</v>
      </c>
      <c r="AE259" s="248">
        <f t="shared" si="695"/>
        <v>212.35768138436845</v>
      </c>
      <c r="AF259" s="248">
        <f t="shared" si="695"/>
        <v>-58.317910623930061</v>
      </c>
      <c r="AG259" s="241">
        <f t="shared" ref="AG259" si="696">SUM(AC259:AF259)</f>
        <v>92.786550679441802</v>
      </c>
      <c r="AH259" s="248">
        <f>(AH204-AF204)+(AH214-AF214)+(AH215-AF215)+(AH207-AF207)+(AH205-AF205)</f>
        <v>-19.234597988130986</v>
      </c>
      <c r="AI259" s="248">
        <f t="shared" ref="AI259:AK259" si="697">(AI204-AH204)+(AI214-AH214)+(AI215-AH215)+(AI207-AH207)+(AI205-AH205)</f>
        <v>-37.303954187402155</v>
      </c>
      <c r="AJ259" s="248">
        <f t="shared" si="697"/>
        <v>232.69975519108334</v>
      </c>
      <c r="AK259" s="248">
        <f t="shared" si="697"/>
        <v>-57.888236064765806</v>
      </c>
      <c r="AL259" s="241">
        <f t="shared" ref="AL259" si="698">SUM(AH259:AK259)</f>
        <v>118.27296695078439</v>
      </c>
      <c r="AM259" s="248">
        <f>(AM204-AK204)+(AM214-AK214)+(AM215-AK215)+(AM207-AK207)+(AM205-AK205)</f>
        <v>-22.26318375062101</v>
      </c>
      <c r="AN259" s="248">
        <f t="shared" ref="AN259:AP259" si="699">(AN204-AM204)+(AN214-AM214)+(AN215-AM215)+(AN207-AM207)+(AN205-AM205)</f>
        <v>-39.072264185923359</v>
      </c>
      <c r="AO259" s="248">
        <f t="shared" si="699"/>
        <v>243.05873474253679</v>
      </c>
      <c r="AP259" s="248">
        <f t="shared" si="699"/>
        <v>-55.627466217999086</v>
      </c>
      <c r="AQ259" s="241">
        <f t="shared" ref="AQ259" si="700">SUM(AM259:AP259)</f>
        <v>126.09582058799333</v>
      </c>
    </row>
    <row r="260" spans="1:43" outlineLevel="1" x14ac:dyDescent="0.25">
      <c r="A260" s="254"/>
      <c r="B260" s="625" t="s">
        <v>12</v>
      </c>
      <c r="C260" s="626"/>
      <c r="D260" s="80">
        <f t="shared" ref="D260:AL260" si="701">D244+SUM(D245:D259)</f>
        <v>2379.0000000000005</v>
      </c>
      <c r="E260" s="80">
        <f t="shared" si="701"/>
        <v>390.39999999999969</v>
      </c>
      <c r="F260" s="80">
        <f t="shared" si="701"/>
        <v>1169.400000000001</v>
      </c>
      <c r="G260" s="80">
        <f t="shared" si="701"/>
        <v>1108.1000000000008</v>
      </c>
      <c r="H260" s="242">
        <f t="shared" si="701"/>
        <v>5046.9000000000051</v>
      </c>
      <c r="I260" s="80">
        <f t="shared" si="701"/>
        <v>1836.0999999999985</v>
      </c>
      <c r="J260" s="80">
        <f t="shared" si="701"/>
        <v>-1361.3000000000009</v>
      </c>
      <c r="K260" s="80">
        <f t="shared" si="701"/>
        <v>-367.69999999999925</v>
      </c>
      <c r="L260" s="80">
        <f t="shared" si="701"/>
        <v>1490.7000000000014</v>
      </c>
      <c r="M260" s="242">
        <f t="shared" si="701"/>
        <v>1597.8000000000043</v>
      </c>
      <c r="N260" s="80">
        <f t="shared" si="701"/>
        <v>1835.7000000000003</v>
      </c>
      <c r="O260" s="80">
        <f t="shared" si="701"/>
        <v>883.80000000000018</v>
      </c>
      <c r="P260" s="80">
        <f t="shared" si="701"/>
        <v>1748.9999999999991</v>
      </c>
      <c r="Q260" s="80">
        <f t="shared" si="701"/>
        <v>1106.6333073953983</v>
      </c>
      <c r="R260" s="242">
        <f t="shared" si="701"/>
        <v>5575.1333073953956</v>
      </c>
      <c r="S260" s="80">
        <f t="shared" si="701"/>
        <v>2629.4877050927398</v>
      </c>
      <c r="T260" s="80">
        <f t="shared" si="701"/>
        <v>1076.9386563706057</v>
      </c>
      <c r="U260" s="80">
        <f t="shared" si="701"/>
        <v>1972.9680454639442</v>
      </c>
      <c r="V260" s="80">
        <f t="shared" si="701"/>
        <v>1112.1607518838491</v>
      </c>
      <c r="W260" s="242">
        <f t="shared" si="701"/>
        <v>6791.5551588111321</v>
      </c>
      <c r="X260" s="80">
        <f t="shared" si="701"/>
        <v>2627.5359258424355</v>
      </c>
      <c r="Y260" s="80">
        <f t="shared" si="701"/>
        <v>1245.7992305859286</v>
      </c>
      <c r="Z260" s="80">
        <f t="shared" si="701"/>
        <v>2038.9502212195612</v>
      </c>
      <c r="AA260" s="80">
        <f t="shared" si="701"/>
        <v>1079.5084381495185</v>
      </c>
      <c r="AB260" s="242">
        <f t="shared" si="701"/>
        <v>6991.7938157974495</v>
      </c>
      <c r="AC260" s="80">
        <f t="shared" si="701"/>
        <v>2949.3747255794269</v>
      </c>
      <c r="AD260" s="80">
        <f t="shared" si="701"/>
        <v>1393.7224063577341</v>
      </c>
      <c r="AE260" s="80">
        <f t="shared" si="701"/>
        <v>2296.9975120482873</v>
      </c>
      <c r="AF260" s="80">
        <f t="shared" si="701"/>
        <v>1066.474995103139</v>
      </c>
      <c r="AG260" s="242">
        <f t="shared" si="701"/>
        <v>7706.569639088586</v>
      </c>
      <c r="AH260" s="80">
        <f t="shared" si="701"/>
        <v>3237.5830700823462</v>
      </c>
      <c r="AI260" s="80">
        <f t="shared" si="701"/>
        <v>1551.5084424329723</v>
      </c>
      <c r="AJ260" s="80">
        <f t="shared" si="701"/>
        <v>2499.0675340086414</v>
      </c>
      <c r="AK260" s="80">
        <f t="shared" si="701"/>
        <v>1201.8922613392838</v>
      </c>
      <c r="AL260" s="242">
        <f t="shared" si="701"/>
        <v>8490.0513078632466</v>
      </c>
      <c r="AM260" s="80">
        <f t="shared" ref="AM260:AQ260" si="702">AM244+SUM(AM245:AM259)</f>
        <v>3498.8269274133163</v>
      </c>
      <c r="AN260" s="80">
        <f t="shared" si="702"/>
        <v>1697.6466086709561</v>
      </c>
      <c r="AO260" s="80">
        <f t="shared" si="702"/>
        <v>2716.4183283574775</v>
      </c>
      <c r="AP260" s="80">
        <f t="shared" si="702"/>
        <v>1306.0375861398952</v>
      </c>
      <c r="AQ260" s="242">
        <f t="shared" si="702"/>
        <v>9218.9294505816488</v>
      </c>
    </row>
    <row r="261" spans="1:43" outlineLevel="1" x14ac:dyDescent="0.25">
      <c r="A261" s="254"/>
      <c r="B261" s="603" t="s">
        <v>13</v>
      </c>
      <c r="C261" s="604"/>
      <c r="D261" s="354"/>
      <c r="E261" s="24"/>
      <c r="F261" s="24"/>
      <c r="G261" s="24"/>
      <c r="H261" s="25"/>
      <c r="I261" s="301"/>
      <c r="J261" s="301"/>
      <c r="K261" s="24"/>
      <c r="L261" s="24"/>
      <c r="M261" s="249"/>
      <c r="N261" s="24"/>
      <c r="O261" s="24"/>
      <c r="P261" s="24"/>
      <c r="Q261" s="24"/>
      <c r="R261" s="249"/>
      <c r="S261" s="24"/>
      <c r="T261" s="24"/>
      <c r="U261" s="24"/>
      <c r="V261" s="24"/>
      <c r="W261" s="249"/>
      <c r="X261" s="24"/>
      <c r="Y261" s="24"/>
      <c r="Z261" s="24"/>
      <c r="AA261" s="24"/>
      <c r="AB261" s="249"/>
      <c r="AC261" s="24"/>
      <c r="AD261" s="24"/>
      <c r="AE261" s="24"/>
      <c r="AF261" s="24"/>
      <c r="AG261" s="249"/>
      <c r="AH261" s="24"/>
      <c r="AI261" s="24"/>
      <c r="AJ261" s="24"/>
      <c r="AK261" s="24"/>
      <c r="AL261" s="249"/>
      <c r="AM261" s="24"/>
      <c r="AN261" s="24"/>
      <c r="AO261" s="24"/>
      <c r="AP261" s="24"/>
      <c r="AQ261" s="249"/>
    </row>
    <row r="262" spans="1:43" outlineLevel="1" x14ac:dyDescent="0.25">
      <c r="A262" s="254"/>
      <c r="B262" s="539" t="s">
        <v>220</v>
      </c>
      <c r="C262" s="540"/>
      <c r="D262" s="34">
        <f>-108.7+32.1+14.2</f>
        <v>-62.399999999999991</v>
      </c>
      <c r="E262" s="34">
        <f>-150.2+218.3+55.1-D262</f>
        <v>185.60000000000002</v>
      </c>
      <c r="F262" s="34">
        <f>-176.3+281.7+57.5-E262-D262</f>
        <v>39.699999999999946</v>
      </c>
      <c r="G262" s="34">
        <f>-190.4+298.3+59.8-F262-E262-D262</f>
        <v>4.8000000000000256</v>
      </c>
      <c r="H262" s="35">
        <f>SUM(D262:G262)</f>
        <v>167.7</v>
      </c>
      <c r="I262" s="34">
        <f>-38+64.6+1.3</f>
        <v>27.899999999999995</v>
      </c>
      <c r="J262" s="34">
        <f>-65.1+93.7+4.3-I262</f>
        <v>5.0000000000000107</v>
      </c>
      <c r="K262" s="34">
        <f>-297.4+133.5+10-J262-I262</f>
        <v>-186.79999999999998</v>
      </c>
      <c r="L262" s="34">
        <f>-443.9+186.7+73.7-K262-J262-I262</f>
        <v>-29.600000000000023</v>
      </c>
      <c r="M262" s="35">
        <f>SUM(I262:L262)</f>
        <v>-183.5</v>
      </c>
      <c r="N262" s="34">
        <f>-135.5+91.2+113.7</f>
        <v>69.400000000000006</v>
      </c>
      <c r="O262" s="34">
        <f>-321.7+121.7+289-N262</f>
        <v>19.599999999999994</v>
      </c>
      <c r="P262" s="34">
        <f>-367.3+130.4+298.7-O262-N262</f>
        <v>-27.200000000000017</v>
      </c>
      <c r="Q262" s="34">
        <f>-(Q188-P188)-(Q193-P193)</f>
        <v>-15.062848137722739</v>
      </c>
      <c r="R262" s="35">
        <f>SUM(N262:Q262)</f>
        <v>46.737151862277244</v>
      </c>
      <c r="S262" s="34">
        <f>-(S188-Q188)-(S193-Q193)</f>
        <v>12.938263914782112</v>
      </c>
      <c r="T262" s="34">
        <f>-(T188-S188)-(T193-S193)</f>
        <v>11.746397348946743</v>
      </c>
      <c r="U262" s="34">
        <f>-(U188-T188)-(U193-T193)</f>
        <v>-1.5518809048575122</v>
      </c>
      <c r="V262" s="34">
        <f>-(V188-U188)-(V193-U193)</f>
        <v>-0.4745699686988587</v>
      </c>
      <c r="W262" s="35">
        <f>SUM(S262:V262)</f>
        <v>22.658210390172485</v>
      </c>
      <c r="X262" s="34">
        <f>-(X188-V188)-(X193-V193)</f>
        <v>-2.1346063817484833</v>
      </c>
      <c r="Y262" s="34">
        <f>-(Y188-X188)-(Y193-X193)</f>
        <v>8.0126614819652673</v>
      </c>
      <c r="Z262" s="34">
        <f>-(Z188-Y188)-(Z193-Y193)</f>
        <v>-3.5890221239087055</v>
      </c>
      <c r="AA262" s="34">
        <f>-(AA188-Z188)-(AA193-Z193)</f>
        <v>0.21708906069733303</v>
      </c>
      <c r="AB262" s="35">
        <f>SUM(X262:AA262)</f>
        <v>2.5061220370054116</v>
      </c>
      <c r="AC262" s="34">
        <f>-(AC188-AA188)-(AC193-AA193)</f>
        <v>-9.3284961978546903</v>
      </c>
      <c r="AD262" s="34">
        <f>-(AD188-AC188)-(AD193-AC193)</f>
        <v>5.2477559459120187</v>
      </c>
      <c r="AE262" s="34">
        <f>-(AE188-AD188)-(AE193-AD193)</f>
        <v>-8.2309686866548475</v>
      </c>
      <c r="AF262" s="34">
        <f>-(AF188-AE188)-(AF193-AE193)</f>
        <v>-2.4463825144630391</v>
      </c>
      <c r="AG262" s="35">
        <f>SUM(AC262:AF262)</f>
        <v>-14.758091453060558</v>
      </c>
      <c r="AH262" s="34">
        <f>-(AH188-AF188)-(AH193-AF193)</f>
        <v>-13.391926827612053</v>
      </c>
      <c r="AI262" s="34">
        <f>-(AI188-AH188)-(AI193-AH193)</f>
        <v>2.1621876589273654</v>
      </c>
      <c r="AJ262" s="34">
        <f>-(AJ188-AI188)-(AJ193-AI193)</f>
        <v>-11.929951737727635</v>
      </c>
      <c r="AK262" s="34">
        <f>-(AK188-AJ188)-(AK193-AJ193)</f>
        <v>-5.5099466626552953</v>
      </c>
      <c r="AL262" s="35">
        <f>SUM(AH262:AK262)</f>
        <v>-28.669637569067618</v>
      </c>
      <c r="AM262" s="34">
        <f>-(AM188-AK188)-(AM193-AK193)</f>
        <v>-15.641817457062956</v>
      </c>
      <c r="AN262" s="34">
        <f>-(AN188-AM188)-(AN193-AM193)</f>
        <v>1.2233493120212415</v>
      </c>
      <c r="AO262" s="34">
        <f>-(AO188-AN188)-(AO193-AN193)</f>
        <v>-13.908094980014056</v>
      </c>
      <c r="AP262" s="34">
        <f>-(AP188-AO188)-(AP193-AO193)</f>
        <v>-7.2286445369396972</v>
      </c>
      <c r="AQ262" s="35">
        <f>SUM(AM262:AP262)</f>
        <v>-35.555207661995468</v>
      </c>
    </row>
    <row r="263" spans="1:43" outlineLevel="1" x14ac:dyDescent="0.25">
      <c r="A263" s="254"/>
      <c r="B263" s="595" t="s">
        <v>221</v>
      </c>
      <c r="C263" s="596"/>
      <c r="D263" s="34">
        <v>-431.4</v>
      </c>
      <c r="E263" s="34">
        <f>-845.6-D263</f>
        <v>-414.20000000000005</v>
      </c>
      <c r="F263" s="34">
        <f>-1280.7-E263-D263</f>
        <v>-435.1</v>
      </c>
      <c r="G263" s="34">
        <f>-1806.6-F263-E263-D263</f>
        <v>-525.9</v>
      </c>
      <c r="H263" s="449">
        <f>SUM(D263:G263)</f>
        <v>-1806.6</v>
      </c>
      <c r="I263" s="34">
        <v>-394.3</v>
      </c>
      <c r="J263" s="34">
        <f>-758.3-I263</f>
        <v>-363.99999999999994</v>
      </c>
      <c r="K263" s="34">
        <f>-1138.4-J263-I263</f>
        <v>-380.10000000000008</v>
      </c>
      <c r="L263" s="34">
        <f>-1483.6-K263-J263-I263</f>
        <v>-345.19999999999976</v>
      </c>
      <c r="M263" s="449">
        <f>SUM(I263:L263)</f>
        <v>-1483.6</v>
      </c>
      <c r="N263" s="34">
        <v>-324.2</v>
      </c>
      <c r="O263" s="34">
        <f>-647.9-N263</f>
        <v>-323.7</v>
      </c>
      <c r="P263" s="34">
        <f>-985.7-O263-N263</f>
        <v>-337.8</v>
      </c>
      <c r="Q263" s="34">
        <f>-Q16*Q294</f>
        <v>-714.29999999999984</v>
      </c>
      <c r="R263" s="350">
        <f>SUM(N263:Q263)</f>
        <v>-1700</v>
      </c>
      <c r="S263" s="34">
        <f>-S16*S294</f>
        <v>-491.45691783264891</v>
      </c>
      <c r="T263" s="34">
        <f>-T16*T294</f>
        <v>-473.92949095910342</v>
      </c>
      <c r="U263" s="34">
        <f>-U16*U294</f>
        <v>-521.25948219709653</v>
      </c>
      <c r="V263" s="34">
        <f>-V16*V294</f>
        <v>-510.07293124221849</v>
      </c>
      <c r="W263" s="350">
        <f>SUM(S263:V263)</f>
        <v>-1996.7188222310674</v>
      </c>
      <c r="X263" s="34">
        <f>-X16*X294</f>
        <v>-488.90423301785711</v>
      </c>
      <c r="Y263" s="34">
        <f>-Y16*Y294</f>
        <v>-478.70495538144957</v>
      </c>
      <c r="Z263" s="34">
        <f>-Z16*Z294</f>
        <v>-523.31704156593082</v>
      </c>
      <c r="AA263" s="34">
        <f>-AA16*AA294</f>
        <v>-507.3977673001387</v>
      </c>
      <c r="AB263" s="350">
        <f>SUM(X263:AA263)</f>
        <v>-1998.3239972653762</v>
      </c>
      <c r="AC263" s="34">
        <f>-AC16*AC294</f>
        <v>-481.27655171128475</v>
      </c>
      <c r="AD263" s="34">
        <f>-AD16*AD294</f>
        <v>-472.96526180205689</v>
      </c>
      <c r="AE263" s="34">
        <f>-AE16*AE294</f>
        <v>-516.64424090279601</v>
      </c>
      <c r="AF263" s="34">
        <f>-AF16*AF294</f>
        <v>-528.33046004334972</v>
      </c>
      <c r="AG263" s="350">
        <f>SUM(AC263:AF263)</f>
        <v>-1999.2165144594874</v>
      </c>
      <c r="AH263" s="34">
        <f>-AH16*AH294</f>
        <v>-523.16758193950182</v>
      </c>
      <c r="AI263" s="34">
        <f>-AI16*AI294</f>
        <v>-514.34373812068804</v>
      </c>
      <c r="AJ263" s="34">
        <f>-AJ16*AJ294</f>
        <v>-560.08319250761053</v>
      </c>
      <c r="AK263" s="34">
        <f>-AK16*AK294</f>
        <v>-567.16799092705537</v>
      </c>
      <c r="AL263" s="35">
        <f>SUM(AH263:AK263)</f>
        <v>-2164.762503494856</v>
      </c>
      <c r="AM263" s="34">
        <f>-AM16*AM294</f>
        <v>-565.97674819492795</v>
      </c>
      <c r="AN263" s="34">
        <f>-AN16*AN294</f>
        <v>-555.86144642833449</v>
      </c>
      <c r="AO263" s="34">
        <f>-AO16*AO294</f>
        <v>-603.9233531944667</v>
      </c>
      <c r="AP263" s="34">
        <f>-AP16*AP294</f>
        <v>-611.09490597848298</v>
      </c>
      <c r="AQ263" s="35">
        <f>SUM(AM263:AP263)</f>
        <v>-2336.856453796212</v>
      </c>
    </row>
    <row r="264" spans="1:43" ht="17.25" outlineLevel="1" x14ac:dyDescent="0.4">
      <c r="A264" s="254"/>
      <c r="B264" s="595" t="s">
        <v>109</v>
      </c>
      <c r="C264" s="596"/>
      <c r="D264" s="37">
        <v>-16.600000000000001</v>
      </c>
      <c r="E264" s="37">
        <f>48.5-37.1-D264</f>
        <v>28</v>
      </c>
      <c r="F264" s="37">
        <f>684.2-72.9-E264-D264</f>
        <v>599.90000000000009</v>
      </c>
      <c r="G264" s="37">
        <f>684.3-56.2-F264-E264-D264</f>
        <v>16.79999999999982</v>
      </c>
      <c r="H264" s="38">
        <f>SUM(D264:G264)</f>
        <v>628.09999999999991</v>
      </c>
      <c r="I264" s="37">
        <v>-19.899999999999999</v>
      </c>
      <c r="J264" s="37">
        <f>-22.5-I264</f>
        <v>-2.6000000000000014</v>
      </c>
      <c r="K264" s="37">
        <f>-39.4-J264-I264</f>
        <v>-16.899999999999999</v>
      </c>
      <c r="L264" s="37">
        <f>-44.4-K264-J264-I264</f>
        <v>-5</v>
      </c>
      <c r="M264" s="38">
        <f>SUM(I264:L264)</f>
        <v>-44.4</v>
      </c>
      <c r="N264" s="37">
        <v>-17.7</v>
      </c>
      <c r="O264" s="37">
        <f>-20.1-N264</f>
        <v>-2.4000000000000021</v>
      </c>
      <c r="P264" s="37">
        <f>-62.3-O264-N264</f>
        <v>-42.199999999999989</v>
      </c>
      <c r="Q264" s="37">
        <f t="shared" ref="Q264" si="703">-(Q194-P194)-(Q198-P198)-(Q196-P196)+(Q213-P213)-(Q199-P199)-(Q200-P200)</f>
        <v>13.1114310713956</v>
      </c>
      <c r="R264" s="38">
        <f>SUM(N264:Q264)</f>
        <v>-49.18856892860439</v>
      </c>
      <c r="S264" s="37">
        <f>-(S194-Q194)-(S198-Q198)-(S196-Q196)+(S213-Q213)-(S199-Q199)-(S200-Q200)</f>
        <v>28.582818456847974</v>
      </c>
      <c r="T264" s="37">
        <f t="shared" ref="T264:V264" si="704">-(T194-S194)-(T198-S198)-(T196-S196)+(T213-S213)-(T199-S199)-(T200-S200)</f>
        <v>45.670277455730684</v>
      </c>
      <c r="U264" s="37">
        <f t="shared" si="704"/>
        <v>25.831953370915585</v>
      </c>
      <c r="V264" s="37">
        <f t="shared" si="704"/>
        <v>21.678748034065109</v>
      </c>
      <c r="W264" s="38">
        <f>SUM(S264:V264)</f>
        <v>121.76379731755935</v>
      </c>
      <c r="X264" s="37">
        <f>-(X194-V194)-(X198-V198)-(X196-V196)+(X213-V213)-(X199-V199)-(X200-V200)</f>
        <v>16.930055917916377</v>
      </c>
      <c r="Y264" s="37">
        <f t="shared" ref="Y264:AA264" si="705">-(Y194-X194)-(Y198-X198)-(Y196-X196)+(Y213-X213)-(Y199-X199)-(Y200-X200)</f>
        <v>32.808040165474495</v>
      </c>
      <c r="Z264" s="37">
        <f t="shared" si="705"/>
        <v>15.439317159959444</v>
      </c>
      <c r="AA264" s="37">
        <f t="shared" si="705"/>
        <v>18.810627721982996</v>
      </c>
      <c r="AB264" s="38">
        <f>SUM(X264:AA264)</f>
        <v>83.988040965333312</v>
      </c>
      <c r="AC264" s="37">
        <f>-(AC194-AA194)-(AC198-AA198)-(AC196-AA196)+(AC213-AA213)-(AC199-AA199)-(AC200-AA200)</f>
        <v>5.1608672822461301</v>
      </c>
      <c r="AD264" s="37">
        <f t="shared" ref="AD264:AF264" si="706">-(AD194-AC194)-(AD198-AC198)-(AD196-AC196)+(AD213-AC213)-(AD199-AC199)-(AD200-AC200)</f>
        <v>24.400303651372099</v>
      </c>
      <c r="AE264" s="37">
        <f t="shared" si="706"/>
        <v>5.2218823354850201</v>
      </c>
      <c r="AF264" s="37">
        <f t="shared" si="706"/>
        <v>12.133665248340634</v>
      </c>
      <c r="AG264" s="38">
        <f>SUM(AC264:AF264)</f>
        <v>46.916718517443883</v>
      </c>
      <c r="AH264" s="37">
        <f>-(AH194-AF194)-(AH198-AF198)-(AH196-AF196)+(AH213-AF213)-(AH199-AF199)-(AH200-AF200)</f>
        <v>-3.2501403139338549</v>
      </c>
      <c r="AI264" s="37">
        <f t="shared" ref="AI264:AK264" si="707">-(AI194-AH194)-(AI198-AH198)-(AI196-AH196)+(AI213-AH213)-(AI199-AH199)-(AI200-AH200)</f>
        <v>17.058560630678642</v>
      </c>
      <c r="AJ264" s="37">
        <f t="shared" si="707"/>
        <v>-2.6014183345758681</v>
      </c>
      <c r="AK264" s="37">
        <f t="shared" si="707"/>
        <v>5.4231796437870514</v>
      </c>
      <c r="AL264" s="38">
        <f>SUM(AH264:AK264)</f>
        <v>16.63018162595597</v>
      </c>
      <c r="AM264" s="37">
        <f>-(AM194-AK194)-(AM198-AK198)-(AM196-AK196)+(AM213-AK213)-(AM199-AK199)-(AM200-AK200)</f>
        <v>-8.7654093797324606</v>
      </c>
      <c r="AN264" s="37">
        <f t="shared" ref="AN264:AP264" si="708">-(AN194-AM194)-(AN198-AM198)-(AN196-AM196)+(AN213-AM213)-(AN199-AM199)-(AN200-AM200)</f>
        <v>13.3944704852955</v>
      </c>
      <c r="AO264" s="37">
        <f t="shared" si="708"/>
        <v>-7.4877186747065139</v>
      </c>
      <c r="AP264" s="37">
        <f t="shared" si="708"/>
        <v>1.0209529080784421</v>
      </c>
      <c r="AQ264" s="38">
        <f>SUM(AM264:AP264)</f>
        <v>-1.8377046610650325</v>
      </c>
    </row>
    <row r="265" spans="1:43" outlineLevel="1" x14ac:dyDescent="0.25">
      <c r="A265" s="254"/>
      <c r="B265" s="585" t="s">
        <v>14</v>
      </c>
      <c r="C265" s="586"/>
      <c r="D265" s="41">
        <f t="shared" ref="D265:AQ265" si="709">SUM(D262:D264)</f>
        <v>-510.4</v>
      </c>
      <c r="E265" s="41">
        <f t="shared" si="709"/>
        <v>-200.60000000000002</v>
      </c>
      <c r="F265" s="41">
        <f t="shared" si="709"/>
        <v>204.5</v>
      </c>
      <c r="G265" s="41">
        <f t="shared" si="709"/>
        <v>-504.30000000000007</v>
      </c>
      <c r="H265" s="42">
        <f t="shared" si="709"/>
        <v>-1010.8</v>
      </c>
      <c r="I265" s="41">
        <f t="shared" si="709"/>
        <v>-386.3</v>
      </c>
      <c r="J265" s="41">
        <f t="shared" si="709"/>
        <v>-361.59999999999997</v>
      </c>
      <c r="K265" s="41">
        <f t="shared" si="709"/>
        <v>-583.80000000000007</v>
      </c>
      <c r="L265" s="41">
        <f t="shared" si="709"/>
        <v>-379.79999999999978</v>
      </c>
      <c r="M265" s="42">
        <f t="shared" si="709"/>
        <v>-1711.5</v>
      </c>
      <c r="N265" s="41">
        <f t="shared" si="709"/>
        <v>-272.5</v>
      </c>
      <c r="O265" s="41">
        <f t="shared" si="709"/>
        <v>-306.5</v>
      </c>
      <c r="P265" s="41">
        <f t="shared" si="709"/>
        <v>-407.2</v>
      </c>
      <c r="Q265" s="41">
        <f t="shared" si="709"/>
        <v>-716.25141706632701</v>
      </c>
      <c r="R265" s="42">
        <f t="shared" si="709"/>
        <v>-1702.4514170663272</v>
      </c>
      <c r="S265" s="41">
        <f t="shared" si="709"/>
        <v>-449.93583546101883</v>
      </c>
      <c r="T265" s="41">
        <f t="shared" si="709"/>
        <v>-416.51281615442599</v>
      </c>
      <c r="U265" s="41">
        <f t="shared" si="709"/>
        <v>-496.97940973103846</v>
      </c>
      <c r="V265" s="41">
        <f t="shared" si="709"/>
        <v>-488.86875317685224</v>
      </c>
      <c r="W265" s="42">
        <f t="shared" si="709"/>
        <v>-1852.2968145233358</v>
      </c>
      <c r="X265" s="41">
        <f t="shared" si="709"/>
        <v>-474.10878348168922</v>
      </c>
      <c r="Y265" s="41">
        <f t="shared" si="709"/>
        <v>-437.8842537340098</v>
      </c>
      <c r="Z265" s="41">
        <f t="shared" si="709"/>
        <v>-511.46674652988014</v>
      </c>
      <c r="AA265" s="41">
        <f t="shared" si="709"/>
        <v>-488.37005051745837</v>
      </c>
      <c r="AB265" s="42">
        <f t="shared" si="709"/>
        <v>-1911.8298342630374</v>
      </c>
      <c r="AC265" s="41">
        <f t="shared" si="709"/>
        <v>-485.44418062689329</v>
      </c>
      <c r="AD265" s="41">
        <f t="shared" si="709"/>
        <v>-443.31720220477274</v>
      </c>
      <c r="AE265" s="41">
        <f t="shared" si="709"/>
        <v>-519.65332725396581</v>
      </c>
      <c r="AF265" s="41">
        <f t="shared" si="709"/>
        <v>-518.64317730947209</v>
      </c>
      <c r="AG265" s="42">
        <f t="shared" si="709"/>
        <v>-1967.057887395104</v>
      </c>
      <c r="AH265" s="41">
        <f t="shared" si="709"/>
        <v>-539.80964908104761</v>
      </c>
      <c r="AI265" s="41">
        <f t="shared" si="709"/>
        <v>-495.12298983108207</v>
      </c>
      <c r="AJ265" s="41">
        <f t="shared" si="709"/>
        <v>-574.61456257991404</v>
      </c>
      <c r="AK265" s="41">
        <f t="shared" si="709"/>
        <v>-567.25475794592353</v>
      </c>
      <c r="AL265" s="42">
        <f t="shared" si="709"/>
        <v>-2176.8019594379675</v>
      </c>
      <c r="AM265" s="41">
        <f t="shared" si="709"/>
        <v>-590.38397503172337</v>
      </c>
      <c r="AN265" s="41">
        <f t="shared" si="709"/>
        <v>-541.24362663101772</v>
      </c>
      <c r="AO265" s="41">
        <f t="shared" si="709"/>
        <v>-625.31916684918724</v>
      </c>
      <c r="AP265" s="41">
        <f t="shared" si="709"/>
        <v>-617.30259760734418</v>
      </c>
      <c r="AQ265" s="42">
        <f t="shared" si="709"/>
        <v>-2374.2493661192725</v>
      </c>
    </row>
    <row r="266" spans="1:43" outlineLevel="1" x14ac:dyDescent="0.25">
      <c r="A266" s="254"/>
      <c r="B266" s="623" t="s">
        <v>15</v>
      </c>
      <c r="C266" s="624"/>
      <c r="D266" s="251"/>
      <c r="E266" s="246"/>
      <c r="F266" s="246"/>
      <c r="G266" s="246"/>
      <c r="H266" s="247"/>
      <c r="I266" s="246"/>
      <c r="J266" s="246"/>
      <c r="K266" s="246"/>
      <c r="L266" s="246"/>
      <c r="M266" s="247"/>
      <c r="N266" s="246"/>
      <c r="O266" s="246"/>
      <c r="P266" s="246"/>
      <c r="Q266" s="246"/>
      <c r="R266" s="247"/>
      <c r="S266" s="246"/>
      <c r="T266" s="246"/>
      <c r="U266" s="246"/>
      <c r="V266" s="246"/>
      <c r="W266" s="247"/>
      <c r="X266" s="246"/>
      <c r="Y266" s="246"/>
      <c r="Z266" s="246"/>
      <c r="AA266" s="246"/>
      <c r="AB266" s="247"/>
      <c r="AC266" s="246"/>
      <c r="AD266" s="246"/>
      <c r="AE266" s="246"/>
      <c r="AF266" s="246"/>
      <c r="AG266" s="247"/>
      <c r="AH266" s="246"/>
      <c r="AI266" s="246"/>
      <c r="AJ266" s="246"/>
      <c r="AK266" s="246"/>
      <c r="AL266" s="247"/>
      <c r="AM266" s="246"/>
      <c r="AN266" s="246"/>
      <c r="AO266" s="246"/>
      <c r="AP266" s="246"/>
      <c r="AQ266" s="247"/>
    </row>
    <row r="267" spans="1:43" outlineLevel="1" x14ac:dyDescent="0.25">
      <c r="A267" s="254"/>
      <c r="B267" s="619" t="s">
        <v>270</v>
      </c>
      <c r="C267" s="620"/>
      <c r="D267" s="81">
        <v>0</v>
      </c>
      <c r="E267" s="81">
        <f>-D267</f>
        <v>0</v>
      </c>
      <c r="F267" s="81">
        <f>1996-350-E267-D267</f>
        <v>1646</v>
      </c>
      <c r="G267" s="81">
        <f>1996-F267-E267-D267</f>
        <v>350</v>
      </c>
      <c r="H267" s="82">
        <f t="shared" ref="H267:H271" si="710">SUM(D267:G267)</f>
        <v>1996</v>
      </c>
      <c r="I267" s="81">
        <v>0</v>
      </c>
      <c r="J267" s="81">
        <f>1739.7-I267</f>
        <v>1739.7</v>
      </c>
      <c r="K267" s="81">
        <f>1157.2+4727.6-J267-I267</f>
        <v>4145.1000000000004</v>
      </c>
      <c r="L267" s="81">
        <f>1406.6-K267-J267-I267</f>
        <v>-4478.2000000000007</v>
      </c>
      <c r="M267" s="82">
        <f t="shared" ref="M267:M271" si="711">SUM(I267:L267)</f>
        <v>1406.5999999999995</v>
      </c>
      <c r="N267" s="81">
        <v>192.9</v>
      </c>
      <c r="O267" s="81">
        <f>203.3-N267</f>
        <v>10.400000000000006</v>
      </c>
      <c r="P267" s="81">
        <f>215.6-O267-N267</f>
        <v>12.299999999999983</v>
      </c>
      <c r="Q267" s="81">
        <f>+(Q209-P209)+(Q212-P212)</f>
        <v>-250</v>
      </c>
      <c r="R267" s="82">
        <f t="shared" ref="R267:R271" si="712">SUM(N267:Q267)</f>
        <v>-34.400000000000006</v>
      </c>
      <c r="S267" s="81">
        <f>+(S209-Q209)+(S212-Q212)</f>
        <v>-499.99999999999989</v>
      </c>
      <c r="T267" s="81">
        <f>+(T209-S209)+(T212-S212)</f>
        <v>-500</v>
      </c>
      <c r="U267" s="81">
        <f>+(U209-T209)+(U212-T212)</f>
        <v>-499</v>
      </c>
      <c r="V267" s="81">
        <f>+(V209-U209)+(V212-U212)</f>
        <v>-250</v>
      </c>
      <c r="W267" s="82">
        <f t="shared" ref="W267:W271" si="713">SUM(S267:V267)</f>
        <v>-1749</v>
      </c>
      <c r="X267" s="81">
        <f>+(X209-V209)+(X212-V212)</f>
        <v>-250</v>
      </c>
      <c r="Y267" s="81">
        <f>+(Y209-X209)+(Y212-X212)</f>
        <v>-250</v>
      </c>
      <c r="Z267" s="81">
        <f>+(Z209-Y209)+(Z212-Y212)</f>
        <v>-250</v>
      </c>
      <c r="AA267" s="81">
        <f>+(AA209-Z209)+(AA212-Z212)</f>
        <v>-250</v>
      </c>
      <c r="AB267" s="82">
        <f t="shared" ref="AB267:AB271" si="714">SUM(X267:AA267)</f>
        <v>-1000</v>
      </c>
      <c r="AC267" s="81">
        <f>+(AC209-AA209)+(AC212-AA212)</f>
        <v>-359.35000000000082</v>
      </c>
      <c r="AD267" s="81">
        <f>+(AD209-AC209)+(AD212-AC212)</f>
        <v>-385.75</v>
      </c>
      <c r="AE267" s="81">
        <f>+(AE209-AD209)+(AE212-AD212)</f>
        <v>-385.75</v>
      </c>
      <c r="AF267" s="81">
        <f>+(AF209-AE209)+(AF212-AE212)</f>
        <v>-385.75</v>
      </c>
      <c r="AG267" s="82">
        <f t="shared" ref="AG267:AG271" si="715">SUM(AC267:AF267)</f>
        <v>-1516.6000000000008</v>
      </c>
      <c r="AH267" s="81">
        <f>+(AH209-AF209)+(AH212-AF212)</f>
        <v>-312.5</v>
      </c>
      <c r="AI267" s="81">
        <f>+(AI209-AH209)+(AI212-AH212)</f>
        <v>-312.5</v>
      </c>
      <c r="AJ267" s="81">
        <f>+(AJ209-AI209)+(AJ212-AI212)</f>
        <v>-312.5</v>
      </c>
      <c r="AK267" s="81">
        <f>+(AK209-AJ209)+(AK212-AJ212)</f>
        <v>-312.5</v>
      </c>
      <c r="AL267" s="82">
        <f t="shared" ref="AL267:AL271" si="716">SUM(AH267:AK267)</f>
        <v>-1250</v>
      </c>
      <c r="AM267" s="81">
        <f>+(AM209-AK209)+(AM212-AK212)</f>
        <v>-312.5</v>
      </c>
      <c r="AN267" s="81">
        <f>+(AN209-AM209)+(AN212-AM212)</f>
        <v>-312.5</v>
      </c>
      <c r="AO267" s="81">
        <f>+(AO209-AN209)+(AO212-AN212)</f>
        <v>-312.5</v>
      </c>
      <c r="AP267" s="81">
        <f>+(AP209-AO209)+(AP212-AO212)</f>
        <v>-312.5</v>
      </c>
      <c r="AQ267" s="82">
        <f t="shared" ref="AQ267:AQ271" si="717">SUM(AM267:AP267)</f>
        <v>-1250</v>
      </c>
    </row>
    <row r="268" spans="1:43" outlineLevel="1" x14ac:dyDescent="0.25">
      <c r="A268" s="254"/>
      <c r="B268" s="547" t="s">
        <v>269</v>
      </c>
      <c r="C268" s="548"/>
      <c r="D268" s="81">
        <v>-350</v>
      </c>
      <c r="E268" s="81">
        <v>0</v>
      </c>
      <c r="F268" s="81">
        <f>-75-E268-D268</f>
        <v>275</v>
      </c>
      <c r="G268" s="81">
        <f>-350-F268-E268-D268</f>
        <v>-275</v>
      </c>
      <c r="H268" s="82">
        <f t="shared" si="710"/>
        <v>-350</v>
      </c>
      <c r="I268" s="81"/>
      <c r="J268" s="81">
        <f t="shared" ref="J268" si="718">0-I268</f>
        <v>0</v>
      </c>
      <c r="K268" s="81">
        <v>-220.7</v>
      </c>
      <c r="L268" s="81">
        <f>-967.7-K268-J268-I268</f>
        <v>-747</v>
      </c>
      <c r="M268" s="82">
        <f t="shared" si="711"/>
        <v>-967.7</v>
      </c>
      <c r="N268" s="81">
        <f>-144.7-500</f>
        <v>-644.70000000000005</v>
      </c>
      <c r="O268" s="81">
        <f>-296.5-320.5-1250-N268</f>
        <v>-1222.3</v>
      </c>
      <c r="P268" s="81">
        <f>-296.5-346.2-1250-O268-N268</f>
        <v>-25.700000000000045</v>
      </c>
      <c r="Q268" s="81"/>
      <c r="R268" s="82">
        <f t="shared" si="712"/>
        <v>-1892.7</v>
      </c>
      <c r="S268" s="81"/>
      <c r="T268" s="81"/>
      <c r="U268" s="81"/>
      <c r="V268" s="81"/>
      <c r="W268" s="82">
        <f t="shared" si="713"/>
        <v>0</v>
      </c>
      <c r="X268" s="81"/>
      <c r="Y268" s="81"/>
      <c r="Z268" s="81"/>
      <c r="AA268" s="81"/>
      <c r="AB268" s="82">
        <f t="shared" si="714"/>
        <v>0</v>
      </c>
      <c r="AC268" s="81"/>
      <c r="AD268" s="81"/>
      <c r="AE268" s="81"/>
      <c r="AF268" s="81"/>
      <c r="AG268" s="82">
        <f t="shared" si="715"/>
        <v>0</v>
      </c>
      <c r="AH268" s="81"/>
      <c r="AI268" s="81"/>
      <c r="AJ268" s="81"/>
      <c r="AK268" s="81"/>
      <c r="AL268" s="82">
        <f t="shared" si="716"/>
        <v>0</v>
      </c>
      <c r="AM268" s="81"/>
      <c r="AN268" s="81"/>
      <c r="AO268" s="81"/>
      <c r="AP268" s="81"/>
      <c r="AQ268" s="82">
        <f t="shared" si="717"/>
        <v>0</v>
      </c>
    </row>
    <row r="269" spans="1:43" outlineLevel="1" x14ac:dyDescent="0.25">
      <c r="A269" s="254"/>
      <c r="B269" s="547" t="s">
        <v>267</v>
      </c>
      <c r="C269" s="548"/>
      <c r="D269" s="81"/>
      <c r="E269" s="81">
        <v>75</v>
      </c>
      <c r="F269" s="81">
        <v>0</v>
      </c>
      <c r="G269" s="81">
        <f>0-F269-E269-D269</f>
        <v>-75</v>
      </c>
      <c r="H269" s="82">
        <f t="shared" si="710"/>
        <v>0</v>
      </c>
      <c r="I269" s="81">
        <f>398.9+99</f>
        <v>497.9</v>
      </c>
      <c r="J269" s="81">
        <f>613+494.1-I269</f>
        <v>609.19999999999993</v>
      </c>
      <c r="K269" s="81">
        <f t="shared" ref="K269" si="719">0-J269-I269</f>
        <v>-1107.0999999999999</v>
      </c>
      <c r="L269" s="81">
        <f>4727.6-K269-J269-I269</f>
        <v>4727.6000000000013</v>
      </c>
      <c r="M269" s="82">
        <f t="shared" si="711"/>
        <v>4727.6000000000013</v>
      </c>
      <c r="N269" s="81">
        <v>0</v>
      </c>
      <c r="O269" s="81">
        <f t="shared" ref="O269:O274" si="720">0-N269</f>
        <v>0</v>
      </c>
      <c r="P269" s="81">
        <f t="shared" ref="P269:P274" si="721">0-O269-N269</f>
        <v>0</v>
      </c>
      <c r="Q269" s="81"/>
      <c r="R269" s="82">
        <f t="shared" si="712"/>
        <v>0</v>
      </c>
      <c r="S269" s="81"/>
      <c r="T269" s="81"/>
      <c r="U269" s="81"/>
      <c r="V269" s="81"/>
      <c r="W269" s="82">
        <f t="shared" si="713"/>
        <v>0</v>
      </c>
      <c r="X269" s="81"/>
      <c r="Y269" s="81"/>
      <c r="Z269" s="81"/>
      <c r="AA269" s="81"/>
      <c r="AB269" s="82">
        <f t="shared" si="714"/>
        <v>0</v>
      </c>
      <c r="AC269" s="81"/>
      <c r="AD269" s="81"/>
      <c r="AE269" s="81"/>
      <c r="AF269" s="81"/>
      <c r="AG269" s="82">
        <f t="shared" si="715"/>
        <v>0</v>
      </c>
      <c r="AH269" s="81"/>
      <c r="AI269" s="81"/>
      <c r="AJ269" s="81"/>
      <c r="AK269" s="81"/>
      <c r="AL269" s="82">
        <f t="shared" si="716"/>
        <v>0</v>
      </c>
      <c r="AM269" s="81"/>
      <c r="AN269" s="81"/>
      <c r="AO269" s="81"/>
      <c r="AP269" s="81"/>
      <c r="AQ269" s="82">
        <f t="shared" si="717"/>
        <v>0</v>
      </c>
    </row>
    <row r="270" spans="1:43" outlineLevel="1" x14ac:dyDescent="0.25">
      <c r="A270" s="254"/>
      <c r="B270" s="547" t="s">
        <v>219</v>
      </c>
      <c r="C270" s="548"/>
      <c r="D270" s="81">
        <v>108.4</v>
      </c>
      <c r="E270" s="81">
        <f>275.7-D270</f>
        <v>167.29999999999998</v>
      </c>
      <c r="F270" s="81">
        <f>358.5-E270-D270</f>
        <v>82.800000000000011</v>
      </c>
      <c r="G270" s="81">
        <f>409.8-F270-E270-D270</f>
        <v>51.300000000000011</v>
      </c>
      <c r="H270" s="82">
        <f t="shared" si="710"/>
        <v>409.8</v>
      </c>
      <c r="I270" s="81">
        <v>33.1</v>
      </c>
      <c r="J270" s="81">
        <f>65.4-I270</f>
        <v>32.300000000000004</v>
      </c>
      <c r="K270" s="81">
        <f>98.9-J270-I270</f>
        <v>33.499999999999993</v>
      </c>
      <c r="L270" s="81">
        <f>298.8-K270-J270-I270</f>
        <v>199.9</v>
      </c>
      <c r="M270" s="82">
        <f t="shared" si="711"/>
        <v>298.8</v>
      </c>
      <c r="N270" s="81">
        <v>102.8</v>
      </c>
      <c r="O270" s="81">
        <f>134.4-N270</f>
        <v>31.600000000000009</v>
      </c>
      <c r="P270" s="81">
        <f>191.6-O270-N270</f>
        <v>57.2</v>
      </c>
      <c r="Q270" s="81">
        <v>0</v>
      </c>
      <c r="R270" s="82">
        <f t="shared" si="712"/>
        <v>191.60000000000002</v>
      </c>
      <c r="S270" s="81">
        <v>0</v>
      </c>
      <c r="T270" s="81">
        <v>0</v>
      </c>
      <c r="U270" s="81">
        <v>0</v>
      </c>
      <c r="V270" s="81">
        <v>0</v>
      </c>
      <c r="W270" s="82">
        <f t="shared" si="713"/>
        <v>0</v>
      </c>
      <c r="X270" s="81">
        <v>0</v>
      </c>
      <c r="Y270" s="81">
        <v>0</v>
      </c>
      <c r="Z270" s="81">
        <v>0</v>
      </c>
      <c r="AA270" s="81">
        <v>0</v>
      </c>
      <c r="AB270" s="82">
        <f t="shared" si="714"/>
        <v>0</v>
      </c>
      <c r="AC270" s="81">
        <v>0</v>
      </c>
      <c r="AD270" s="81">
        <v>0</v>
      </c>
      <c r="AE270" s="81">
        <v>0</v>
      </c>
      <c r="AF270" s="81">
        <v>0</v>
      </c>
      <c r="AG270" s="82">
        <f t="shared" si="715"/>
        <v>0</v>
      </c>
      <c r="AH270" s="81">
        <v>0</v>
      </c>
      <c r="AI270" s="81">
        <v>0</v>
      </c>
      <c r="AJ270" s="81">
        <v>0</v>
      </c>
      <c r="AK270" s="81">
        <v>0</v>
      </c>
      <c r="AL270" s="82">
        <f t="shared" si="716"/>
        <v>0</v>
      </c>
      <c r="AM270" s="81">
        <v>0</v>
      </c>
      <c r="AN270" s="81">
        <v>0</v>
      </c>
      <c r="AO270" s="81">
        <v>0</v>
      </c>
      <c r="AP270" s="81">
        <v>0</v>
      </c>
      <c r="AQ270" s="82">
        <f t="shared" si="717"/>
        <v>0</v>
      </c>
    </row>
    <row r="271" spans="1:43" outlineLevel="1" x14ac:dyDescent="0.25">
      <c r="A271" s="254"/>
      <c r="B271" s="547" t="s">
        <v>225</v>
      </c>
      <c r="C271" s="548"/>
      <c r="D271" s="81">
        <v>-446.7</v>
      </c>
      <c r="E271" s="81">
        <f>-894.5-D271</f>
        <v>-447.8</v>
      </c>
      <c r="F271" s="81">
        <f>-1330.7-E271-D271</f>
        <v>-436.2000000000001</v>
      </c>
      <c r="G271" s="81">
        <f>-1761.3-F271-E271-D271</f>
        <v>-430.59999999999997</v>
      </c>
      <c r="H271" s="82">
        <f t="shared" si="710"/>
        <v>-1761.3</v>
      </c>
      <c r="I271" s="81">
        <v>-484.2</v>
      </c>
      <c r="J271" s="81">
        <f>-965.2-I271</f>
        <v>-481.00000000000006</v>
      </c>
      <c r="K271" s="81">
        <f>-1444.2-J271-I271</f>
        <v>-479.00000000000006</v>
      </c>
      <c r="L271" s="81">
        <f>-1923.5-K271-J271-I271</f>
        <v>-479.3</v>
      </c>
      <c r="M271" s="82">
        <f t="shared" si="711"/>
        <v>-1923.5</v>
      </c>
      <c r="N271" s="81">
        <v>-528.20000000000005</v>
      </c>
      <c r="O271" s="81">
        <f>-1058-N271</f>
        <v>-529.79999999999995</v>
      </c>
      <c r="P271" s="81">
        <f>-1588.2-O271-N271</f>
        <v>-530.20000000000005</v>
      </c>
      <c r="Q271" s="81">
        <f>-Q43*Q38</f>
        <v>-577.95541613588114</v>
      </c>
      <c r="R271" s="82">
        <f t="shared" si="712"/>
        <v>-2166.1554161358813</v>
      </c>
      <c r="S271" s="81">
        <f>-S43*S38</f>
        <v>-576.40458209438282</v>
      </c>
      <c r="T271" s="81">
        <f>-T43*T38</f>
        <v>-574.85243099637376</v>
      </c>
      <c r="U271" s="81">
        <f>-U43*U38</f>
        <v>-573.29896172333451</v>
      </c>
      <c r="V271" s="81">
        <f>-V43*V38</f>
        <v>-600.33138181358572</v>
      </c>
      <c r="W271" s="82">
        <f t="shared" si="713"/>
        <v>-2324.887356627677</v>
      </c>
      <c r="X271" s="81">
        <f>-X43*X38</f>
        <v>-598.69746738200479</v>
      </c>
      <c r="Y271" s="81">
        <f>-Y43*Y38</f>
        <v>-597.06216533731856</v>
      </c>
      <c r="Z271" s="81">
        <f>-Z43*Z38</f>
        <v>-595.42547450108691</v>
      </c>
      <c r="AA271" s="81">
        <f>-AA43*AA38</f>
        <v>-623.47676337856262</v>
      </c>
      <c r="AB271" s="82">
        <f t="shared" si="714"/>
        <v>-2414.6618705989727</v>
      </c>
      <c r="AC271" s="81">
        <f>-AC43*AC38</f>
        <v>-622.88078657198389</v>
      </c>
      <c r="AD271" s="81">
        <f>-AD43*AD38</f>
        <v>-622.28430362798986</v>
      </c>
      <c r="AE271" s="81">
        <f>-AE43*AE38</f>
        <v>-621.6873141167398</v>
      </c>
      <c r="AF271" s="81">
        <f>-AF43*AF38</f>
        <v>-621.08981760802794</v>
      </c>
      <c r="AG271" s="82">
        <f t="shared" si="715"/>
        <v>-2487.9422219247417</v>
      </c>
      <c r="AH271" s="81">
        <f>-AH43*AH38</f>
        <v>-620.49181367128324</v>
      </c>
      <c r="AI271" s="81">
        <f>-AI43*AI38</f>
        <v>-619.89330187556891</v>
      </c>
      <c r="AJ271" s="81">
        <f>-AJ43*AJ38</f>
        <v>-619.29428178958221</v>
      </c>
      <c r="AK271" s="81">
        <f>-AK43*AK38</f>
        <v>-680.56422827981953</v>
      </c>
      <c r="AL271" s="82">
        <f t="shared" si="716"/>
        <v>-2540.2436256162537</v>
      </c>
      <c r="AM271" s="81">
        <f>-AM43*AM38</f>
        <v>-679.90418652172389</v>
      </c>
      <c r="AN271" s="81">
        <f>-AN43*AN38</f>
        <v>-679.24358421861075</v>
      </c>
      <c r="AO271" s="81">
        <f>-AO43*AO38</f>
        <v>-678.58242089443331</v>
      </c>
      <c r="AP271" s="81">
        <f>-AP43*AP38</f>
        <v>-725.3751447978326</v>
      </c>
      <c r="AQ271" s="82">
        <f t="shared" si="717"/>
        <v>-2763.1053364326003</v>
      </c>
    </row>
    <row r="272" spans="1:43" outlineLevel="1" x14ac:dyDescent="0.25">
      <c r="A272" s="254"/>
      <c r="B272" s="547" t="s">
        <v>110</v>
      </c>
      <c r="C272" s="148"/>
      <c r="D272" s="81">
        <v>-5114.7</v>
      </c>
      <c r="E272" s="81">
        <f>-7827.9-D272</f>
        <v>-2713.2</v>
      </c>
      <c r="F272" s="81">
        <f>-7972.9-E272-D272</f>
        <v>-145</v>
      </c>
      <c r="G272" s="81">
        <f>-10222.3-F272-E272-D272</f>
        <v>-2249.3999999999996</v>
      </c>
      <c r="H272" s="82">
        <f>SUM(D272:G272)</f>
        <v>-10222.299999999999</v>
      </c>
      <c r="I272" s="81">
        <v>-1091.4000000000001</v>
      </c>
      <c r="J272" s="81">
        <f>-1698.9-I272</f>
        <v>-607.5</v>
      </c>
      <c r="K272" s="81">
        <f>-1698.9-J272-I272</f>
        <v>0</v>
      </c>
      <c r="L272" s="81">
        <f>-1698.9-K272-J272-I272</f>
        <v>0</v>
      </c>
      <c r="M272" s="82">
        <f>SUM(I272:L272)</f>
        <v>-1698.9</v>
      </c>
      <c r="N272" s="81">
        <f>-N163</f>
        <v>0</v>
      </c>
      <c r="O272" s="81">
        <f t="shared" si="720"/>
        <v>0</v>
      </c>
      <c r="P272" s="81">
        <f t="shared" si="721"/>
        <v>0</v>
      </c>
      <c r="Q272" s="81">
        <f>-Q163</f>
        <v>0</v>
      </c>
      <c r="R272" s="82">
        <f>SUM(N272:Q272)</f>
        <v>0</v>
      </c>
      <c r="S272" s="81">
        <f>-S163</f>
        <v>-500</v>
      </c>
      <c r="T272" s="81">
        <f>-T163</f>
        <v>-500</v>
      </c>
      <c r="U272" s="81">
        <f>-U163</f>
        <v>-500</v>
      </c>
      <c r="V272" s="81">
        <f>-V163</f>
        <v>-500</v>
      </c>
      <c r="W272" s="82">
        <f>SUM(S272:V272)</f>
        <v>-2000</v>
      </c>
      <c r="X272" s="81">
        <f>-X163</f>
        <v>-500</v>
      </c>
      <c r="Y272" s="81">
        <f>-Y163</f>
        <v>-500</v>
      </c>
      <c r="Z272" s="81">
        <f>-Z163</f>
        <v>-500</v>
      </c>
      <c r="AA272" s="81">
        <f>-AA163</f>
        <v>-500</v>
      </c>
      <c r="AB272" s="82">
        <f>SUM(X272:AA272)</f>
        <v>-2000</v>
      </c>
      <c r="AC272" s="81">
        <f>-AC163</f>
        <v>-250</v>
      </c>
      <c r="AD272" s="81">
        <f>-AD163</f>
        <v>-250</v>
      </c>
      <c r="AE272" s="81">
        <f>-AE163</f>
        <v>-250</v>
      </c>
      <c r="AF272" s="81">
        <f>-AF163</f>
        <v>-250</v>
      </c>
      <c r="AG272" s="82">
        <f>SUM(AC272:AF272)</f>
        <v>-1000</v>
      </c>
      <c r="AH272" s="81">
        <f>-AH163</f>
        <v>-250</v>
      </c>
      <c r="AI272" s="81">
        <f>-AI163</f>
        <v>-250</v>
      </c>
      <c r="AJ272" s="81">
        <f>-AJ163</f>
        <v>-250</v>
      </c>
      <c r="AK272" s="81">
        <f>-AK163</f>
        <v>-250</v>
      </c>
      <c r="AL272" s="82">
        <f>SUM(AH272:AK272)</f>
        <v>-1000</v>
      </c>
      <c r="AM272" s="81">
        <f>-AM163</f>
        <v>-250</v>
      </c>
      <c r="AN272" s="81">
        <f>-AN163</f>
        <v>-250</v>
      </c>
      <c r="AO272" s="81">
        <f>-AO163</f>
        <v>-250</v>
      </c>
      <c r="AP272" s="81">
        <f>-AP163</f>
        <v>-250</v>
      </c>
      <c r="AQ272" s="82">
        <f>SUM(AM272:AP272)</f>
        <v>-1000</v>
      </c>
    </row>
    <row r="273" spans="1:43" outlineLevel="1" x14ac:dyDescent="0.25">
      <c r="A273" s="254"/>
      <c r="B273" s="547" t="s">
        <v>241</v>
      </c>
      <c r="C273" s="75"/>
      <c r="D273" s="81">
        <v>-55.3</v>
      </c>
      <c r="E273" s="81">
        <f>-56.3-D273</f>
        <v>-1</v>
      </c>
      <c r="F273" s="81">
        <f>-106.1-E273-D273</f>
        <v>-49.8</v>
      </c>
      <c r="G273" s="81">
        <f>-111.6-F273-E273-D273</f>
        <v>-5.5</v>
      </c>
      <c r="H273" s="82">
        <f t="shared" ref="H273:H274" si="722">SUM(D273:G273)</f>
        <v>-111.6</v>
      </c>
      <c r="I273" s="81">
        <v>-78.400000000000006</v>
      </c>
      <c r="J273" s="81">
        <f>-87.6-I273</f>
        <v>-9.1999999999999886</v>
      </c>
      <c r="K273" s="81">
        <f>-89.1-J273-I273</f>
        <v>-1.5</v>
      </c>
      <c r="L273" s="81">
        <f>-91.9-K273-J273-I273</f>
        <v>-2.8000000000000114</v>
      </c>
      <c r="M273" s="82">
        <f t="shared" ref="M273:M274" si="723">SUM(I273:L273)</f>
        <v>-91.9</v>
      </c>
      <c r="N273" s="81">
        <v>-88.6</v>
      </c>
      <c r="O273" s="81">
        <f>-90.1-N273</f>
        <v>-1.5</v>
      </c>
      <c r="P273" s="81">
        <f>-94.2-O273-N273</f>
        <v>-4.1000000000000085</v>
      </c>
      <c r="Q273" s="81">
        <f>(P273/P250)*Q250</f>
        <v>-4.9378956723613943</v>
      </c>
      <c r="R273" s="82">
        <f t="shared" ref="R273" si="724">SUM(N273:Q273)</f>
        <v>-99.137895672361395</v>
      </c>
      <c r="S273" s="81">
        <f>(Q273/Q250)*S250</f>
        <v>-4.878206168185331</v>
      </c>
      <c r="T273" s="81">
        <f>(S273/S250)*T250</f>
        <v>-4.4508928630025091</v>
      </c>
      <c r="U273" s="81">
        <f>(T273/T250)*U250</f>
        <v>-4.9012987814436952</v>
      </c>
      <c r="V273" s="81">
        <f>(U273/U250)*V250</f>
        <v>-5.0623071200042924</v>
      </c>
      <c r="W273" s="82">
        <f t="shared" ref="W273" si="725">SUM(S273:V273)</f>
        <v>-19.292704932635829</v>
      </c>
      <c r="X273" s="81">
        <f>(V273/V250)*X250</f>
        <v>-5.0864758162233166</v>
      </c>
      <c r="Y273" s="81">
        <f>(X273/X250)*Y250</f>
        <v>-4.9342515286674047</v>
      </c>
      <c r="Z273" s="81">
        <f>(Y273/Y250)*Z250</f>
        <v>-5.4070930696203829</v>
      </c>
      <c r="AA273" s="81">
        <f>(Z273/Z250)*AA250</f>
        <v>-5.4802213314050929</v>
      </c>
      <c r="AB273" s="82">
        <f t="shared" ref="AB273" si="726">SUM(X273:AA273)</f>
        <v>-20.908041745916197</v>
      </c>
      <c r="AC273" s="81">
        <f>(AA273/AA250)*AC250</f>
        <v>-5.4561406108265329</v>
      </c>
      <c r="AD273" s="81">
        <f>(AC273/AC250)*AD250</f>
        <v>-5.3550756805754025</v>
      </c>
      <c r="AE273" s="81">
        <f>(AD273/AD250)*AE250</f>
        <v>-5.853909372315135</v>
      </c>
      <c r="AF273" s="81">
        <f>(AE273/AE250)*AF250</f>
        <v>-5.9188150124653633</v>
      </c>
      <c r="AG273" s="82">
        <f t="shared" ref="AG273" si="727">SUM(AC273:AF273)</f>
        <v>-22.583940676182433</v>
      </c>
      <c r="AH273" s="81">
        <f>(AF273/AF250)*AH250</f>
        <v>-5.9106877667742008</v>
      </c>
      <c r="AI273" s="81">
        <f>(AH273/AH250)*AI250</f>
        <v>-5.8060102482919698</v>
      </c>
      <c r="AJ273" s="81">
        <f>(AI273/AI250)*AJ250</f>
        <v>-6.3175654924872688</v>
      </c>
      <c r="AK273" s="81">
        <f>(AJ273/AJ250)*AK250</f>
        <v>-6.3902969710928588</v>
      </c>
      <c r="AL273" s="82">
        <f t="shared" ref="AL273" si="728">SUM(AH273:AK273)</f>
        <v>-24.424560478646299</v>
      </c>
      <c r="AM273" s="81">
        <f>(AK273/AK250)*AM250</f>
        <v>-6.3860214747419866</v>
      </c>
      <c r="AN273" s="81">
        <f>(AM273/AM250)*AN250</f>
        <v>-6.2698492491149276</v>
      </c>
      <c r="AO273" s="81">
        <f>(AN273/AN250)*AO250</f>
        <v>-6.8106564279885689</v>
      </c>
      <c r="AP273" s="81">
        <f>(AO273/AO250)*AP250</f>
        <v>-6.8911753107608469</v>
      </c>
      <c r="AQ273" s="82">
        <f t="shared" ref="AQ273" si="729">SUM(AM273:AP273)</f>
        <v>-26.35770246260633</v>
      </c>
    </row>
    <row r="274" spans="1:43" ht="17.25" outlineLevel="1" x14ac:dyDescent="0.4">
      <c r="A274" s="254"/>
      <c r="B274" s="619" t="s">
        <v>111</v>
      </c>
      <c r="C274" s="620"/>
      <c r="D274" s="248">
        <v>-0.3</v>
      </c>
      <c r="E274" s="248">
        <f>0.1-D274</f>
        <v>0.4</v>
      </c>
      <c r="F274" s="248">
        <f>-17.6-E274-D274</f>
        <v>-17.7</v>
      </c>
      <c r="G274" s="248">
        <f>-17.5-F274-E274-D274</f>
        <v>9.9999999999999256E-2</v>
      </c>
      <c r="H274" s="241">
        <f t="shared" si="722"/>
        <v>-17.5</v>
      </c>
      <c r="I274" s="248">
        <v>0</v>
      </c>
      <c r="J274" s="248">
        <f>-10.4-I274</f>
        <v>-10.4</v>
      </c>
      <c r="K274" s="248">
        <f>-37.8-J274-I274</f>
        <v>-27.4</v>
      </c>
      <c r="L274" s="248">
        <f>-37.7-K274-J274-I274</f>
        <v>9.9999999999996092E-2</v>
      </c>
      <c r="M274" s="241">
        <f t="shared" si="723"/>
        <v>-37.700000000000003</v>
      </c>
      <c r="N274" s="248">
        <v>0</v>
      </c>
      <c r="O274" s="248">
        <f t="shared" si="720"/>
        <v>0</v>
      </c>
      <c r="P274" s="248">
        <f t="shared" si="721"/>
        <v>0</v>
      </c>
      <c r="Q274" s="248">
        <v>0</v>
      </c>
      <c r="R274" s="241">
        <f t="shared" ref="R274" si="730">SUM(N274:Q274)</f>
        <v>0</v>
      </c>
      <c r="S274" s="248">
        <v>0</v>
      </c>
      <c r="T274" s="248">
        <v>0</v>
      </c>
      <c r="U274" s="248">
        <v>0</v>
      </c>
      <c r="V274" s="248">
        <v>0</v>
      </c>
      <c r="W274" s="241">
        <f t="shared" ref="W274" si="731">SUM(S274:V274)</f>
        <v>0</v>
      </c>
      <c r="X274" s="248">
        <v>0</v>
      </c>
      <c r="Y274" s="248">
        <v>0</v>
      </c>
      <c r="Z274" s="248">
        <v>0</v>
      </c>
      <c r="AA274" s="248">
        <v>0</v>
      </c>
      <c r="AB274" s="241">
        <f t="shared" ref="AB274" si="732">SUM(X274:AA274)</f>
        <v>0</v>
      </c>
      <c r="AC274" s="248">
        <v>0</v>
      </c>
      <c r="AD274" s="248">
        <v>0</v>
      </c>
      <c r="AE274" s="248">
        <v>0</v>
      </c>
      <c r="AF274" s="248">
        <v>0</v>
      </c>
      <c r="AG274" s="241">
        <f t="shared" ref="AG274" si="733">SUM(AC274:AF274)</f>
        <v>0</v>
      </c>
      <c r="AH274" s="248">
        <v>0</v>
      </c>
      <c r="AI274" s="248">
        <v>0</v>
      </c>
      <c r="AJ274" s="248">
        <v>0</v>
      </c>
      <c r="AK274" s="248">
        <v>0</v>
      </c>
      <c r="AL274" s="241">
        <f t="shared" ref="AL274" si="734">SUM(AH274:AK274)</f>
        <v>0</v>
      </c>
      <c r="AM274" s="248">
        <v>0</v>
      </c>
      <c r="AN274" s="248">
        <v>0</v>
      </c>
      <c r="AO274" s="248">
        <v>0</v>
      </c>
      <c r="AP274" s="248">
        <v>0</v>
      </c>
      <c r="AQ274" s="241">
        <f t="shared" ref="AQ274" si="735">SUM(AM274:AP274)</f>
        <v>0</v>
      </c>
    </row>
    <row r="275" spans="1:43" outlineLevel="1" x14ac:dyDescent="0.25">
      <c r="A275" s="254"/>
      <c r="B275" s="625" t="s">
        <v>16</v>
      </c>
      <c r="C275" s="626"/>
      <c r="D275" s="80">
        <f t="shared" ref="D275:AQ275" si="736">SUM(D267:D274)</f>
        <v>-5858.6</v>
      </c>
      <c r="E275" s="80">
        <f t="shared" si="736"/>
        <v>-2919.2999999999997</v>
      </c>
      <c r="F275" s="80">
        <f t="shared" si="736"/>
        <v>1355.1</v>
      </c>
      <c r="G275" s="80">
        <f t="shared" si="736"/>
        <v>-2634.1</v>
      </c>
      <c r="H275" s="242">
        <f t="shared" si="736"/>
        <v>-10056.9</v>
      </c>
      <c r="I275" s="80">
        <f t="shared" si="736"/>
        <v>-1123.0000000000002</v>
      </c>
      <c r="J275" s="80">
        <f t="shared" si="736"/>
        <v>1273.1000000000001</v>
      </c>
      <c r="K275" s="80">
        <f t="shared" si="736"/>
        <v>2342.9000000000005</v>
      </c>
      <c r="L275" s="80">
        <f t="shared" si="736"/>
        <v>-779.69999999999948</v>
      </c>
      <c r="M275" s="242">
        <f t="shared" si="736"/>
        <v>1713.3000000000009</v>
      </c>
      <c r="N275" s="80">
        <f>SUM(N267:N274)</f>
        <v>-965.80000000000007</v>
      </c>
      <c r="O275" s="80">
        <f t="shared" si="736"/>
        <v>-1711.6</v>
      </c>
      <c r="P275" s="80">
        <f t="shared" si="736"/>
        <v>-490.50000000000011</v>
      </c>
      <c r="Q275" s="80">
        <f t="shared" si="736"/>
        <v>-832.89331180824252</v>
      </c>
      <c r="R275" s="242">
        <f t="shared" si="736"/>
        <v>-4000.7933118082428</v>
      </c>
      <c r="S275" s="80">
        <f t="shared" si="736"/>
        <v>-1581.2827882625681</v>
      </c>
      <c r="T275" s="80">
        <f t="shared" si="736"/>
        <v>-1579.3033238593762</v>
      </c>
      <c r="U275" s="80">
        <f t="shared" si="736"/>
        <v>-1577.2002605047783</v>
      </c>
      <c r="V275" s="80">
        <f t="shared" si="736"/>
        <v>-1355.3936889335901</v>
      </c>
      <c r="W275" s="242">
        <f t="shared" si="736"/>
        <v>-6093.1800615603124</v>
      </c>
      <c r="X275" s="80">
        <f t="shared" si="736"/>
        <v>-1353.7839431982281</v>
      </c>
      <c r="Y275" s="80">
        <f t="shared" si="736"/>
        <v>-1351.996416865986</v>
      </c>
      <c r="Z275" s="80">
        <f t="shared" si="736"/>
        <v>-1350.8325675707074</v>
      </c>
      <c r="AA275" s="80">
        <f t="shared" si="736"/>
        <v>-1378.9569847099679</v>
      </c>
      <c r="AB275" s="242">
        <f t="shared" si="736"/>
        <v>-5435.5699123448894</v>
      </c>
      <c r="AC275" s="80">
        <f t="shared" si="736"/>
        <v>-1237.6869271828111</v>
      </c>
      <c r="AD275" s="80">
        <f t="shared" si="736"/>
        <v>-1263.3893793085654</v>
      </c>
      <c r="AE275" s="80">
        <f t="shared" si="736"/>
        <v>-1263.291223489055</v>
      </c>
      <c r="AF275" s="80">
        <f t="shared" si="736"/>
        <v>-1262.7586326204932</v>
      </c>
      <c r="AG275" s="242">
        <f t="shared" si="736"/>
        <v>-5027.1261626009255</v>
      </c>
      <c r="AH275" s="80">
        <f t="shared" si="736"/>
        <v>-1188.9025014380572</v>
      </c>
      <c r="AI275" s="80">
        <f t="shared" si="736"/>
        <v>-1188.1993121238609</v>
      </c>
      <c r="AJ275" s="80">
        <f t="shared" si="736"/>
        <v>-1188.1118472820697</v>
      </c>
      <c r="AK275" s="80">
        <f t="shared" si="736"/>
        <v>-1249.4545252509122</v>
      </c>
      <c r="AL275" s="242">
        <f t="shared" si="736"/>
        <v>-4814.6681860949002</v>
      </c>
      <c r="AM275" s="80">
        <f t="shared" si="736"/>
        <v>-1248.7902079964658</v>
      </c>
      <c r="AN275" s="80">
        <f t="shared" si="736"/>
        <v>-1248.0134334677257</v>
      </c>
      <c r="AO275" s="80">
        <f t="shared" si="736"/>
        <v>-1247.8930773224217</v>
      </c>
      <c r="AP275" s="80">
        <f t="shared" si="736"/>
        <v>-1294.7663201085934</v>
      </c>
      <c r="AQ275" s="242">
        <f t="shared" si="736"/>
        <v>-5039.4630388952064</v>
      </c>
    </row>
    <row r="276" spans="1:43" outlineLevel="1" x14ac:dyDescent="0.25">
      <c r="A276" s="254"/>
      <c r="B276" s="76" t="s">
        <v>113</v>
      </c>
      <c r="C276" s="77"/>
      <c r="D276" s="354">
        <f>-4.7-0.1</f>
        <v>-4.8</v>
      </c>
      <c r="E276" s="299">
        <f>18.3-0.1-D276</f>
        <v>23</v>
      </c>
      <c r="F276" s="299">
        <f>-2.5-E276-D276</f>
        <v>-20.7</v>
      </c>
      <c r="G276" s="299">
        <f>-49-F276-E276-D276</f>
        <v>-46.5</v>
      </c>
      <c r="H276" s="249">
        <f>SUM(D276:G276)</f>
        <v>-49</v>
      </c>
      <c r="I276" s="299">
        <v>27.1</v>
      </c>
      <c r="J276" s="299">
        <f>8.7-I276</f>
        <v>-18.400000000000002</v>
      </c>
      <c r="K276" s="299">
        <f>10.9-J276-I276</f>
        <v>2.2000000000000028</v>
      </c>
      <c r="L276" s="299">
        <f>64.7-K276-J276-I276</f>
        <v>53.800000000000004</v>
      </c>
      <c r="M276" s="249">
        <f>SUM(I276:L276)</f>
        <v>64.7</v>
      </c>
      <c r="N276" s="299">
        <v>79.8</v>
      </c>
      <c r="O276" s="299">
        <f>66.7-N276</f>
        <v>-13.099999999999994</v>
      </c>
      <c r="P276" s="299">
        <f>87.9-O276-N276</f>
        <v>21.200000000000003</v>
      </c>
      <c r="Q276" s="250">
        <v>0</v>
      </c>
      <c r="R276" s="249">
        <f>SUM(N276:Q276)</f>
        <v>87.9</v>
      </c>
      <c r="S276" s="250">
        <v>0</v>
      </c>
      <c r="T276" s="250">
        <v>0</v>
      </c>
      <c r="U276" s="250">
        <v>0</v>
      </c>
      <c r="V276" s="250">
        <v>0</v>
      </c>
      <c r="W276" s="249">
        <f>SUM(S276:V276)</f>
        <v>0</v>
      </c>
      <c r="X276" s="250">
        <v>0</v>
      </c>
      <c r="Y276" s="250">
        <v>0</v>
      </c>
      <c r="Z276" s="250">
        <v>0</v>
      </c>
      <c r="AA276" s="250">
        <v>0</v>
      </c>
      <c r="AB276" s="249">
        <f>SUM(X276:AA276)</f>
        <v>0</v>
      </c>
      <c r="AC276" s="250">
        <v>0</v>
      </c>
      <c r="AD276" s="250">
        <v>0</v>
      </c>
      <c r="AE276" s="250">
        <v>0</v>
      </c>
      <c r="AF276" s="250">
        <v>0</v>
      </c>
      <c r="AG276" s="249">
        <f>SUM(AC276:AF276)</f>
        <v>0</v>
      </c>
      <c r="AH276" s="250">
        <v>0</v>
      </c>
      <c r="AI276" s="250">
        <v>0</v>
      </c>
      <c r="AJ276" s="250">
        <v>0</v>
      </c>
      <c r="AK276" s="250">
        <v>0</v>
      </c>
      <c r="AL276" s="249">
        <f>SUM(AH276:AK276)</f>
        <v>0</v>
      </c>
      <c r="AM276" s="250">
        <v>0</v>
      </c>
      <c r="AN276" s="250">
        <v>0</v>
      </c>
      <c r="AO276" s="250">
        <v>0</v>
      </c>
      <c r="AP276" s="250">
        <v>0</v>
      </c>
      <c r="AQ276" s="249">
        <f>SUM(AM276:AP276)</f>
        <v>0</v>
      </c>
    </row>
    <row r="277" spans="1:43" ht="17.25" outlineLevel="1" x14ac:dyDescent="0.4">
      <c r="A277" s="254"/>
      <c r="B277" s="595" t="s">
        <v>17</v>
      </c>
      <c r="C277" s="596"/>
      <c r="D277" s="37">
        <f t="shared" ref="D277:AQ277" si="737">D275+D265+D260+D276</f>
        <v>-3994.7999999999997</v>
      </c>
      <c r="E277" s="37">
        <f t="shared" si="737"/>
        <v>-2706.5</v>
      </c>
      <c r="F277" s="37">
        <f t="shared" si="737"/>
        <v>2708.3000000000011</v>
      </c>
      <c r="G277" s="37">
        <f t="shared" si="737"/>
        <v>-2076.7999999999993</v>
      </c>
      <c r="H277" s="38">
        <f t="shared" si="737"/>
        <v>-6069.7999999999938</v>
      </c>
      <c r="I277" s="37">
        <f t="shared" si="737"/>
        <v>353.89999999999839</v>
      </c>
      <c r="J277" s="37">
        <f t="shared" si="737"/>
        <v>-468.20000000000061</v>
      </c>
      <c r="K277" s="37">
        <f t="shared" si="737"/>
        <v>1393.600000000001</v>
      </c>
      <c r="L277" s="37">
        <f t="shared" si="737"/>
        <v>385.0000000000021</v>
      </c>
      <c r="M277" s="38">
        <f t="shared" si="737"/>
        <v>1664.3000000000052</v>
      </c>
      <c r="N277" s="37">
        <f t="shared" si="737"/>
        <v>677.2</v>
      </c>
      <c r="O277" s="37">
        <f t="shared" si="737"/>
        <v>-1147.3999999999996</v>
      </c>
      <c r="P277" s="37">
        <f t="shared" si="737"/>
        <v>872.49999999999909</v>
      </c>
      <c r="Q277" s="37">
        <f t="shared" si="737"/>
        <v>-442.51142147917108</v>
      </c>
      <c r="R277" s="38">
        <f t="shared" si="737"/>
        <v>-40.211421479174163</v>
      </c>
      <c r="S277" s="37">
        <f t="shared" si="737"/>
        <v>598.2690813691529</v>
      </c>
      <c r="T277" s="37">
        <f t="shared" si="737"/>
        <v>-918.87748364319646</v>
      </c>
      <c r="U277" s="37">
        <f t="shared" si="737"/>
        <v>-101.21162477187272</v>
      </c>
      <c r="V277" s="37">
        <f t="shared" si="737"/>
        <v>-732.10169022659329</v>
      </c>
      <c r="W277" s="38">
        <f t="shared" si="737"/>
        <v>-1153.9217172725166</v>
      </c>
      <c r="X277" s="37">
        <f t="shared" si="737"/>
        <v>799.64319916251816</v>
      </c>
      <c r="Y277" s="37">
        <f t="shared" si="737"/>
        <v>-544.08144001406731</v>
      </c>
      <c r="Z277" s="37">
        <f t="shared" si="737"/>
        <v>176.65090711897369</v>
      </c>
      <c r="AA277" s="37">
        <f t="shared" si="737"/>
        <v>-787.81859707790773</v>
      </c>
      <c r="AB277" s="38">
        <f t="shared" si="737"/>
        <v>-355.60593081047773</v>
      </c>
      <c r="AC277" s="37">
        <f t="shared" si="737"/>
        <v>1226.2436177697225</v>
      </c>
      <c r="AD277" s="37">
        <f t="shared" si="737"/>
        <v>-312.98417515560391</v>
      </c>
      <c r="AE277" s="37">
        <f t="shared" si="737"/>
        <v>514.05296130526631</v>
      </c>
      <c r="AF277" s="37">
        <f t="shared" si="737"/>
        <v>-714.92681482682633</v>
      </c>
      <c r="AG277" s="38">
        <f t="shared" si="737"/>
        <v>712.38558909255698</v>
      </c>
      <c r="AH277" s="37">
        <f t="shared" si="737"/>
        <v>1508.8709195632414</v>
      </c>
      <c r="AI277" s="37">
        <f t="shared" si="737"/>
        <v>-131.8138595219707</v>
      </c>
      <c r="AJ277" s="37">
        <f t="shared" si="737"/>
        <v>736.34112414665765</v>
      </c>
      <c r="AK277" s="37">
        <f t="shared" si="737"/>
        <v>-614.81702185755194</v>
      </c>
      <c r="AL277" s="38">
        <f t="shared" si="737"/>
        <v>1498.5811623303789</v>
      </c>
      <c r="AM277" s="37">
        <f t="shared" si="737"/>
        <v>1659.6527443851271</v>
      </c>
      <c r="AN277" s="37">
        <f t="shared" si="737"/>
        <v>-91.610451427787211</v>
      </c>
      <c r="AO277" s="37">
        <f t="shared" si="737"/>
        <v>843.20608418586858</v>
      </c>
      <c r="AP277" s="37">
        <f t="shared" si="737"/>
        <v>-606.03133157604225</v>
      </c>
      <c r="AQ277" s="38">
        <f t="shared" si="737"/>
        <v>1805.2170455671694</v>
      </c>
    </row>
    <row r="278" spans="1:43" ht="17.25" outlineLevel="1" x14ac:dyDescent="0.4">
      <c r="A278" s="254"/>
      <c r="B278" s="595" t="s">
        <v>18</v>
      </c>
      <c r="C278" s="596"/>
      <c r="D278" s="37">
        <v>8756.2999999999993</v>
      </c>
      <c r="E278" s="37">
        <f>D279</f>
        <v>4761.6000000000004</v>
      </c>
      <c r="F278" s="37">
        <f>E279</f>
        <v>2055.1000000000004</v>
      </c>
      <c r="G278" s="37">
        <f>F279</f>
        <v>4763.4000000000015</v>
      </c>
      <c r="H278" s="38">
        <f>D278</f>
        <v>8756.2999999999993</v>
      </c>
      <c r="I278" s="270">
        <f>H279</f>
        <v>2686.5000000000055</v>
      </c>
      <c r="J278" s="37">
        <f>I279</f>
        <v>3040.5000000000036</v>
      </c>
      <c r="K278" s="37">
        <f>J279</f>
        <v>2572.3000000000029</v>
      </c>
      <c r="L278" s="37">
        <f>K279</f>
        <v>3965.9000000000042</v>
      </c>
      <c r="M278" s="38">
        <f>H279</f>
        <v>2686.5000000000055</v>
      </c>
      <c r="N278" s="37">
        <f>+M279</f>
        <v>4350.8000000000102</v>
      </c>
      <c r="O278" s="37">
        <f>N279</f>
        <v>5028.00000000001</v>
      </c>
      <c r="P278" s="37">
        <f>O279</f>
        <v>3880.6000000000104</v>
      </c>
      <c r="Q278" s="37">
        <f>P279</f>
        <v>4753.1000000000095</v>
      </c>
      <c r="R278" s="38">
        <f>M279</f>
        <v>4350.8000000000102</v>
      </c>
      <c r="S278" s="37">
        <f>+R279</f>
        <v>4310.5885785208357</v>
      </c>
      <c r="T278" s="37">
        <f>S279</f>
        <v>4908.857659889989</v>
      </c>
      <c r="U278" s="37">
        <f>T279</f>
        <v>3989.9801762467923</v>
      </c>
      <c r="V278" s="37">
        <f>U279</f>
        <v>3888.7685514749196</v>
      </c>
      <c r="W278" s="38">
        <f>R279</f>
        <v>4310.5885785208357</v>
      </c>
      <c r="X278" s="37">
        <f>+W279</f>
        <v>3156.666861248319</v>
      </c>
      <c r="Y278" s="37">
        <f>X279</f>
        <v>3956.3100604108372</v>
      </c>
      <c r="Z278" s="37">
        <f>Y279</f>
        <v>3412.2286203967697</v>
      </c>
      <c r="AA278" s="37">
        <f>Z279</f>
        <v>3588.8795275157436</v>
      </c>
      <c r="AB278" s="38">
        <f>W279</f>
        <v>3156.666861248319</v>
      </c>
      <c r="AC278" s="37">
        <f>+AB279</f>
        <v>2801.0609304378413</v>
      </c>
      <c r="AD278" s="37">
        <f>AC279</f>
        <v>4027.304548207564</v>
      </c>
      <c r="AE278" s="37">
        <f>AD279</f>
        <v>3714.3203730519599</v>
      </c>
      <c r="AF278" s="37">
        <f>AE279</f>
        <v>4228.3733343572258</v>
      </c>
      <c r="AG278" s="38">
        <f>AB279</f>
        <v>2801.0609304378413</v>
      </c>
      <c r="AH278" s="37">
        <f>+AG279</f>
        <v>3513.4465195303983</v>
      </c>
      <c r="AI278" s="37">
        <f>AH279</f>
        <v>5022.3174390936401</v>
      </c>
      <c r="AJ278" s="37">
        <f>AI279</f>
        <v>4890.5035795716694</v>
      </c>
      <c r="AK278" s="37">
        <f>AJ279</f>
        <v>5626.8447037183269</v>
      </c>
      <c r="AL278" s="38">
        <f>AG279</f>
        <v>3513.4465195303983</v>
      </c>
      <c r="AM278" s="37">
        <f>+AL279</f>
        <v>5012.0276818607772</v>
      </c>
      <c r="AN278" s="37">
        <f>AM279</f>
        <v>6671.6804262459045</v>
      </c>
      <c r="AO278" s="37">
        <f>AN279</f>
        <v>6580.0699748181178</v>
      </c>
      <c r="AP278" s="37">
        <f>AO279</f>
        <v>7423.2760590039861</v>
      </c>
      <c r="AQ278" s="38">
        <f>AL279</f>
        <v>5012.0276818607772</v>
      </c>
    </row>
    <row r="279" spans="1:43" outlineLevel="1" x14ac:dyDescent="0.25">
      <c r="A279" s="254"/>
      <c r="B279" s="628" t="s">
        <v>112</v>
      </c>
      <c r="C279" s="629"/>
      <c r="D279" s="283">
        <f>+D278+D277+0.1</f>
        <v>4761.6000000000004</v>
      </c>
      <c r="E279" s="283">
        <f t="shared" ref="E279:G279" si="738">+E278+E277</f>
        <v>2055.1000000000004</v>
      </c>
      <c r="F279" s="283">
        <f t="shared" si="738"/>
        <v>4763.4000000000015</v>
      </c>
      <c r="G279" s="283">
        <f t="shared" si="738"/>
        <v>2686.6000000000022</v>
      </c>
      <c r="H279" s="357">
        <f>+D278+H277</f>
        <v>2686.5000000000055</v>
      </c>
      <c r="I279" s="283">
        <f>+I278+I277+0.1</f>
        <v>3040.5000000000036</v>
      </c>
      <c r="J279" s="283">
        <f t="shared" ref="J279:L279" si="739">+J278+J277</f>
        <v>2572.3000000000029</v>
      </c>
      <c r="K279" s="283">
        <f t="shared" si="739"/>
        <v>3965.9000000000042</v>
      </c>
      <c r="L279" s="41">
        <f t="shared" si="739"/>
        <v>4350.900000000006</v>
      </c>
      <c r="M279" s="42">
        <f>+I278+M277</f>
        <v>4350.8000000000102</v>
      </c>
      <c r="N279" s="41">
        <f>+N278+N277</f>
        <v>5028.00000000001</v>
      </c>
      <c r="O279" s="41">
        <f t="shared" ref="O279:Q279" si="740">+O278+O277</f>
        <v>3880.6000000000104</v>
      </c>
      <c r="P279" s="41">
        <f t="shared" si="740"/>
        <v>4753.1000000000095</v>
      </c>
      <c r="Q279" s="41">
        <f t="shared" si="740"/>
        <v>4310.5885785208384</v>
      </c>
      <c r="R279" s="42">
        <f>+N278+R277</f>
        <v>4310.5885785208357</v>
      </c>
      <c r="S279" s="41">
        <f>+S278+S277</f>
        <v>4908.857659889989</v>
      </c>
      <c r="T279" s="41">
        <f t="shared" ref="T279:V279" si="741">+T278+T277</f>
        <v>3989.9801762467923</v>
      </c>
      <c r="U279" s="41">
        <f t="shared" si="741"/>
        <v>3888.7685514749196</v>
      </c>
      <c r="V279" s="41">
        <f t="shared" si="741"/>
        <v>3156.6668612483263</v>
      </c>
      <c r="W279" s="42">
        <f>+S278+W277</f>
        <v>3156.666861248319</v>
      </c>
      <c r="X279" s="41">
        <f>+X278+X277</f>
        <v>3956.3100604108372</v>
      </c>
      <c r="Y279" s="41">
        <f t="shared" ref="Y279:AA279" si="742">+Y278+Y277</f>
        <v>3412.2286203967697</v>
      </c>
      <c r="Z279" s="41">
        <f t="shared" si="742"/>
        <v>3588.8795275157436</v>
      </c>
      <c r="AA279" s="41">
        <f t="shared" si="742"/>
        <v>2801.0609304378359</v>
      </c>
      <c r="AB279" s="42">
        <f>+X278+AB277</f>
        <v>2801.0609304378413</v>
      </c>
      <c r="AC279" s="41">
        <f>+AC278+AC277</f>
        <v>4027.304548207564</v>
      </c>
      <c r="AD279" s="41">
        <f t="shared" ref="AD279:AF279" si="743">+AD278+AD277</f>
        <v>3714.3203730519599</v>
      </c>
      <c r="AE279" s="41">
        <f t="shared" si="743"/>
        <v>4228.3733343572258</v>
      </c>
      <c r="AF279" s="41">
        <f t="shared" si="743"/>
        <v>3513.4465195303992</v>
      </c>
      <c r="AG279" s="42">
        <f>+AC278+AG277</f>
        <v>3513.4465195303983</v>
      </c>
      <c r="AH279" s="41">
        <f>+AH278+AH277</f>
        <v>5022.3174390936401</v>
      </c>
      <c r="AI279" s="41">
        <f t="shared" ref="AI279:AK279" si="744">+AI278+AI277</f>
        <v>4890.5035795716694</v>
      </c>
      <c r="AJ279" s="41">
        <f t="shared" si="744"/>
        <v>5626.8447037183269</v>
      </c>
      <c r="AK279" s="41">
        <f t="shared" si="744"/>
        <v>5012.0276818607745</v>
      </c>
      <c r="AL279" s="42">
        <f>+AH278+AL277</f>
        <v>5012.0276818607772</v>
      </c>
      <c r="AM279" s="41">
        <f>+AM278+AM277</f>
        <v>6671.6804262459045</v>
      </c>
      <c r="AN279" s="41">
        <f t="shared" ref="AN279:AP279" si="745">+AN278+AN277</f>
        <v>6580.0699748181178</v>
      </c>
      <c r="AO279" s="41">
        <f t="shared" si="745"/>
        <v>7423.2760590039861</v>
      </c>
      <c r="AP279" s="41">
        <f t="shared" si="745"/>
        <v>6817.2447274279439</v>
      </c>
      <c r="AQ279" s="42">
        <f>+AM278+AQ277</f>
        <v>6817.2447274279466</v>
      </c>
    </row>
    <row r="280" spans="1:43" s="43" customFormat="1" outlineLevel="1" x14ac:dyDescent="0.25">
      <c r="A280" s="307"/>
      <c r="B280" s="630" t="s">
        <v>72</v>
      </c>
      <c r="C280" s="631"/>
      <c r="D280" s="251">
        <f>D260-(-D263)+((-D30*(1-$C$317)))</f>
        <v>2006.5752289460856</v>
      </c>
      <c r="E280" s="251">
        <f>E260-(-E263)+((-E30*(1-$C$317)))</f>
        <v>34.31025892154242</v>
      </c>
      <c r="F280" s="251">
        <f>F260-(-F263)+((-F30*(1-$C$317)))</f>
        <v>802.23946374589127</v>
      </c>
      <c r="G280" s="251">
        <f>G260-(-G263)+((-G30*(1-$C$317)))</f>
        <v>657.45239213520574</v>
      </c>
      <c r="H280" s="252">
        <f>SUM(D280:G280)</f>
        <v>3500.5773437487251</v>
      </c>
      <c r="I280" s="251">
        <f>I260-(-I263)+((-I30*(1-$C$317)))</f>
        <v>1514.0643138686019</v>
      </c>
      <c r="J280" s="251">
        <f>J260-(-J263)+((-J30*(1-$C$317)))</f>
        <v>-1647.2954305139785</v>
      </c>
      <c r="K280" s="251">
        <f>K260-(-K263)+((-K30*(1-$C$317)))</f>
        <v>-652.81056457750446</v>
      </c>
      <c r="L280" s="251">
        <f>L260-(-L263)+((-L30*(1-$C$317)))</f>
        <v>1243.7920482434772</v>
      </c>
      <c r="M280" s="252">
        <f>SUM(I280:L280)</f>
        <v>457.75036702059606</v>
      </c>
      <c r="N280" s="251">
        <f>N260-(-N263)+((-N30*(1-$C$317)))</f>
        <v>1606.4108017839003</v>
      </c>
      <c r="O280" s="251">
        <f>O260-(-O263)+((-O30*(1-$C$317)))</f>
        <v>650.52868438399764</v>
      </c>
      <c r="P280" s="251">
        <f>P260-(-P263)+((-P30*(1-$C$317)))</f>
        <v>1500.3705461664802</v>
      </c>
      <c r="Q280" s="251">
        <f>Q260-(-Q263)+((-Q30*(1-$C$317)))</f>
        <v>479.38022247346197</v>
      </c>
      <c r="R280" s="252">
        <f>SUM(N280:Q280)</f>
        <v>4236.6902548078397</v>
      </c>
      <c r="S280" s="251">
        <f>S260-(-S263)+((-S30*(1-$C$317)))</f>
        <v>2223.6966297180261</v>
      </c>
      <c r="T280" s="251">
        <f>T260-(-T263)+((-T30*(1-$C$317)))</f>
        <v>685.96748046022924</v>
      </c>
      <c r="U280" s="251">
        <f>U260-(-U263)+((-U30*(1-$C$317)))</f>
        <v>1531.8923145532565</v>
      </c>
      <c r="V280" s="251">
        <f>V260-(-V263)+((-V30*(1-$C$317)))</f>
        <v>678.97121413462457</v>
      </c>
      <c r="W280" s="252">
        <f>SUM(S280:V280)</f>
        <v>5120.5276388661359</v>
      </c>
      <c r="X280" s="251">
        <f>X260-(-X263)+((-X30*(1-$C$317)))</f>
        <v>2214.0831275313867</v>
      </c>
      <c r="Y280" s="251">
        <f>Y260-(-Y263)+((-Y30*(1-$C$317)))</f>
        <v>841.10324686604724</v>
      </c>
      <c r="Z280" s="251">
        <f>Z260-(-Z263)+((-Z30*(1-$C$317)))</f>
        <v>1588.1506192975712</v>
      </c>
      <c r="AA280" s="251">
        <f>AA260-(-AA263)+((-AA30*(1-$C$317)))</f>
        <v>643.0894199212039</v>
      </c>
      <c r="AB280" s="252">
        <f>SUM(X280:AA280)</f>
        <v>5286.4264136162092</v>
      </c>
      <c r="AC280" s="251">
        <f>AC260-(-AC263)+((-AC30*(1-$C$317)))</f>
        <v>2537.5989288448163</v>
      </c>
      <c r="AD280" s="251">
        <f>AD260-(-AD263)+((-AD30*(1-$C$317)))</f>
        <v>988.11530957284197</v>
      </c>
      <c r="AE280" s="251">
        <f>AE260-(-AE263)+((-AE30*(1-$C$317)))</f>
        <v>1845.4006248770886</v>
      </c>
      <c r="AF280" s="251">
        <f>AF260-(-AF263)+((-AF30*(1-$C$317)))</f>
        <v>600.8796043328789</v>
      </c>
      <c r="AG280" s="252">
        <f>SUM(AC280:AF280)</f>
        <v>5971.9944676276264</v>
      </c>
      <c r="AH280" s="251">
        <f>AH260-(-AH263)+((-AH30*(1-$C$317)))</f>
        <v>2774.8465752086481</v>
      </c>
      <c r="AI280" s="251">
        <f>AI260-(-AI263)+((-AI30*(1-$C$317)))</f>
        <v>1095.7269696406731</v>
      </c>
      <c r="AJ280" s="251">
        <f>AJ260-(-AJ263)+((-AJ30*(1-$C$317)))</f>
        <v>1995.6764210854562</v>
      </c>
      <c r="AK280" s="251">
        <f>AK260-(-AK263)+((-AK30*(1-$C$317)))</f>
        <v>689.5466821317857</v>
      </c>
      <c r="AL280" s="252">
        <f>SUM(AH280:AK280)</f>
        <v>6555.7966480665636</v>
      </c>
      <c r="AM280" s="251">
        <f>AM260-(-AM263)+((-AM30*(1-$C$317)))</f>
        <v>2985.8038635285357</v>
      </c>
      <c r="AN280" s="251">
        <f>AN260-(-AN263)+((-AN30*(1-$C$317)))</f>
        <v>1192.869502863324</v>
      </c>
      <c r="AO280" s="251">
        <f>AO260-(-AO263)+((-AO30*(1-$C$317)))</f>
        <v>2161.709862879211</v>
      </c>
      <c r="AP280" s="251">
        <f>AP260-(-AP263)+((-AP30*(1-$C$317)))</f>
        <v>742.28826984267948</v>
      </c>
      <c r="AQ280" s="252">
        <f>SUM(AM280:AP280)</f>
        <v>7082.6714991137496</v>
      </c>
    </row>
    <row r="281" spans="1:43" s="43" customFormat="1" outlineLevel="1" x14ac:dyDescent="0.25">
      <c r="A281" s="307"/>
      <c r="B281" s="547" t="s">
        <v>46</v>
      </c>
      <c r="C281" s="548"/>
      <c r="D281" s="81"/>
      <c r="E281" s="81"/>
      <c r="F281" s="300"/>
      <c r="G281" s="81"/>
      <c r="H281" s="82">
        <v>0</v>
      </c>
      <c r="I281" s="81"/>
      <c r="J281" s="81"/>
      <c r="K281" s="81"/>
      <c r="L281" s="81"/>
      <c r="M281" s="82">
        <v>0</v>
      </c>
      <c r="N281" s="81"/>
      <c r="O281" s="81"/>
      <c r="P281" s="81"/>
      <c r="Q281" s="81"/>
      <c r="R281" s="82">
        <v>0</v>
      </c>
      <c r="S281" s="81"/>
      <c r="T281" s="81"/>
      <c r="U281" s="81"/>
      <c r="V281" s="81"/>
      <c r="W281" s="82">
        <f>R281+1</f>
        <v>1</v>
      </c>
      <c r="X281" s="81"/>
      <c r="Y281" s="81"/>
      <c r="Z281" s="81"/>
      <c r="AA281" s="81"/>
      <c r="AB281" s="82">
        <f>W281+1</f>
        <v>2</v>
      </c>
      <c r="AC281" s="81"/>
      <c r="AD281" s="81"/>
      <c r="AE281" s="81"/>
      <c r="AF281" s="81"/>
      <c r="AG281" s="82">
        <f>AB281+1</f>
        <v>3</v>
      </c>
      <c r="AH281" s="81"/>
      <c r="AI281" s="81"/>
      <c r="AJ281" s="81"/>
      <c r="AK281" s="81"/>
      <c r="AL281" s="82">
        <f>AG281+1</f>
        <v>4</v>
      </c>
      <c r="AM281" s="81"/>
      <c r="AN281" s="81"/>
      <c r="AO281" s="81"/>
      <c r="AP281" s="81"/>
      <c r="AQ281" s="82">
        <f>AL281+1</f>
        <v>5</v>
      </c>
    </row>
    <row r="282" spans="1:43" s="43" customFormat="1" outlineLevel="1" x14ac:dyDescent="0.25">
      <c r="A282" s="307"/>
      <c r="B282" s="632" t="s">
        <v>25</v>
      </c>
      <c r="C282" s="633"/>
      <c r="D282" s="83"/>
      <c r="E282" s="83"/>
      <c r="F282" s="83"/>
      <c r="G282" s="83"/>
      <c r="H282" s="84">
        <f>H280/(1+$C$319)^H281</f>
        <v>3500.5773437487251</v>
      </c>
      <c r="I282" s="83"/>
      <c r="J282" s="83"/>
      <c r="K282" s="83"/>
      <c r="L282" s="83"/>
      <c r="M282" s="84">
        <f>M280/(1+$C$319)^M281</f>
        <v>457.75036702059606</v>
      </c>
      <c r="N282" s="83"/>
      <c r="O282" s="83"/>
      <c r="P282" s="83"/>
      <c r="Q282" s="83"/>
      <c r="R282" s="84">
        <f>R280/(1+$C$319)^R281</f>
        <v>4236.6902548078397</v>
      </c>
      <c r="S282" s="83"/>
      <c r="T282" s="83"/>
      <c r="U282" s="83"/>
      <c r="V282" s="83"/>
      <c r="W282" s="84">
        <f>W280/(1+$C$319)^W281</f>
        <v>4799.7191989983439</v>
      </c>
      <c r="X282" s="83"/>
      <c r="Y282" s="83"/>
      <c r="Z282" s="83"/>
      <c r="AA282" s="83"/>
      <c r="AB282" s="84">
        <f>AB280/(1+$C$319)^AB281</f>
        <v>4644.7722367138731</v>
      </c>
      <c r="AC282" s="83"/>
      <c r="AD282" s="83"/>
      <c r="AE282" s="83"/>
      <c r="AF282" s="83"/>
      <c r="AG282" s="84">
        <f>AG280/(1+$C$319)^AG281</f>
        <v>4918.3875185328161</v>
      </c>
      <c r="AH282" s="83"/>
      <c r="AI282" s="83"/>
      <c r="AJ282" s="83"/>
      <c r="AK282" s="83"/>
      <c r="AL282" s="84">
        <f>AL280/(1+$C$319)^AL281</f>
        <v>5060.9254096592294</v>
      </c>
      <c r="AM282" s="83"/>
      <c r="AN282" s="83"/>
      <c r="AO282" s="83"/>
      <c r="AP282" s="83"/>
      <c r="AQ282" s="84">
        <f>AQ280/(1+$C$319)^AQ281</f>
        <v>5125.1039402795723</v>
      </c>
    </row>
    <row r="283" spans="1:43" outlineLevel="1" x14ac:dyDescent="0.25">
      <c r="A283" s="254"/>
      <c r="B283" s="536" t="s">
        <v>56</v>
      </c>
      <c r="C283" s="77"/>
      <c r="D283" s="24"/>
      <c r="E283" s="24"/>
      <c r="F283" s="24"/>
      <c r="G283" s="24"/>
      <c r="H283" s="25"/>
      <c r="I283" s="24"/>
      <c r="J283" s="24"/>
      <c r="K283" s="24"/>
      <c r="L283" s="24"/>
      <c r="M283" s="25"/>
      <c r="N283" s="24"/>
      <c r="O283" s="24"/>
      <c r="P283" s="24"/>
      <c r="Q283" s="24"/>
      <c r="R283" s="25"/>
      <c r="S283" s="24"/>
      <c r="T283" s="24"/>
      <c r="U283" s="24"/>
      <c r="V283" s="24"/>
      <c r="W283" s="25"/>
      <c r="X283" s="24"/>
      <c r="Y283" s="24"/>
      <c r="Z283" s="24"/>
      <c r="AA283" s="24"/>
      <c r="AB283" s="25"/>
      <c r="AC283" s="24"/>
      <c r="AD283" s="24"/>
      <c r="AE283" s="24"/>
      <c r="AF283" s="24"/>
      <c r="AG283" s="25"/>
      <c r="AH283" s="24"/>
      <c r="AI283" s="24"/>
      <c r="AJ283" s="24"/>
      <c r="AK283" s="24"/>
      <c r="AL283" s="25"/>
      <c r="AM283" s="24"/>
      <c r="AN283" s="24"/>
      <c r="AO283" s="24"/>
      <c r="AP283" s="24"/>
      <c r="AQ283" s="25"/>
    </row>
    <row r="284" spans="1:43" outlineLevel="1" x14ac:dyDescent="0.25">
      <c r="A284" s="254"/>
      <c r="B284" s="539" t="s">
        <v>242</v>
      </c>
      <c r="C284" s="540"/>
      <c r="D284" s="34">
        <f t="shared" ref="D284:AQ284" si="746">+D187+D188+D193</f>
        <v>5256.8</v>
      </c>
      <c r="E284" s="34">
        <f t="shared" si="746"/>
        <v>2383.6000000000004</v>
      </c>
      <c r="F284" s="34">
        <f t="shared" si="746"/>
        <v>5058.1000000000022</v>
      </c>
      <c r="G284" s="34">
        <f t="shared" si="746"/>
        <v>2977.1000000000022</v>
      </c>
      <c r="H284" s="35">
        <f t="shared" si="746"/>
        <v>2977.1000000000022</v>
      </c>
      <c r="I284" s="34">
        <f t="shared" si="746"/>
        <v>3308.7000000000039</v>
      </c>
      <c r="J284" s="34">
        <f t="shared" si="746"/>
        <v>2824.0000000000032</v>
      </c>
      <c r="K284" s="34">
        <f>+K187+K188+K193</f>
        <v>4419.2000000000035</v>
      </c>
      <c r="L284" s="34">
        <f t="shared" si="746"/>
        <v>4838.2000000000062</v>
      </c>
      <c r="M284" s="35">
        <f t="shared" si="746"/>
        <v>4838.2000000000062</v>
      </c>
      <c r="N284" s="34">
        <f t="shared" si="746"/>
        <v>5454.4000000000096</v>
      </c>
      <c r="O284" s="34">
        <f t="shared" si="746"/>
        <v>4288.4000000000106</v>
      </c>
      <c r="P284" s="34">
        <f t="shared" si="746"/>
        <v>5192.6000000000095</v>
      </c>
      <c r="Q284" s="34">
        <f t="shared" si="746"/>
        <v>4765.1514266585609</v>
      </c>
      <c r="R284" s="35">
        <f t="shared" si="746"/>
        <v>4765.1514266585609</v>
      </c>
      <c r="S284" s="34">
        <f t="shared" si="746"/>
        <v>5350.4822441129299</v>
      </c>
      <c r="T284" s="34">
        <f t="shared" si="746"/>
        <v>4419.8583631207866</v>
      </c>
      <c r="U284" s="34">
        <f t="shared" si="746"/>
        <v>4320.1986192537706</v>
      </c>
      <c r="V284" s="34">
        <f t="shared" si="746"/>
        <v>3588.5714989958765</v>
      </c>
      <c r="W284" s="35">
        <f t="shared" si="746"/>
        <v>3588.5714989958765</v>
      </c>
      <c r="X284" s="34">
        <f t="shared" si="746"/>
        <v>4390.3493045401356</v>
      </c>
      <c r="Y284" s="34">
        <f t="shared" si="746"/>
        <v>3838.2552030441029</v>
      </c>
      <c r="Z284" s="34">
        <f t="shared" si="746"/>
        <v>4018.4951322869856</v>
      </c>
      <c r="AA284" s="34">
        <f t="shared" si="746"/>
        <v>3230.4594461483803</v>
      </c>
      <c r="AB284" s="35">
        <f t="shared" si="746"/>
        <v>3230.4594461483803</v>
      </c>
      <c r="AC284" s="34">
        <f t="shared" si="746"/>
        <v>4466.0315601159637</v>
      </c>
      <c r="AD284" s="34">
        <f t="shared" si="746"/>
        <v>4147.7996290144474</v>
      </c>
      <c r="AE284" s="34">
        <f t="shared" si="746"/>
        <v>4670.083559006368</v>
      </c>
      <c r="AF284" s="34">
        <f t="shared" si="746"/>
        <v>3957.6031266940045</v>
      </c>
      <c r="AG284" s="35">
        <f t="shared" si="746"/>
        <v>3957.6031266940045</v>
      </c>
      <c r="AH284" s="34">
        <f t="shared" si="746"/>
        <v>5479.8659730848576</v>
      </c>
      <c r="AI284" s="34">
        <f t="shared" si="746"/>
        <v>5345.8899259039599</v>
      </c>
      <c r="AJ284" s="34">
        <f t="shared" si="746"/>
        <v>6094.161001788344</v>
      </c>
      <c r="AK284" s="34">
        <f t="shared" si="746"/>
        <v>5484.8539265934469</v>
      </c>
      <c r="AL284" s="35">
        <f t="shared" si="746"/>
        <v>5484.8539265934469</v>
      </c>
      <c r="AM284" s="34">
        <f t="shared" si="746"/>
        <v>7160.1484884356405</v>
      </c>
      <c r="AN284" s="34">
        <f t="shared" si="746"/>
        <v>7067.3146876958326</v>
      </c>
      <c r="AO284" s="34">
        <f t="shared" si="746"/>
        <v>7924.4288668617146</v>
      </c>
      <c r="AP284" s="34">
        <f t="shared" si="746"/>
        <v>7325.6261798226124</v>
      </c>
      <c r="AQ284" s="35">
        <f t="shared" si="746"/>
        <v>7325.6261798226124</v>
      </c>
    </row>
    <row r="285" spans="1:43" outlineLevel="1" x14ac:dyDescent="0.25">
      <c r="A285" s="254"/>
      <c r="B285" s="539" t="s">
        <v>73</v>
      </c>
      <c r="C285" s="540"/>
      <c r="D285" s="34">
        <f t="shared" ref="D285:AQ285" si="747">D209+D212</f>
        <v>9130.7000000000007</v>
      </c>
      <c r="E285" s="34">
        <f t="shared" si="747"/>
        <v>9216.5</v>
      </c>
      <c r="F285" s="34">
        <f t="shared" si="747"/>
        <v>11159.1</v>
      </c>
      <c r="G285" s="34">
        <f t="shared" si="747"/>
        <v>11167</v>
      </c>
      <c r="H285" s="35">
        <f t="shared" si="747"/>
        <v>11167</v>
      </c>
      <c r="I285" s="34">
        <f t="shared" si="747"/>
        <v>11649.800000000001</v>
      </c>
      <c r="J285" s="34">
        <f t="shared" si="747"/>
        <v>14015.2</v>
      </c>
      <c r="K285" s="34">
        <f>K209+K212</f>
        <v>16831.7</v>
      </c>
      <c r="L285" s="34">
        <f t="shared" si="747"/>
        <v>16348.300000000001</v>
      </c>
      <c r="M285" s="35">
        <f t="shared" si="747"/>
        <v>16348.300000000001</v>
      </c>
      <c r="N285" s="34">
        <f t="shared" si="747"/>
        <v>15916.1</v>
      </c>
      <c r="O285" s="34">
        <f t="shared" si="747"/>
        <v>14648.599999999999</v>
      </c>
      <c r="P285" s="34">
        <f t="shared" si="747"/>
        <v>14618.1</v>
      </c>
      <c r="Q285" s="34">
        <f t="shared" si="747"/>
        <v>14368.1</v>
      </c>
      <c r="R285" s="35">
        <f t="shared" si="747"/>
        <v>14368.1</v>
      </c>
      <c r="S285" s="34">
        <f t="shared" si="747"/>
        <v>13868.1</v>
      </c>
      <c r="T285" s="34">
        <f t="shared" si="747"/>
        <v>13368.1</v>
      </c>
      <c r="U285" s="34">
        <f t="shared" si="747"/>
        <v>12869.1</v>
      </c>
      <c r="V285" s="34">
        <f t="shared" si="747"/>
        <v>12619.1</v>
      </c>
      <c r="W285" s="35">
        <f t="shared" si="747"/>
        <v>12619.1</v>
      </c>
      <c r="X285" s="34">
        <f t="shared" si="747"/>
        <v>12369.1</v>
      </c>
      <c r="Y285" s="34">
        <f t="shared" si="747"/>
        <v>12119.1</v>
      </c>
      <c r="Z285" s="34">
        <f t="shared" si="747"/>
        <v>11869.1</v>
      </c>
      <c r="AA285" s="34">
        <f t="shared" si="747"/>
        <v>11619.1</v>
      </c>
      <c r="AB285" s="35">
        <f t="shared" si="747"/>
        <v>11619.1</v>
      </c>
      <c r="AC285" s="34">
        <f t="shared" si="747"/>
        <v>11259.75</v>
      </c>
      <c r="AD285" s="34">
        <f t="shared" si="747"/>
        <v>10874</v>
      </c>
      <c r="AE285" s="34">
        <f t="shared" si="747"/>
        <v>10488.25</v>
      </c>
      <c r="AF285" s="34">
        <f t="shared" si="747"/>
        <v>10102.5</v>
      </c>
      <c r="AG285" s="35">
        <f t="shared" si="747"/>
        <v>10102.5</v>
      </c>
      <c r="AH285" s="34">
        <f t="shared" si="747"/>
        <v>9790</v>
      </c>
      <c r="AI285" s="34">
        <f t="shared" si="747"/>
        <v>9477.5</v>
      </c>
      <c r="AJ285" s="34">
        <f t="shared" si="747"/>
        <v>9165</v>
      </c>
      <c r="AK285" s="34">
        <f t="shared" si="747"/>
        <v>8852.5</v>
      </c>
      <c r="AL285" s="35">
        <f t="shared" si="747"/>
        <v>8852.5</v>
      </c>
      <c r="AM285" s="34">
        <f t="shared" si="747"/>
        <v>8540</v>
      </c>
      <c r="AN285" s="34">
        <f t="shared" si="747"/>
        <v>8227.5</v>
      </c>
      <c r="AO285" s="34">
        <f t="shared" si="747"/>
        <v>7915</v>
      </c>
      <c r="AP285" s="34">
        <f t="shared" si="747"/>
        <v>7602.5</v>
      </c>
      <c r="AQ285" s="35">
        <f t="shared" si="747"/>
        <v>7602.5</v>
      </c>
    </row>
    <row r="286" spans="1:43" outlineLevel="1" x14ac:dyDescent="0.25">
      <c r="A286" s="254"/>
      <c r="B286" s="634" t="s">
        <v>74</v>
      </c>
      <c r="C286" s="635"/>
      <c r="D286" s="71">
        <f t="shared" ref="D286:AQ286" si="748">(D284-D285)/D39</f>
        <v>-3.0907132599329823</v>
      </c>
      <c r="E286" s="71">
        <f t="shared" si="748"/>
        <v>-5.4632605740785154</v>
      </c>
      <c r="F286" s="71">
        <f t="shared" si="748"/>
        <v>-4.9885527391659839</v>
      </c>
      <c r="G286" s="71">
        <f t="shared" si="748"/>
        <v>-6.6975821179389685</v>
      </c>
      <c r="H286" s="72">
        <f t="shared" si="748"/>
        <v>-6.6411774245864397</v>
      </c>
      <c r="I286" s="71">
        <f t="shared" si="748"/>
        <v>-7.0034424853064623</v>
      </c>
      <c r="J286" s="71">
        <f t="shared" si="748"/>
        <v>-9.4784449902600123</v>
      </c>
      <c r="K286" s="71">
        <f t="shared" si="748"/>
        <v>-10.62259306803594</v>
      </c>
      <c r="L286" s="71">
        <f t="shared" si="748"/>
        <v>-9.7625954198473242</v>
      </c>
      <c r="M286" s="72">
        <f t="shared" si="748"/>
        <v>-9.6019593007244595</v>
      </c>
      <c r="N286" s="71">
        <f t="shared" si="748"/>
        <v>-8.8433643279797032</v>
      </c>
      <c r="O286" s="71">
        <f t="shared" si="748"/>
        <v>-8.7442606347062704</v>
      </c>
      <c r="P286" s="71">
        <f t="shared" si="748"/>
        <v>-7.9459618951272892</v>
      </c>
      <c r="Q286" s="71">
        <f t="shared" si="748"/>
        <v>-8.0860013445346315</v>
      </c>
      <c r="R286" s="72">
        <f t="shared" si="748"/>
        <v>-8.0978793271420031</v>
      </c>
      <c r="S286" s="71">
        <f t="shared" si="748"/>
        <v>-7.1888440550740569</v>
      </c>
      <c r="T286" s="71">
        <f t="shared" si="748"/>
        <v>-7.5699653523267729</v>
      </c>
      <c r="U286" s="71">
        <f t="shared" si="748"/>
        <v>-7.2491210314769488</v>
      </c>
      <c r="V286" s="71">
        <f t="shared" si="748"/>
        <v>-7.675570595698292</v>
      </c>
      <c r="W286" s="72">
        <f t="shared" si="748"/>
        <v>-7.6502048699258305</v>
      </c>
      <c r="X286" s="71">
        <f t="shared" si="748"/>
        <v>-6.7976450362988876</v>
      </c>
      <c r="Y286" s="71">
        <f t="shared" si="748"/>
        <v>-7.0717673319100518</v>
      </c>
      <c r="Z286" s="71">
        <f t="shared" si="748"/>
        <v>-6.7203182085099522</v>
      </c>
      <c r="AA286" s="71">
        <f t="shared" si="748"/>
        <v>-7.1980588640365104</v>
      </c>
      <c r="AB286" s="72">
        <f t="shared" si="748"/>
        <v>-7.1734189808531594</v>
      </c>
      <c r="AC286" s="71">
        <f t="shared" si="748"/>
        <v>-5.8330355257591195</v>
      </c>
      <c r="AD286" s="71">
        <f t="shared" si="748"/>
        <v>-5.7785731933811819</v>
      </c>
      <c r="AE286" s="71">
        <f t="shared" si="748"/>
        <v>-5.0015103458185237</v>
      </c>
      <c r="AF286" s="71">
        <f t="shared" si="748"/>
        <v>-5.2856002594994429</v>
      </c>
      <c r="AG286" s="72">
        <f t="shared" si="748"/>
        <v>-5.2809743262482476</v>
      </c>
      <c r="AH286" s="71">
        <f t="shared" si="748"/>
        <v>-3.7096731937528142</v>
      </c>
      <c r="AI286" s="71">
        <f t="shared" si="748"/>
        <v>-3.5581957809092022</v>
      </c>
      <c r="AJ286" s="71">
        <f t="shared" si="748"/>
        <v>-2.646267071250509</v>
      </c>
      <c r="AK286" s="71">
        <f t="shared" si="748"/>
        <v>-2.9038197755709922</v>
      </c>
      <c r="AL286" s="72">
        <f t="shared" si="748"/>
        <v>-2.9012498210311808</v>
      </c>
      <c r="AM286" s="71">
        <f t="shared" si="748"/>
        <v>-1.1905362932226882</v>
      </c>
      <c r="AN286" s="71">
        <f t="shared" si="748"/>
        <v>-1.0016250988134483</v>
      </c>
      <c r="AO286" s="71">
        <f t="shared" si="748"/>
        <v>8.1452678475509559E-3</v>
      </c>
      <c r="AP286" s="71">
        <f t="shared" si="748"/>
        <v>-0.23932952200003224</v>
      </c>
      <c r="AQ286" s="72">
        <f t="shared" si="748"/>
        <v>-0.23911567590541061</v>
      </c>
    </row>
    <row r="287" spans="1:43" x14ac:dyDescent="0.25">
      <c r="A287" s="254"/>
      <c r="B287" s="636"/>
      <c r="C287" s="636"/>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row>
    <row r="288" spans="1:43" ht="15.75" x14ac:dyDescent="0.25">
      <c r="A288" s="254"/>
      <c r="B288" s="565" t="s">
        <v>23</v>
      </c>
      <c r="C288" s="566"/>
      <c r="D288" s="31" t="s">
        <v>106</v>
      </c>
      <c r="E288" s="31" t="s">
        <v>244</v>
      </c>
      <c r="F288" s="31" t="s">
        <v>246</v>
      </c>
      <c r="G288" s="31" t="s">
        <v>337</v>
      </c>
      <c r="H288" s="85" t="s">
        <v>337</v>
      </c>
      <c r="I288" s="31" t="s">
        <v>336</v>
      </c>
      <c r="J288" s="31" t="s">
        <v>335</v>
      </c>
      <c r="K288" s="31" t="s">
        <v>334</v>
      </c>
      <c r="L288" s="31" t="s">
        <v>321</v>
      </c>
      <c r="M288" s="85" t="s">
        <v>321</v>
      </c>
      <c r="N288" s="31" t="s">
        <v>338</v>
      </c>
      <c r="O288" s="31" t="s">
        <v>346</v>
      </c>
      <c r="P288" s="31" t="s">
        <v>348</v>
      </c>
      <c r="Q288" s="33" t="s">
        <v>120</v>
      </c>
      <c r="R288" s="88" t="s">
        <v>120</v>
      </c>
      <c r="S288" s="33" t="s">
        <v>121</v>
      </c>
      <c r="T288" s="33" t="s">
        <v>122</v>
      </c>
      <c r="U288" s="33" t="s">
        <v>123</v>
      </c>
      <c r="V288" s="33" t="s">
        <v>124</v>
      </c>
      <c r="W288" s="88" t="s">
        <v>124</v>
      </c>
      <c r="X288" s="33" t="s">
        <v>125</v>
      </c>
      <c r="Y288" s="33" t="s">
        <v>126</v>
      </c>
      <c r="Z288" s="33" t="s">
        <v>127</v>
      </c>
      <c r="AA288" s="33" t="s">
        <v>128</v>
      </c>
      <c r="AB288" s="88" t="s">
        <v>128</v>
      </c>
      <c r="AC288" s="33" t="s">
        <v>248</v>
      </c>
      <c r="AD288" s="33" t="s">
        <v>249</v>
      </c>
      <c r="AE288" s="33" t="s">
        <v>250</v>
      </c>
      <c r="AF288" s="33" t="s">
        <v>251</v>
      </c>
      <c r="AG288" s="88" t="s">
        <v>251</v>
      </c>
      <c r="AH288" s="33" t="s">
        <v>281</v>
      </c>
      <c r="AI288" s="33" t="s">
        <v>282</v>
      </c>
      <c r="AJ288" s="33" t="s">
        <v>283</v>
      </c>
      <c r="AK288" s="33" t="s">
        <v>284</v>
      </c>
      <c r="AL288" s="88" t="s">
        <v>284</v>
      </c>
      <c r="AM288" s="33" t="s">
        <v>352</v>
      </c>
      <c r="AN288" s="33" t="s">
        <v>353</v>
      </c>
      <c r="AO288" s="33" t="s">
        <v>354</v>
      </c>
      <c r="AP288" s="33" t="s">
        <v>355</v>
      </c>
      <c r="AQ288" s="88" t="s">
        <v>355</v>
      </c>
    </row>
    <row r="289" spans="1:43" ht="17.25" x14ac:dyDescent="0.4">
      <c r="A289" s="254"/>
      <c r="B289" s="567"/>
      <c r="C289" s="568"/>
      <c r="D289" s="32" t="s">
        <v>119</v>
      </c>
      <c r="E289" s="32" t="s">
        <v>243</v>
      </c>
      <c r="F289" s="32" t="s">
        <v>247</v>
      </c>
      <c r="G289" s="32" t="s">
        <v>257</v>
      </c>
      <c r="H289" s="86" t="s">
        <v>258</v>
      </c>
      <c r="I289" s="32" t="s">
        <v>259</v>
      </c>
      <c r="J289" s="32" t="s">
        <v>260</v>
      </c>
      <c r="K289" s="32" t="s">
        <v>261</v>
      </c>
      <c r="L289" s="32" t="s">
        <v>322</v>
      </c>
      <c r="M289" s="86" t="s">
        <v>333</v>
      </c>
      <c r="N289" s="32" t="s">
        <v>339</v>
      </c>
      <c r="O289" s="32" t="s">
        <v>347</v>
      </c>
      <c r="P289" s="32" t="s">
        <v>349</v>
      </c>
      <c r="Q289" s="30" t="s">
        <v>129</v>
      </c>
      <c r="R289" s="89" t="s">
        <v>130</v>
      </c>
      <c r="S289" s="30" t="s">
        <v>131</v>
      </c>
      <c r="T289" s="30" t="s">
        <v>132</v>
      </c>
      <c r="U289" s="30" t="s">
        <v>133</v>
      </c>
      <c r="V289" s="30" t="s">
        <v>134</v>
      </c>
      <c r="W289" s="89" t="s">
        <v>135</v>
      </c>
      <c r="X289" s="30" t="s">
        <v>136</v>
      </c>
      <c r="Y289" s="30" t="s">
        <v>137</v>
      </c>
      <c r="Z289" s="30" t="s">
        <v>138</v>
      </c>
      <c r="AA289" s="30" t="s">
        <v>139</v>
      </c>
      <c r="AB289" s="89" t="s">
        <v>140</v>
      </c>
      <c r="AC289" s="30" t="s">
        <v>252</v>
      </c>
      <c r="AD289" s="30" t="s">
        <v>253</v>
      </c>
      <c r="AE289" s="30" t="s">
        <v>254</v>
      </c>
      <c r="AF289" s="30" t="s">
        <v>255</v>
      </c>
      <c r="AG289" s="89" t="s">
        <v>256</v>
      </c>
      <c r="AH289" s="30" t="s">
        <v>285</v>
      </c>
      <c r="AI289" s="30" t="s">
        <v>286</v>
      </c>
      <c r="AJ289" s="30" t="s">
        <v>287</v>
      </c>
      <c r="AK289" s="30" t="s">
        <v>288</v>
      </c>
      <c r="AL289" s="89" t="s">
        <v>289</v>
      </c>
      <c r="AM289" s="30" t="s">
        <v>356</v>
      </c>
      <c r="AN289" s="30" t="s">
        <v>357</v>
      </c>
      <c r="AO289" s="30" t="s">
        <v>358</v>
      </c>
      <c r="AP289" s="30" t="s">
        <v>359</v>
      </c>
      <c r="AQ289" s="89" t="s">
        <v>360</v>
      </c>
    </row>
    <row r="290" spans="1:43" ht="17.25" outlineLevel="1" x14ac:dyDescent="0.4">
      <c r="A290" s="254"/>
      <c r="B290" s="589" t="s">
        <v>76</v>
      </c>
      <c r="C290" s="590"/>
      <c r="D290" s="16"/>
      <c r="E290" s="16"/>
      <c r="F290" s="16"/>
      <c r="G290" s="16"/>
      <c r="H290" s="17"/>
      <c r="I290" s="16"/>
      <c r="J290" s="16"/>
      <c r="K290" s="16"/>
      <c r="L290" s="16"/>
      <c r="M290" s="17"/>
      <c r="N290" s="16"/>
      <c r="O290" s="16"/>
      <c r="P290" s="16"/>
      <c r="Q290" s="16"/>
      <c r="R290" s="17"/>
      <c r="S290" s="16"/>
      <c r="T290" s="16"/>
      <c r="U290" s="16"/>
      <c r="V290" s="16"/>
      <c r="W290" s="17"/>
      <c r="X290" s="16"/>
      <c r="Y290" s="16"/>
      <c r="Z290" s="16"/>
      <c r="AA290" s="16"/>
      <c r="AB290" s="17"/>
      <c r="AC290" s="16"/>
      <c r="AD290" s="16"/>
      <c r="AE290" s="16"/>
      <c r="AF290" s="16"/>
      <c r="AG290" s="17"/>
      <c r="AH290" s="16"/>
      <c r="AI290" s="16"/>
      <c r="AJ290" s="16"/>
      <c r="AK290" s="16"/>
      <c r="AL290" s="17"/>
      <c r="AM290" s="16"/>
      <c r="AN290" s="16"/>
      <c r="AO290" s="16"/>
      <c r="AP290" s="16"/>
      <c r="AQ290" s="17"/>
    </row>
    <row r="291" spans="1:43" s="43" customFormat="1" outlineLevel="1" x14ac:dyDescent="0.25">
      <c r="A291" s="307"/>
      <c r="B291" s="539" t="s">
        <v>82</v>
      </c>
      <c r="C291" s="540"/>
      <c r="D291" s="49">
        <f t="shared" ref="D291:L291" si="749">D250/D16</f>
        <v>1.4669742337208073E-2</v>
      </c>
      <c r="E291" s="305">
        <f t="shared" si="749"/>
        <v>1.5033540018078308E-2</v>
      </c>
      <c r="F291" s="277">
        <f t="shared" si="749"/>
        <v>9.2774439396160081E-3</v>
      </c>
      <c r="G291" s="277">
        <f t="shared" si="749"/>
        <v>7.7960575070401619E-3</v>
      </c>
      <c r="H291" s="306">
        <f t="shared" si="749"/>
        <v>1.1618870857004896E-2</v>
      </c>
      <c r="I291" s="277">
        <f t="shared" si="749"/>
        <v>1.2723506784461259E-2</v>
      </c>
      <c r="J291" s="277">
        <f t="shared" si="749"/>
        <v>9.3900628783961833E-3</v>
      </c>
      <c r="K291" s="277">
        <f t="shared" si="749"/>
        <v>9.8055470026763899E-3</v>
      </c>
      <c r="L291" s="277">
        <f t="shared" si="749"/>
        <v>9.7693088939401224E-3</v>
      </c>
      <c r="M291" s="79"/>
      <c r="N291" s="277">
        <f>N250/N16</f>
        <v>1.4712418881678371E-2</v>
      </c>
      <c r="O291" s="277">
        <f t="shared" ref="O291:P291" si="750">O250/O16</f>
        <v>1.1397720455908821E-2</v>
      </c>
      <c r="P291" s="277">
        <f t="shared" si="750"/>
        <v>1.0671646768491964E-2</v>
      </c>
      <c r="Q291" s="65">
        <f>AVERAGE(P291,O291,N291,L291)</f>
        <v>1.1637773750004819E-2</v>
      </c>
      <c r="R291" s="79"/>
      <c r="S291" s="65">
        <f>AVERAGE(Q291,P291,O291,N291)</f>
        <v>1.2104889964020996E-2</v>
      </c>
      <c r="T291" s="65">
        <f>AVERAGE(S291,Q291,P291,O291)</f>
        <v>1.1453007734606651E-2</v>
      </c>
      <c r="U291" s="65">
        <f>AVERAGE(T291,S291,Q291,P291)</f>
        <v>1.1466829554281107E-2</v>
      </c>
      <c r="V291" s="65">
        <f>AVERAGE(U291,T291,S291,Q291)</f>
        <v>1.1665625250728394E-2</v>
      </c>
      <c r="W291" s="79"/>
      <c r="X291" s="65">
        <f>AVERAGE(V291,U291,T291,S291)</f>
        <v>1.1672588125909288E-2</v>
      </c>
      <c r="Y291" s="65">
        <f>AVERAGE(X291,V291,U291,T291)</f>
        <v>1.1564512666381359E-2</v>
      </c>
      <c r="Z291" s="65">
        <f>AVERAGE(Y291,X291,V291,U291)</f>
        <v>1.1592388899325037E-2</v>
      </c>
      <c r="AA291" s="65">
        <f>AVERAGE(Z291,Y291,X291,V291)</f>
        <v>1.162377873558602E-2</v>
      </c>
      <c r="AB291" s="79"/>
      <c r="AC291" s="65">
        <f>AVERAGE(AA291,Z291,Y291,X291)</f>
        <v>1.1613317106800426E-2</v>
      </c>
      <c r="AD291" s="65">
        <f>AVERAGE(AC291,AA291,Z291,Y291)</f>
        <v>1.1598499352023209E-2</v>
      </c>
      <c r="AE291" s="65">
        <f>AVERAGE(AD291,AC291,AA291,Z291)</f>
        <v>1.1606996023433673E-2</v>
      </c>
      <c r="AF291" s="65">
        <f>AVERAGE(AE291,AD291,AC291,AA291)</f>
        <v>1.1610647804460833E-2</v>
      </c>
      <c r="AG291" s="79"/>
      <c r="AH291" s="65">
        <f>AVERAGE(AF291,AE291,AD291,AC291)</f>
        <v>1.1607365071679535E-2</v>
      </c>
      <c r="AI291" s="65">
        <f>AVERAGE(AH291,AF291,AE291,AD291)</f>
        <v>1.1605877062899313E-2</v>
      </c>
      <c r="AJ291" s="65">
        <f>AVERAGE(AI291,AH291,AF291,AE291)</f>
        <v>1.1607721490618339E-2</v>
      </c>
      <c r="AK291" s="65">
        <f>AVERAGE(AJ291,AI291,AH291,AF291)</f>
        <v>1.1607902857414504E-2</v>
      </c>
      <c r="AL291" s="79"/>
      <c r="AM291" s="65">
        <f>AVERAGE(AK291,AJ291,AI291,AH291)</f>
        <v>1.1607216620652921E-2</v>
      </c>
      <c r="AN291" s="65">
        <f>AVERAGE(AM291,AK291,AJ291,AI291)</f>
        <v>1.1607179507896269E-2</v>
      </c>
      <c r="AO291" s="65">
        <f>AVERAGE(AN291,AM291,AK291,AJ291)</f>
        <v>1.1607505119145508E-2</v>
      </c>
      <c r="AP291" s="65">
        <f>AVERAGE(AO291,AN291,AM291,AK291)</f>
        <v>1.1607451026277301E-2</v>
      </c>
      <c r="AQ291" s="79"/>
    </row>
    <row r="292" spans="1:43" s="43" customFormat="1" outlineLevel="1" x14ac:dyDescent="0.25">
      <c r="A292" s="307"/>
      <c r="B292" s="539" t="s">
        <v>231</v>
      </c>
      <c r="C292" s="540"/>
      <c r="D292" s="49">
        <f>+D248/-D247</f>
        <v>1.1581818181818182</v>
      </c>
      <c r="E292" s="49">
        <f>+E248/-E247</f>
        <v>0.55639097744360888</v>
      </c>
      <c r="F292" s="277">
        <f t="shared" ref="F292:L292" si="751">+F248/-F247</f>
        <v>1.0682852807283763</v>
      </c>
      <c r="G292" s="277">
        <f t="shared" si="751"/>
        <v>0.69411764705882406</v>
      </c>
      <c r="H292" s="306">
        <f t="shared" si="751"/>
        <v>0.86512370311252995</v>
      </c>
      <c r="I292" s="277">
        <f t="shared" si="751"/>
        <v>1.0222575516693164</v>
      </c>
      <c r="J292" s="277">
        <f t="shared" si="751"/>
        <v>0.63295880149812733</v>
      </c>
      <c r="K292" s="277">
        <f t="shared" si="751"/>
        <v>1.0227272727272729</v>
      </c>
      <c r="L292" s="277">
        <f t="shared" si="751"/>
        <v>0.63109756097560987</v>
      </c>
      <c r="M292" s="79"/>
      <c r="N292" s="277">
        <f t="shared" ref="N292:P292" si="752">+N248/-N247</f>
        <v>1.1188405797101451</v>
      </c>
      <c r="O292" s="277">
        <f t="shared" si="752"/>
        <v>0.85072231139646837</v>
      </c>
      <c r="P292" s="277">
        <f t="shared" si="752"/>
        <v>0.9018691588785045</v>
      </c>
      <c r="Q292" s="65">
        <v>1</v>
      </c>
      <c r="R292" s="79"/>
      <c r="S292" s="65">
        <v>1</v>
      </c>
      <c r="T292" s="65">
        <v>1</v>
      </c>
      <c r="U292" s="65">
        <v>1</v>
      </c>
      <c r="V292" s="65">
        <v>1</v>
      </c>
      <c r="W292" s="79"/>
      <c r="X292" s="65">
        <v>1</v>
      </c>
      <c r="Y292" s="65">
        <v>1</v>
      </c>
      <c r="Z292" s="65">
        <v>1</v>
      </c>
      <c r="AA292" s="65">
        <v>1</v>
      </c>
      <c r="AB292" s="79"/>
      <c r="AC292" s="65">
        <v>1</v>
      </c>
      <c r="AD292" s="65">
        <v>1</v>
      </c>
      <c r="AE292" s="65">
        <v>1</v>
      </c>
      <c r="AF292" s="65">
        <v>1</v>
      </c>
      <c r="AG292" s="79"/>
      <c r="AH292" s="65">
        <v>1</v>
      </c>
      <c r="AI292" s="65">
        <v>1</v>
      </c>
      <c r="AJ292" s="65">
        <v>1</v>
      </c>
      <c r="AK292" s="65">
        <v>1</v>
      </c>
      <c r="AL292" s="79"/>
      <c r="AM292" s="65">
        <v>1</v>
      </c>
      <c r="AN292" s="65">
        <v>1</v>
      </c>
      <c r="AO292" s="65">
        <v>1</v>
      </c>
      <c r="AP292" s="65">
        <v>1</v>
      </c>
      <c r="AQ292" s="79"/>
    </row>
    <row r="293" spans="1:43" s="43" customFormat="1" outlineLevel="1" x14ac:dyDescent="0.25">
      <c r="A293" s="307"/>
      <c r="B293" s="595" t="s">
        <v>59</v>
      </c>
      <c r="C293" s="596"/>
      <c r="D293" s="52"/>
      <c r="E293" s="52"/>
      <c r="F293" s="52"/>
      <c r="G293" s="52"/>
      <c r="H293" s="62"/>
      <c r="I293" s="52">
        <f t="shared" ref="I293:AQ293" si="753">I260/D260-1</f>
        <v>-0.22820512820512895</v>
      </c>
      <c r="J293" s="52">
        <f t="shared" si="753"/>
        <v>-4.4869364754098413</v>
      </c>
      <c r="K293" s="52">
        <f t="shared" si="753"/>
        <v>-1.314434752864716</v>
      </c>
      <c r="L293" s="52">
        <f t="shared" si="753"/>
        <v>0.34527569713924766</v>
      </c>
      <c r="M293" s="62">
        <f t="shared" si="753"/>
        <v>-0.68340961778517451</v>
      </c>
      <c r="N293" s="52">
        <f t="shared" si="753"/>
        <v>-2.1785305811139466E-4</v>
      </c>
      <c r="O293" s="52">
        <f t="shared" si="753"/>
        <v>-1.649232351428781</v>
      </c>
      <c r="P293" s="52">
        <f t="shared" si="753"/>
        <v>-5.7565950503127619</v>
      </c>
      <c r="Q293" s="52">
        <f t="shared" si="753"/>
        <v>-0.25764184115154132</v>
      </c>
      <c r="R293" s="62">
        <f t="shared" si="753"/>
        <v>2.4892560441828642</v>
      </c>
      <c r="S293" s="52">
        <f t="shared" si="753"/>
        <v>0.43241690096025454</v>
      </c>
      <c r="T293" s="52">
        <f t="shared" si="753"/>
        <v>0.21853208460127349</v>
      </c>
      <c r="U293" s="52">
        <f t="shared" si="753"/>
        <v>0.12805491450196982</v>
      </c>
      <c r="V293" s="52">
        <f t="shared" si="753"/>
        <v>4.9948293183585957E-3</v>
      </c>
      <c r="W293" s="62">
        <f t="shared" si="753"/>
        <v>0.21818704313350801</v>
      </c>
      <c r="X293" s="52">
        <f t="shared" si="753"/>
        <v>-7.4226597314908105E-4</v>
      </c>
      <c r="Y293" s="52">
        <f t="shared" si="753"/>
        <v>0.15679683630672203</v>
      </c>
      <c r="Z293" s="52">
        <f t="shared" si="753"/>
        <v>3.3443104112768962E-2</v>
      </c>
      <c r="AA293" s="52">
        <f t="shared" si="753"/>
        <v>-2.9359347269737768E-2</v>
      </c>
      <c r="AB293" s="62">
        <f t="shared" si="753"/>
        <v>2.9483476509284401E-2</v>
      </c>
      <c r="AC293" s="52">
        <f t="shared" si="753"/>
        <v>0.12248692646659221</v>
      </c>
      <c r="AD293" s="52">
        <f t="shared" si="753"/>
        <v>0.11873757194586942</v>
      </c>
      <c r="AE293" s="52">
        <f t="shared" si="753"/>
        <v>0.12655889689861088</v>
      </c>
      <c r="AF293" s="52">
        <f t="shared" si="753"/>
        <v>-1.2073498071697553E-2</v>
      </c>
      <c r="AG293" s="62">
        <f t="shared" si="753"/>
        <v>0.10223067815245823</v>
      </c>
      <c r="AH293" s="52">
        <f t="shared" si="753"/>
        <v>9.7718456052171776E-2</v>
      </c>
      <c r="AI293" s="52">
        <f t="shared" si="753"/>
        <v>0.11321195336708856</v>
      </c>
      <c r="AJ293" s="52">
        <f t="shared" si="753"/>
        <v>8.7971371714792745E-2</v>
      </c>
      <c r="AK293" s="52">
        <f t="shared" si="753"/>
        <v>0.12697650376983161</v>
      </c>
      <c r="AL293" s="62">
        <f t="shared" si="753"/>
        <v>0.10166412625414467</v>
      </c>
      <c r="AM293" s="52">
        <f t="shared" si="753"/>
        <v>8.0691012917955884E-2</v>
      </c>
      <c r="AN293" s="52">
        <f t="shared" si="753"/>
        <v>9.4191022260130097E-2</v>
      </c>
      <c r="AO293" s="52">
        <f t="shared" si="753"/>
        <v>8.6972757394912614E-2</v>
      </c>
      <c r="AP293" s="52">
        <f t="shared" si="753"/>
        <v>8.6651131844846851E-2</v>
      </c>
      <c r="AQ293" s="62">
        <f t="shared" si="753"/>
        <v>8.5850852519976595E-2</v>
      </c>
    </row>
    <row r="294" spans="1:43" outlineLevel="1" x14ac:dyDescent="0.25">
      <c r="A294" s="254"/>
      <c r="B294" s="543" t="s">
        <v>77</v>
      </c>
      <c r="C294" s="237"/>
      <c r="D294" s="49">
        <f t="shared" ref="D294:P294" si="754">-D263/D16</f>
        <v>6.5041385860961587E-2</v>
      </c>
      <c r="E294" s="49">
        <f t="shared" si="754"/>
        <v>6.5684517673924428E-2</v>
      </c>
      <c r="F294" s="277">
        <f t="shared" si="754"/>
        <v>6.3769602814011436E-2</v>
      </c>
      <c r="G294" s="277">
        <f t="shared" si="754"/>
        <v>7.7945753668297008E-2</v>
      </c>
      <c r="H294" s="303">
        <f t="shared" si="754"/>
        <v>6.8151467825535855E-2</v>
      </c>
      <c r="I294" s="304">
        <f t="shared" si="754"/>
        <v>5.555790393259219E-2</v>
      </c>
      <c r="J294" s="285">
        <f t="shared" si="754"/>
        <v>6.0710175625865198E-2</v>
      </c>
      <c r="K294" s="285">
        <f t="shared" si="754"/>
        <v>9.0026290234717338E-2</v>
      </c>
      <c r="L294" s="277">
        <f t="shared" si="754"/>
        <v>5.5649594557559891E-2</v>
      </c>
      <c r="M294" s="87">
        <f t="shared" si="754"/>
        <v>6.3083595543838744E-2</v>
      </c>
      <c r="N294" s="304">
        <f t="shared" si="754"/>
        <v>4.8033899309568251E-2</v>
      </c>
      <c r="O294" s="285">
        <f t="shared" si="754"/>
        <v>4.8545290941811634E-2</v>
      </c>
      <c r="P294" s="285">
        <f t="shared" si="754"/>
        <v>4.5061028479957313E-2</v>
      </c>
      <c r="Q294" s="64">
        <v>8.6278486826498871E-2</v>
      </c>
      <c r="R294" s="87">
        <f>-R263/R16</f>
        <v>5.823332813515144E-2</v>
      </c>
      <c r="S294" s="152">
        <v>6.25E-2</v>
      </c>
      <c r="T294" s="65">
        <v>6.25E-2</v>
      </c>
      <c r="U294" s="65">
        <v>6.25E-2</v>
      </c>
      <c r="V294" s="65">
        <v>6.0240099163199522E-2</v>
      </c>
      <c r="W294" s="104">
        <f>-W263/W16</f>
        <v>6.1906723848069709E-2</v>
      </c>
      <c r="X294" s="152">
        <v>5.7500000000000002E-2</v>
      </c>
      <c r="Y294" s="152">
        <v>5.7500000000000002E-2</v>
      </c>
      <c r="Z294" s="152">
        <v>5.7500000000000002E-2</v>
      </c>
      <c r="AA294" s="152">
        <v>5.515585956204333E-2</v>
      </c>
      <c r="AB294" s="104">
        <f>-AB263/AB16</f>
        <v>5.6886123570893087E-2</v>
      </c>
      <c r="AC294" s="152">
        <v>5.2499999999999998E-2</v>
      </c>
      <c r="AD294" s="65">
        <v>5.2499999999999998E-2</v>
      </c>
      <c r="AE294" s="65">
        <v>5.2499999999999998E-2</v>
      </c>
      <c r="AF294" s="65">
        <v>5.3115491488484927E-2</v>
      </c>
      <c r="AG294" s="104">
        <f>-AG263/AG16</f>
        <v>5.2661264192791525E-2</v>
      </c>
      <c r="AH294" s="152">
        <f>AVERAGE(AC294,AD294,AE294,AF294)</f>
        <v>5.2653872872121234E-2</v>
      </c>
      <c r="AI294" s="65">
        <f>AVERAGE(AD294,AE294,AF294,AH294)</f>
        <v>5.2692341090151536E-2</v>
      </c>
      <c r="AJ294" s="65">
        <f>AVERAGE(AI294,AH294,AF294,AE294)</f>
        <v>5.274042636268942E-2</v>
      </c>
      <c r="AK294" s="65">
        <f>AVERAGE(AJ294,AI294,AH294,AF294)</f>
        <v>5.2800532953361783E-2</v>
      </c>
      <c r="AL294" s="104">
        <f>-AL263/AL16</f>
        <v>5.2723774082168523E-2</v>
      </c>
      <c r="AM294" s="152">
        <f>AVERAGE(AH294,AI294,AJ294,AK294)</f>
        <v>5.2721793319580997E-2</v>
      </c>
      <c r="AN294" s="65">
        <f>AVERAGE(AI294,AJ294,AK294,AM294)</f>
        <v>5.273877343144593E-2</v>
      </c>
      <c r="AO294" s="65">
        <f>AVERAGE(AN294,AM294,AK294,AJ294)</f>
        <v>5.2750381516769529E-2</v>
      </c>
      <c r="AP294" s="65">
        <f>AVERAGE(AO294,AN294,AM294,AK294)</f>
        <v>5.2752870305289558E-2</v>
      </c>
      <c r="AQ294" s="104">
        <f>-AQ263/AQ16</f>
        <v>5.274134437501387E-2</v>
      </c>
    </row>
    <row r="295" spans="1:43" s="186" customFormat="1" x14ac:dyDescent="0.25">
      <c r="A295" s="272"/>
      <c r="B295" s="501" t="s">
        <v>363</v>
      </c>
      <c r="C295" s="501"/>
      <c r="D295" s="522"/>
      <c r="E295" s="522"/>
      <c r="F295" s="522"/>
      <c r="G295" s="522"/>
      <c r="H295" s="523">
        <f t="shared" ref="H295:W295" si="755">(H209+H212)/(H25+H245)</f>
        <v>2.0203719785786638</v>
      </c>
      <c r="I295" s="521"/>
      <c r="J295" s="521"/>
      <c r="K295" s="521"/>
      <c r="L295" s="521"/>
      <c r="M295" s="523">
        <f t="shared" si="755"/>
        <v>5.3342143043591674</v>
      </c>
      <c r="N295" s="521"/>
      <c r="O295" s="521"/>
      <c r="P295" s="521"/>
      <c r="Q295" s="521"/>
      <c r="R295" s="531">
        <f t="shared" si="755"/>
        <v>2.2027648479579969</v>
      </c>
      <c r="S295" s="521"/>
      <c r="T295" s="521"/>
      <c r="U295" s="521"/>
      <c r="V295" s="521"/>
      <c r="W295" s="523">
        <f t="shared" si="755"/>
        <v>1.6571954158472799</v>
      </c>
      <c r="X295" s="520"/>
      <c r="Y295" s="520"/>
      <c r="Z295" s="520"/>
      <c r="AA295" s="520"/>
      <c r="AB295" s="523">
        <f t="shared" ref="AB295" si="756">(AB209+AB212)/(AB25+AB245)</f>
        <v>1.3888592517894922</v>
      </c>
      <c r="AC295" s="520"/>
      <c r="AD295" s="520"/>
      <c r="AE295" s="520"/>
      <c r="AF295" s="520"/>
      <c r="AG295" s="523">
        <f t="shared" ref="AG295" si="757">(AG209+AG212)/(AG25+AG245)</f>
        <v>1.1209747266115155</v>
      </c>
      <c r="AH295" s="520"/>
      <c r="AI295" s="520"/>
      <c r="AJ295" s="520"/>
      <c r="AK295" s="520"/>
      <c r="AL295" s="523">
        <f t="shared" ref="AL295" si="758">(AL209+AL212)/(AL25+AL245)</f>
        <v>0.90129413023988436</v>
      </c>
      <c r="AM295" s="520"/>
      <c r="AN295" s="520"/>
      <c r="AO295" s="520"/>
      <c r="AP295" s="520"/>
      <c r="AQ295" s="523">
        <f t="shared" ref="AQ295" si="759">(AQ209+AQ212)/(AQ25+AQ245)</f>
        <v>0.71549605211711731</v>
      </c>
    </row>
    <row r="296" spans="1:43" ht="15.75" x14ac:dyDescent="0.25">
      <c r="A296" s="254"/>
      <c r="B296" s="565" t="s">
        <v>19</v>
      </c>
      <c r="C296" s="627"/>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532" t="s">
        <v>371</v>
      </c>
      <c r="AB296" s="533">
        <f>+AB27+AB20</f>
        <v>8758.6080784600599</v>
      </c>
      <c r="AC296" s="22"/>
      <c r="AD296" s="22"/>
      <c r="AE296" s="22"/>
      <c r="AF296" s="22"/>
      <c r="AG296" s="22"/>
      <c r="AH296" s="22"/>
      <c r="AI296" s="22"/>
      <c r="AJ296" s="22"/>
      <c r="AK296" s="22"/>
      <c r="AL296" s="22"/>
      <c r="AM296" s="22"/>
      <c r="AN296" s="22"/>
      <c r="AO296" s="22"/>
      <c r="AP296" s="22"/>
      <c r="AQ296" s="22"/>
    </row>
    <row r="297" spans="1:43" outlineLevel="1" x14ac:dyDescent="0.25">
      <c r="A297" s="254"/>
      <c r="B297" s="57" t="s">
        <v>364</v>
      </c>
      <c r="C297" s="377">
        <v>31.4</v>
      </c>
      <c r="D297" s="379"/>
      <c r="E297" s="14"/>
      <c r="F297" s="14"/>
      <c r="G297" s="14"/>
      <c r="H297" s="14"/>
      <c r="I297" s="14"/>
      <c r="J297" s="14"/>
      <c r="K297" s="14"/>
      <c r="L297" s="14"/>
      <c r="M297" s="14"/>
      <c r="N297" s="14"/>
      <c r="O297" s="14"/>
      <c r="P297" s="14"/>
      <c r="Q297" s="14"/>
      <c r="R297" s="14"/>
      <c r="S297" s="14"/>
      <c r="T297" s="14"/>
      <c r="U297" s="14"/>
      <c r="V297" s="14"/>
      <c r="W297" s="14"/>
      <c r="X297" s="14"/>
      <c r="Y297" s="14"/>
      <c r="Z297" s="14"/>
      <c r="AA297" s="532" t="s">
        <v>372</v>
      </c>
      <c r="AB297" s="535">
        <f>AB209+AB212</f>
        <v>11619.1</v>
      </c>
      <c r="AC297" s="14"/>
      <c r="AD297" s="14"/>
      <c r="AE297" s="14"/>
      <c r="AF297" s="14"/>
      <c r="AG297" s="14"/>
      <c r="AH297" s="14"/>
      <c r="AI297" s="14"/>
      <c r="AJ297" s="14"/>
      <c r="AK297" s="14"/>
      <c r="AL297" s="14"/>
      <c r="AM297" s="14"/>
      <c r="AN297" s="14"/>
      <c r="AO297" s="14"/>
      <c r="AP297" s="14"/>
      <c r="AQ297" s="14"/>
    </row>
    <row r="298" spans="1:43" outlineLevel="1" x14ac:dyDescent="0.25">
      <c r="A298" s="254"/>
      <c r="B298" s="57" t="s">
        <v>365</v>
      </c>
      <c r="C298" s="378">
        <v>33.700000000000003</v>
      </c>
      <c r="D298" s="380"/>
      <c r="AA298" s="532" t="s">
        <v>373</v>
      </c>
      <c r="AB298" s="534">
        <f>+AB187+AB188+AB193</f>
        <v>3230.4594461483803</v>
      </c>
    </row>
    <row r="299" spans="1:43" outlineLevel="1" x14ac:dyDescent="0.25">
      <c r="A299" s="254"/>
      <c r="B299" s="57" t="s">
        <v>366</v>
      </c>
      <c r="C299" s="378">
        <v>29.6</v>
      </c>
      <c r="D299" s="380"/>
    </row>
    <row r="300" spans="1:43" outlineLevel="1" x14ac:dyDescent="0.25">
      <c r="A300" s="254"/>
      <c r="B300" s="550" t="s">
        <v>367</v>
      </c>
      <c r="C300" s="387">
        <v>31.4</v>
      </c>
      <c r="D300" s="380"/>
    </row>
    <row r="301" spans="1:43" ht="17.25" outlineLevel="1" x14ac:dyDescent="0.4">
      <c r="A301" s="254"/>
      <c r="B301" s="550" t="s">
        <v>100</v>
      </c>
      <c r="C301" s="141">
        <v>0</v>
      </c>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row>
    <row r="302" spans="1:43" outlineLevel="1" x14ac:dyDescent="0.25">
      <c r="A302" s="254"/>
      <c r="B302" s="140" t="s">
        <v>48</v>
      </c>
      <c r="C302" s="153">
        <f>(C300*(Q42+S42+T42+U42))</f>
        <v>124.81691450080532</v>
      </c>
    </row>
    <row r="303" spans="1:43" ht="15" customHeight="1" x14ac:dyDescent="0.25">
      <c r="A303" s="254"/>
      <c r="B303" s="135" t="s">
        <v>96</v>
      </c>
      <c r="C303" s="162">
        <f>C306-C329</f>
        <v>5.5869260141605537E-4</v>
      </c>
    </row>
    <row r="304" spans="1:43" ht="15.75" x14ac:dyDescent="0.25">
      <c r="A304" s="254"/>
      <c r="B304" s="565" t="s">
        <v>26</v>
      </c>
      <c r="C304" s="627"/>
    </row>
    <row r="305" spans="1:4" outlineLevel="1" x14ac:dyDescent="0.25">
      <c r="A305" s="254"/>
      <c r="B305" s="90" t="s">
        <v>80</v>
      </c>
      <c r="C305" s="28"/>
      <c r="D305" s="379"/>
    </row>
    <row r="306" spans="1:4" outlineLevel="1" x14ac:dyDescent="0.25">
      <c r="A306" s="254"/>
      <c r="B306" s="91" t="s">
        <v>95</v>
      </c>
      <c r="C306" s="154">
        <v>119.15047187910271</v>
      </c>
      <c r="D306" s="380"/>
    </row>
    <row r="307" spans="1:4" ht="17.25" outlineLevel="1" x14ac:dyDescent="0.4">
      <c r="A307" s="254"/>
      <c r="B307" s="91" t="s">
        <v>27</v>
      </c>
      <c r="C307" s="155">
        <f>P39</f>
        <v>1186.2</v>
      </c>
      <c r="D307" s="380"/>
    </row>
    <row r="308" spans="1:4" outlineLevel="1" x14ac:dyDescent="0.25">
      <c r="A308" s="254"/>
      <c r="B308" s="99" t="s">
        <v>28</v>
      </c>
      <c r="C308" s="92">
        <f>C307*C306</f>
        <v>141336.28974299165</v>
      </c>
      <c r="D308" s="380"/>
    </row>
    <row r="309" spans="1:4" outlineLevel="1" x14ac:dyDescent="0.25">
      <c r="A309" s="254"/>
      <c r="B309" s="91" t="s">
        <v>40</v>
      </c>
      <c r="C309" s="132">
        <v>0.95</v>
      </c>
      <c r="D309" s="380"/>
    </row>
    <row r="310" spans="1:4" outlineLevel="1" x14ac:dyDescent="0.25">
      <c r="A310" s="254"/>
      <c r="B310" s="91" t="s">
        <v>101</v>
      </c>
      <c r="C310" s="93">
        <v>0.36</v>
      </c>
      <c r="D310" s="380"/>
    </row>
    <row r="311" spans="1:4" outlineLevel="1" x14ac:dyDescent="0.25">
      <c r="A311" s="254"/>
      <c r="B311" s="91" t="s">
        <v>102</v>
      </c>
      <c r="C311" s="94">
        <v>0.18049999999999999</v>
      </c>
      <c r="D311" s="380"/>
    </row>
    <row r="312" spans="1:4" outlineLevel="1" x14ac:dyDescent="0.25">
      <c r="A312" s="254"/>
      <c r="B312" s="100" t="s">
        <v>29</v>
      </c>
      <c r="C312" s="95">
        <f>C310*C311</f>
        <v>6.4979999999999996E-2</v>
      </c>
      <c r="D312" s="380"/>
    </row>
    <row r="313" spans="1:4" outlineLevel="1" x14ac:dyDescent="0.25">
      <c r="A313" s="254"/>
      <c r="B313" s="91" t="s">
        <v>97</v>
      </c>
      <c r="C313" s="96">
        <v>9.4999999999999998E-3</v>
      </c>
      <c r="D313" s="380"/>
    </row>
    <row r="314" spans="1:4" outlineLevel="1" x14ac:dyDescent="0.25">
      <c r="A314" s="254"/>
      <c r="B314" s="99" t="s">
        <v>30</v>
      </c>
      <c r="C314" s="102">
        <f>C313+(C309*C312)</f>
        <v>7.1230999999999989E-2</v>
      </c>
      <c r="D314" s="380"/>
    </row>
    <row r="315" spans="1:4" outlineLevel="1" x14ac:dyDescent="0.25">
      <c r="A315" s="254"/>
      <c r="B315" s="57" t="s">
        <v>31</v>
      </c>
      <c r="C315" s="97">
        <f>C308/(C308+P209+P212)</f>
        <v>0.9062668256783909</v>
      </c>
      <c r="D315" s="380"/>
    </row>
    <row r="316" spans="1:4" outlineLevel="1" x14ac:dyDescent="0.25">
      <c r="A316" s="254"/>
      <c r="B316" s="57" t="s">
        <v>32</v>
      </c>
      <c r="C316" s="97">
        <f>P155*4</f>
        <v>3.0997686790789538E-2</v>
      </c>
      <c r="D316" s="380"/>
    </row>
    <row r="317" spans="1:4" outlineLevel="1" x14ac:dyDescent="0.25">
      <c r="A317" s="254"/>
      <c r="B317" s="57" t="s">
        <v>2</v>
      </c>
      <c r="C317" s="70">
        <f>R153</f>
        <v>0.21366361405219519</v>
      </c>
      <c r="D317" s="380"/>
    </row>
    <row r="318" spans="1:4" outlineLevel="1" x14ac:dyDescent="0.25">
      <c r="A318" s="254"/>
      <c r="B318" s="57" t="s">
        <v>33</v>
      </c>
      <c r="C318" s="97">
        <f>C316*(1-C317)</f>
        <v>2.4374609003811453E-2</v>
      </c>
      <c r="D318" s="380"/>
    </row>
    <row r="319" spans="1:4" outlineLevel="1" x14ac:dyDescent="0.25">
      <c r="A319" s="254"/>
      <c r="B319" s="101" t="s">
        <v>81</v>
      </c>
      <c r="C319" s="98">
        <f>(C315*C314)+((1-C315)*C318)</f>
        <v>6.6839001734672776E-2</v>
      </c>
      <c r="D319" s="380"/>
    </row>
    <row r="320" spans="1:4" outlineLevel="1" x14ac:dyDescent="0.25">
      <c r="A320" s="254"/>
      <c r="B320" s="603" t="s">
        <v>103</v>
      </c>
      <c r="C320" s="604"/>
      <c r="D320" s="380"/>
    </row>
    <row r="321" spans="1:8" outlineLevel="1" x14ac:dyDescent="0.25">
      <c r="A321" s="254"/>
      <c r="B321" s="57" t="s">
        <v>41</v>
      </c>
      <c r="C321" s="161">
        <v>7.0000000000000007E-2</v>
      </c>
      <c r="D321" s="380"/>
    </row>
    <row r="322" spans="1:8" outlineLevel="1" x14ac:dyDescent="0.25">
      <c r="A322" s="254"/>
      <c r="B322" s="57" t="s">
        <v>42</v>
      </c>
      <c r="C322" s="161">
        <v>7.0000000000000007E-2</v>
      </c>
      <c r="D322" s="380"/>
    </row>
    <row r="323" spans="1:8" outlineLevel="1" x14ac:dyDescent="0.25">
      <c r="A323" s="254"/>
      <c r="B323" s="57" t="s">
        <v>79</v>
      </c>
      <c r="C323" s="161">
        <v>0.05</v>
      </c>
      <c r="D323" s="380"/>
    </row>
    <row r="324" spans="1:8" outlineLevel="1" x14ac:dyDescent="0.25">
      <c r="A324" s="254"/>
      <c r="B324" s="57" t="s">
        <v>104</v>
      </c>
      <c r="C324" s="161">
        <f>(C315*(0.061+(0.908*(0.312*0.1912))))+((1-C315)*C318)</f>
        <v>0.10665601162413726</v>
      </c>
      <c r="D324" s="380"/>
    </row>
    <row r="325" spans="1:8" outlineLevel="1" x14ac:dyDescent="0.25">
      <c r="A325" s="254"/>
      <c r="B325" s="103" t="s">
        <v>43</v>
      </c>
      <c r="C325" s="28"/>
      <c r="D325" s="380"/>
    </row>
    <row r="326" spans="1:8" outlineLevel="1" x14ac:dyDescent="0.25">
      <c r="A326" s="254"/>
      <c r="B326" s="57" t="s">
        <v>84</v>
      </c>
      <c r="C326" s="106">
        <f>((((AQ260*(1+C322))-(C323*AQ16*(1+C321))+(C318*(AQ209+AQ212))))/(C324-C321))/(1+$C$324)^5</f>
        <v>126212.21871764398</v>
      </c>
      <c r="D326" s="380"/>
    </row>
    <row r="327" spans="1:8" outlineLevel="1" x14ac:dyDescent="0.25">
      <c r="A327" s="254"/>
      <c r="B327" s="57" t="s">
        <v>83</v>
      </c>
      <c r="C327" s="106">
        <f>W282+AB282+AG282+AL282+AQ282</f>
        <v>24548.908304183835</v>
      </c>
      <c r="D327" s="380"/>
    </row>
    <row r="328" spans="1:8" ht="17.25" outlineLevel="1" x14ac:dyDescent="0.4">
      <c r="A328" s="254"/>
      <c r="B328" s="57" t="s">
        <v>47</v>
      </c>
      <c r="C328" s="156">
        <f>+P286</f>
        <v>-7.9459618951272892</v>
      </c>
      <c r="D328" s="380"/>
    </row>
    <row r="329" spans="1:8" outlineLevel="1" x14ac:dyDescent="0.25">
      <c r="A329" s="254"/>
      <c r="B329" s="140" t="s">
        <v>49</v>
      </c>
      <c r="C329" s="413">
        <f>(C326+C327)/C307+C328</f>
        <v>119.14991318650129</v>
      </c>
      <c r="D329" s="380"/>
      <c r="H329" s="389"/>
    </row>
    <row r="330" spans="1:8" ht="13.5" customHeight="1" x14ac:dyDescent="0.25">
      <c r="A330" s="254"/>
      <c r="C330" s="29"/>
    </row>
    <row r="331" spans="1:8" ht="15.75" x14ac:dyDescent="0.25">
      <c r="A331" s="254"/>
      <c r="B331" s="565" t="s">
        <v>105</v>
      </c>
      <c r="C331" s="627"/>
      <c r="D331" s="379"/>
    </row>
    <row r="332" spans="1:8" outlineLevel="1" x14ac:dyDescent="0.25">
      <c r="A332" s="254"/>
      <c r="B332" s="113" t="s">
        <v>320</v>
      </c>
      <c r="C332" s="115">
        <f>'Std Dev'!E17</f>
        <v>2.3571285403266511E-2</v>
      </c>
      <c r="D332" s="380"/>
    </row>
    <row r="333" spans="1:8" outlineLevel="1" x14ac:dyDescent="0.25">
      <c r="A333" s="254"/>
      <c r="B333" s="57" t="s">
        <v>60</v>
      </c>
      <c r="C333" s="116">
        <f>'Std Dev'!G20</f>
        <v>4.5229478198470938E-2</v>
      </c>
      <c r="D333" s="380"/>
    </row>
    <row r="334" spans="1:8" outlineLevel="1" x14ac:dyDescent="0.25">
      <c r="A334" s="254"/>
      <c r="B334" s="57" t="s">
        <v>63</v>
      </c>
      <c r="C334" s="114">
        <f>C8</f>
        <v>121.98341384365331</v>
      </c>
      <c r="D334" s="380"/>
    </row>
    <row r="335" spans="1:8" outlineLevel="1" x14ac:dyDescent="0.25">
      <c r="A335" s="254"/>
      <c r="B335" s="57" t="s">
        <v>61</v>
      </c>
      <c r="C335" s="114">
        <f>C334*(1+(C332+(2*C333)))</f>
        <v>135.89321201985999</v>
      </c>
      <c r="D335" s="380"/>
    </row>
    <row r="336" spans="1:8" outlineLevel="1" x14ac:dyDescent="0.25">
      <c r="A336" s="254"/>
      <c r="B336" s="142" t="s">
        <v>62</v>
      </c>
      <c r="C336" s="143">
        <f>C334*(1+(C332-(2*C333)))</f>
        <v>113.82422739179368</v>
      </c>
      <c r="D336" s="380"/>
    </row>
    <row r="337" spans="4:4" ht="14.65" customHeight="1" x14ac:dyDescent="0.25">
      <c r="D337" s="380"/>
    </row>
  </sheetData>
  <dataConsolidate/>
  <mergeCells count="123">
    <mergeCell ref="B320:C320"/>
    <mergeCell ref="B331:C331"/>
    <mergeCell ref="B288:C288"/>
    <mergeCell ref="B289:C289"/>
    <mergeCell ref="B290:C290"/>
    <mergeCell ref="B293:C293"/>
    <mergeCell ref="B296:C296"/>
    <mergeCell ref="B304:C304"/>
    <mergeCell ref="B278:C278"/>
    <mergeCell ref="B279:C279"/>
    <mergeCell ref="B280:C280"/>
    <mergeCell ref="B282:C282"/>
    <mergeCell ref="B286:C286"/>
    <mergeCell ref="B287:C287"/>
    <mergeCell ref="B265:C265"/>
    <mergeCell ref="B266:C266"/>
    <mergeCell ref="B267:C267"/>
    <mergeCell ref="B274:C274"/>
    <mergeCell ref="B275:C275"/>
    <mergeCell ref="B277:C277"/>
    <mergeCell ref="B256:C256"/>
    <mergeCell ref="B259:C259"/>
    <mergeCell ref="B260:C260"/>
    <mergeCell ref="B261:C261"/>
    <mergeCell ref="B263:C263"/>
    <mergeCell ref="B264:C264"/>
    <mergeCell ref="B234:C234"/>
    <mergeCell ref="B241:C241"/>
    <mergeCell ref="B243:C243"/>
    <mergeCell ref="B252:C252"/>
    <mergeCell ref="B253:C253"/>
    <mergeCell ref="B255:C255"/>
    <mergeCell ref="B228:C228"/>
    <mergeCell ref="B229:C229"/>
    <mergeCell ref="B230:C230"/>
    <mergeCell ref="B231:C231"/>
    <mergeCell ref="B232:C232"/>
    <mergeCell ref="B233:C233"/>
    <mergeCell ref="B219:C219"/>
    <mergeCell ref="B220:C220"/>
    <mergeCell ref="B222:C222"/>
    <mergeCell ref="B223:C223"/>
    <mergeCell ref="B225:C225"/>
    <mergeCell ref="B226:C226"/>
    <mergeCell ref="B203:C203"/>
    <mergeCell ref="B204:C204"/>
    <mergeCell ref="B215:C215"/>
    <mergeCell ref="B216:C216"/>
    <mergeCell ref="B217:C217"/>
    <mergeCell ref="B218:C218"/>
    <mergeCell ref="B187:C187"/>
    <mergeCell ref="B189:C189"/>
    <mergeCell ref="B191:C191"/>
    <mergeCell ref="B200:C200"/>
    <mergeCell ref="B201:C201"/>
    <mergeCell ref="B202:C202"/>
    <mergeCell ref="B171:C171"/>
    <mergeCell ref="B172:C172"/>
    <mergeCell ref="B174:C174"/>
    <mergeCell ref="B181:C181"/>
    <mergeCell ref="B184:C184"/>
    <mergeCell ref="B186:C186"/>
    <mergeCell ref="B162:C162"/>
    <mergeCell ref="B163:C163"/>
    <mergeCell ref="B164:C164"/>
    <mergeCell ref="B165:C165"/>
    <mergeCell ref="B166:C166"/>
    <mergeCell ref="B167:C167"/>
    <mergeCell ref="B153:C153"/>
    <mergeCell ref="B154:C154"/>
    <mergeCell ref="B155:C155"/>
    <mergeCell ref="B159:C159"/>
    <mergeCell ref="B160:C160"/>
    <mergeCell ref="B161:C161"/>
    <mergeCell ref="B136:C136"/>
    <mergeCell ref="B143:C143"/>
    <mergeCell ref="B149:C149"/>
    <mergeCell ref="B150:C150"/>
    <mergeCell ref="B151:C151"/>
    <mergeCell ref="B152:C152"/>
    <mergeCell ref="B104:C104"/>
    <mergeCell ref="B118:C118"/>
    <mergeCell ref="B119:C119"/>
    <mergeCell ref="B121:C121"/>
    <mergeCell ref="B133:C133"/>
    <mergeCell ref="B134:C134"/>
    <mergeCell ref="B94:C94"/>
    <mergeCell ref="B98:C98"/>
    <mergeCell ref="B99:C99"/>
    <mergeCell ref="B103:C103"/>
    <mergeCell ref="B59:C59"/>
    <mergeCell ref="B63:C63"/>
    <mergeCell ref="B64:C64"/>
    <mergeCell ref="B68:C68"/>
    <mergeCell ref="B69:C69"/>
    <mergeCell ref="B82:C82"/>
    <mergeCell ref="B56:C56"/>
    <mergeCell ref="B31:C31"/>
    <mergeCell ref="B32:C32"/>
    <mergeCell ref="B33:C33"/>
    <mergeCell ref="B38:C38"/>
    <mergeCell ref="B39:C39"/>
    <mergeCell ref="B40:C40"/>
    <mergeCell ref="B83:C83"/>
    <mergeCell ref="B91:C91"/>
    <mergeCell ref="B2:C2"/>
    <mergeCell ref="B3:C3"/>
    <mergeCell ref="B4:C4"/>
    <mergeCell ref="B5:C5"/>
    <mergeCell ref="B41:C41"/>
    <mergeCell ref="B45:C45"/>
    <mergeCell ref="B46:C46"/>
    <mergeCell ref="B47:C47"/>
    <mergeCell ref="B48:C48"/>
    <mergeCell ref="A11:A12"/>
    <mergeCell ref="B11:C11"/>
    <mergeCell ref="B12:C12"/>
    <mergeCell ref="B13:C13"/>
    <mergeCell ref="B14:C14"/>
    <mergeCell ref="B15:C15"/>
    <mergeCell ref="B16:C16"/>
    <mergeCell ref="B17:C17"/>
    <mergeCell ref="B24:C24"/>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82"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E3030-A9AF-43FB-BEF3-5B7B4EE7E27B}">
  <sheetPr>
    <pageSetUpPr fitToPage="1"/>
  </sheetPr>
  <dimension ref="A1:BD337"/>
  <sheetViews>
    <sheetView showGridLines="0" topLeftCell="A3" zoomScale="70" zoomScaleNormal="70" workbookViewId="0">
      <pane xSplit="3" ySplit="10" topLeftCell="O136" activePane="bottomRight" state="frozen"/>
      <selection activeCell="A3" sqref="A3"/>
      <selection pane="topRight" activeCell="D3" sqref="D3"/>
      <selection pane="bottomLeft" activeCell="A13" sqref="A13"/>
      <selection pane="bottomRight" activeCell="AB156" sqref="AB156"/>
    </sheetView>
  </sheetViews>
  <sheetFormatPr defaultColWidth="8.85546875" defaultRowHeight="15" outlineLevelRow="1" outlineLevelCol="1" x14ac:dyDescent="0.25"/>
  <cols>
    <col min="1" max="1" width="3.140625" style="4" customWidth="1"/>
    <col min="2" max="2" width="39" style="4" customWidth="1"/>
    <col min="3" max="3" width="14.5703125" style="4" customWidth="1"/>
    <col min="4" max="5" width="11.5703125" style="3" customWidth="1" outlineLevel="1"/>
    <col min="6" max="7" width="11.5703125" style="11" customWidth="1" outlineLevel="1"/>
    <col min="8" max="8" width="11.5703125" style="11" customWidth="1"/>
    <col min="9" max="10" width="11.5703125" style="3" customWidth="1" outlineLevel="1"/>
    <col min="11" max="12" width="11.5703125" style="11" customWidth="1" outlineLevel="1"/>
    <col min="13" max="13" width="11.5703125" style="11" customWidth="1"/>
    <col min="14" max="15" width="11.5703125" style="3" customWidth="1" outlineLevel="1"/>
    <col min="16" max="17" width="11.5703125" style="11" customWidth="1" outlineLevel="1"/>
    <col min="18" max="18" width="11.5703125" style="11" customWidth="1"/>
    <col min="19" max="20" width="11.5703125" style="3" customWidth="1" outlineLevel="1"/>
    <col min="21" max="22" width="11.5703125" style="11" customWidth="1" outlineLevel="1"/>
    <col min="23" max="23" width="11.5703125" style="11" customWidth="1"/>
    <col min="24" max="25" width="11.5703125" style="3" customWidth="1" outlineLevel="1"/>
    <col min="26" max="27" width="11.5703125" style="11" customWidth="1" outlineLevel="1"/>
    <col min="28" max="28" width="11.5703125" style="11" customWidth="1"/>
    <col min="29" max="30" width="11.5703125" style="3" customWidth="1" outlineLevel="1"/>
    <col min="31" max="32" width="11.5703125" style="11" customWidth="1" outlineLevel="1"/>
    <col min="33" max="33" width="11.5703125" style="11" customWidth="1"/>
    <col min="34" max="35" width="11.5703125" style="3" customWidth="1" outlineLevel="1"/>
    <col min="36" max="37" width="11.5703125" style="11" customWidth="1" outlineLevel="1"/>
    <col min="38" max="38" width="11.5703125" style="11" customWidth="1"/>
    <col min="39" max="40" width="11.5703125" style="3" customWidth="1" outlineLevel="1"/>
    <col min="41" max="42" width="11.5703125" style="11" customWidth="1" outlineLevel="1"/>
    <col min="43" max="43" width="11.5703125" style="11" customWidth="1"/>
    <col min="44" max="16384" width="8.85546875" style="4"/>
  </cols>
  <sheetData>
    <row r="1" spans="1:56" ht="12.6" customHeight="1" x14ac:dyDescent="0.25">
      <c r="B1" s="253" t="s">
        <v>54</v>
      </c>
    </row>
    <row r="2" spans="1:56" ht="45" customHeight="1" x14ac:dyDescent="0.25">
      <c r="B2" s="577" t="s">
        <v>53</v>
      </c>
      <c r="C2" s="57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c r="AP2" s="388"/>
      <c r="AQ2" s="388"/>
      <c r="AR2" s="388"/>
      <c r="AS2" s="388"/>
      <c r="AT2" s="388"/>
      <c r="AU2" s="388"/>
      <c r="AV2" s="388"/>
      <c r="AW2" s="388"/>
      <c r="AX2" s="388"/>
    </row>
    <row r="3" spans="1:56" x14ac:dyDescent="0.25">
      <c r="B3" s="579" t="s">
        <v>350</v>
      </c>
      <c r="C3" s="580"/>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row>
    <row r="4" spans="1:56" x14ac:dyDescent="0.25">
      <c r="B4" s="581" t="s">
        <v>351</v>
      </c>
      <c r="C4" s="582"/>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BD4" s="253" t="s">
        <v>54</v>
      </c>
    </row>
    <row r="5" spans="1:56" x14ac:dyDescent="0.25">
      <c r="B5" s="583" t="s">
        <v>370</v>
      </c>
      <c r="C5" s="584"/>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row>
    <row r="6" spans="1:56" ht="14.65" hidden="1" customHeight="1" x14ac:dyDescent="0.25">
      <c r="B6" s="111" t="s">
        <v>48</v>
      </c>
      <c r="C6" s="112">
        <f>C302</f>
        <v>116.99550189061887</v>
      </c>
      <c r="D6" s="12"/>
      <c r="E6" s="118"/>
      <c r="F6" s="117"/>
      <c r="G6" s="12"/>
      <c r="H6" s="118"/>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row>
    <row r="7" spans="1:56" ht="14.65" hidden="1" customHeight="1" x14ac:dyDescent="0.25">
      <c r="B7" s="401" t="s">
        <v>49</v>
      </c>
      <c r="C7" s="105">
        <f>C329</f>
        <v>113.13502668419217</v>
      </c>
      <c r="D7" s="46"/>
      <c r="E7" s="118"/>
      <c r="F7" s="117"/>
      <c r="G7" s="46"/>
      <c r="H7" s="118"/>
      <c r="I7" s="46"/>
      <c r="J7" s="46"/>
      <c r="K7" s="46"/>
      <c r="L7" s="46"/>
      <c r="M7" s="46"/>
      <c r="N7" s="46"/>
      <c r="O7" s="46"/>
      <c r="P7" s="46"/>
      <c r="Q7" s="46"/>
      <c r="R7" s="46"/>
      <c r="S7" s="46"/>
      <c r="T7" s="46"/>
      <c r="U7" s="46"/>
      <c r="V7" s="46"/>
      <c r="W7" s="46"/>
      <c r="X7" s="46"/>
      <c r="Y7" s="46"/>
      <c r="Z7" s="46"/>
      <c r="AA7" s="46"/>
      <c r="AB7" s="53"/>
      <c r="AC7" s="46"/>
      <c r="AD7" s="46"/>
      <c r="AE7" s="46"/>
      <c r="AF7" s="46"/>
      <c r="AG7" s="53"/>
      <c r="AH7" s="46"/>
      <c r="AI7" s="46"/>
      <c r="AJ7" s="46"/>
      <c r="AK7" s="46"/>
      <c r="AL7" s="53"/>
      <c r="AM7" s="46"/>
      <c r="AN7" s="46"/>
      <c r="AO7" s="46"/>
      <c r="AP7" s="46"/>
      <c r="AQ7" s="53"/>
    </row>
    <row r="8" spans="1:56" ht="14.65" hidden="1" customHeight="1" x14ac:dyDescent="0.25">
      <c r="B8" s="401" t="s">
        <v>64</v>
      </c>
      <c r="C8" s="109">
        <f>(0.5*C6)+(0.5*C7)</f>
        <v>115.06526428740551</v>
      </c>
      <c r="D8" s="34"/>
      <c r="E8" s="118"/>
      <c r="F8" s="136"/>
      <c r="G8" s="136"/>
      <c r="H8" s="34"/>
      <c r="I8" s="136"/>
      <c r="J8" s="136"/>
      <c r="K8" s="53"/>
      <c r="L8" s="34"/>
      <c r="M8" s="34"/>
      <c r="N8" s="34"/>
      <c r="O8" s="34"/>
      <c r="P8" s="34"/>
      <c r="Q8" s="527"/>
      <c r="R8" s="485"/>
      <c r="S8" s="498"/>
      <c r="T8" s="486"/>
      <c r="U8" s="486"/>
      <c r="V8" s="485"/>
      <c r="W8" s="486"/>
      <c r="X8" s="486"/>
      <c r="Y8" s="34"/>
      <c r="Z8" s="34"/>
      <c r="AA8" s="34"/>
      <c r="AB8" s="108"/>
      <c r="AC8" s="34"/>
      <c r="AD8" s="34"/>
      <c r="AE8" s="34"/>
      <c r="AF8" s="34"/>
      <c r="AG8" s="108"/>
      <c r="AH8" s="34"/>
      <c r="AI8" s="34"/>
      <c r="AJ8" s="34"/>
      <c r="AK8" s="34"/>
      <c r="AL8" s="108"/>
      <c r="AM8" s="34"/>
      <c r="AN8" s="34"/>
      <c r="AO8" s="34"/>
      <c r="AP8" s="34"/>
      <c r="AQ8" s="108"/>
    </row>
    <row r="9" spans="1:56" ht="14.65" hidden="1" customHeight="1" x14ac:dyDescent="0.25">
      <c r="B9" s="383" t="s">
        <v>65</v>
      </c>
      <c r="C9" s="110" t="str">
        <f>TEXT(C336,"$0")&amp;" to "&amp;TEXT(C335,"$0")</f>
        <v>$107 to $128</v>
      </c>
      <c r="D9" s="165"/>
      <c r="E9" s="276"/>
      <c r="F9" s="137"/>
      <c r="G9" s="137"/>
      <c r="H9" s="46"/>
      <c r="I9" s="137"/>
      <c r="J9" s="137"/>
      <c r="K9" s="46"/>
      <c r="L9" s="137"/>
      <c r="M9" s="53"/>
      <c r="N9" s="53"/>
      <c r="O9" s="53"/>
      <c r="P9" s="53"/>
      <c r="Q9" s="487"/>
      <c r="R9" s="528"/>
      <c r="S9" s="527"/>
      <c r="T9" s="527"/>
      <c r="U9" s="527"/>
      <c r="V9" s="485"/>
      <c r="W9" s="484"/>
      <c r="X9" s="484"/>
      <c r="Y9" s="53"/>
      <c r="Z9" s="53"/>
      <c r="AA9" s="53"/>
      <c r="AB9" s="277"/>
      <c r="AC9" s="53"/>
      <c r="AD9" s="53"/>
      <c r="AE9" s="53"/>
      <c r="AF9" s="53"/>
      <c r="AG9" s="277"/>
      <c r="AH9" s="53"/>
      <c r="AI9" s="53"/>
      <c r="AJ9" s="53"/>
      <c r="AK9" s="53"/>
      <c r="AL9" s="277"/>
      <c r="AM9" s="53"/>
      <c r="AN9" s="53"/>
      <c r="AO9" s="53"/>
      <c r="AP9" s="53"/>
      <c r="AQ9" s="277"/>
    </row>
    <row r="10" spans="1:56" ht="10.5" customHeight="1" x14ac:dyDescent="0.25">
      <c r="B10" s="253" t="s">
        <v>54</v>
      </c>
      <c r="D10" s="151"/>
      <c r="E10" s="355"/>
      <c r="F10" s="355"/>
      <c r="G10" s="355"/>
      <c r="H10" s="355"/>
      <c r="I10" s="355"/>
      <c r="J10" s="373"/>
      <c r="K10" s="373"/>
      <c r="L10" s="373"/>
      <c r="M10" s="373"/>
      <c r="N10" s="483"/>
      <c r="O10" s="483"/>
      <c r="P10" s="483"/>
      <c r="Q10" s="483"/>
      <c r="R10" s="483"/>
      <c r="S10" s="483"/>
      <c r="T10" s="483"/>
      <c r="U10" s="483"/>
      <c r="V10" s="483"/>
      <c r="W10" s="483"/>
      <c r="X10" s="355"/>
      <c r="Y10" s="355"/>
      <c r="Z10" s="355"/>
      <c r="AA10" s="355"/>
      <c r="AB10" s="355"/>
      <c r="AC10" s="355"/>
      <c r="AD10" s="355"/>
      <c r="AE10" s="355"/>
      <c r="AF10" s="355"/>
      <c r="AG10" s="355"/>
      <c r="AH10" s="355"/>
      <c r="AI10" s="355"/>
      <c r="AJ10" s="355"/>
      <c r="AK10" s="355"/>
      <c r="AL10" s="355"/>
      <c r="AM10" s="355"/>
      <c r="AN10" s="355"/>
      <c r="AO10" s="355"/>
      <c r="AP10" s="355"/>
      <c r="AQ10" s="355"/>
    </row>
    <row r="11" spans="1:56" ht="15.75" x14ac:dyDescent="0.25">
      <c r="A11" s="564"/>
      <c r="B11" s="565" t="s">
        <v>116</v>
      </c>
      <c r="C11" s="566"/>
      <c r="D11" s="31" t="s">
        <v>106</v>
      </c>
      <c r="E11" s="31" t="s">
        <v>244</v>
      </c>
      <c r="F11" s="31" t="s">
        <v>246</v>
      </c>
      <c r="G11" s="31" t="s">
        <v>337</v>
      </c>
      <c r="H11" s="85" t="s">
        <v>337</v>
      </c>
      <c r="I11" s="31" t="s">
        <v>336</v>
      </c>
      <c r="J11" s="31" t="s">
        <v>335</v>
      </c>
      <c r="K11" s="31" t="s">
        <v>334</v>
      </c>
      <c r="L11" s="31" t="s">
        <v>321</v>
      </c>
      <c r="M11" s="85" t="s">
        <v>321</v>
      </c>
      <c r="N11" s="31" t="s">
        <v>338</v>
      </c>
      <c r="O11" s="31" t="s">
        <v>346</v>
      </c>
      <c r="P11" s="31" t="s">
        <v>348</v>
      </c>
      <c r="Q11" s="33" t="s">
        <v>120</v>
      </c>
      <c r="R11" s="88" t="s">
        <v>120</v>
      </c>
      <c r="S11" s="33" t="s">
        <v>121</v>
      </c>
      <c r="T11" s="33" t="s">
        <v>122</v>
      </c>
      <c r="U11" s="33" t="s">
        <v>123</v>
      </c>
      <c r="V11" s="33" t="s">
        <v>124</v>
      </c>
      <c r="W11" s="88" t="s">
        <v>124</v>
      </c>
      <c r="X11" s="33" t="s">
        <v>125</v>
      </c>
      <c r="Y11" s="33" t="s">
        <v>126</v>
      </c>
      <c r="Z11" s="33" t="s">
        <v>127</v>
      </c>
      <c r="AA11" s="33" t="s">
        <v>128</v>
      </c>
      <c r="AB11" s="88" t="s">
        <v>128</v>
      </c>
      <c r="AC11" s="33" t="s">
        <v>248</v>
      </c>
      <c r="AD11" s="33" t="s">
        <v>249</v>
      </c>
      <c r="AE11" s="33" t="s">
        <v>250</v>
      </c>
      <c r="AF11" s="33" t="s">
        <v>251</v>
      </c>
      <c r="AG11" s="88" t="s">
        <v>251</v>
      </c>
      <c r="AH11" s="33" t="s">
        <v>281</v>
      </c>
      <c r="AI11" s="33" t="s">
        <v>282</v>
      </c>
      <c r="AJ11" s="33" t="s">
        <v>283</v>
      </c>
      <c r="AK11" s="33" t="s">
        <v>284</v>
      </c>
      <c r="AL11" s="88" t="s">
        <v>284</v>
      </c>
      <c r="AM11" s="33" t="s">
        <v>352</v>
      </c>
      <c r="AN11" s="33" t="s">
        <v>353</v>
      </c>
      <c r="AO11" s="33" t="s">
        <v>354</v>
      </c>
      <c r="AP11" s="33" t="s">
        <v>355</v>
      </c>
      <c r="AQ11" s="88" t="s">
        <v>355</v>
      </c>
    </row>
    <row r="12" spans="1:56" ht="17.649999999999999" customHeight="1" x14ac:dyDescent="0.4">
      <c r="A12" s="564"/>
      <c r="B12" s="567" t="s">
        <v>3</v>
      </c>
      <c r="C12" s="568"/>
      <c r="D12" s="32" t="s">
        <v>119</v>
      </c>
      <c r="E12" s="32" t="s">
        <v>243</v>
      </c>
      <c r="F12" s="32" t="s">
        <v>247</v>
      </c>
      <c r="G12" s="32" t="s">
        <v>257</v>
      </c>
      <c r="H12" s="86" t="s">
        <v>258</v>
      </c>
      <c r="I12" s="32" t="s">
        <v>259</v>
      </c>
      <c r="J12" s="32" t="s">
        <v>260</v>
      </c>
      <c r="K12" s="32" t="s">
        <v>261</v>
      </c>
      <c r="L12" s="32" t="s">
        <v>322</v>
      </c>
      <c r="M12" s="86" t="s">
        <v>333</v>
      </c>
      <c r="N12" s="32" t="s">
        <v>339</v>
      </c>
      <c r="O12" s="32" t="s">
        <v>347</v>
      </c>
      <c r="P12" s="32" t="s">
        <v>349</v>
      </c>
      <c r="Q12" s="30" t="s">
        <v>129</v>
      </c>
      <c r="R12" s="89" t="s">
        <v>130</v>
      </c>
      <c r="S12" s="30" t="s">
        <v>131</v>
      </c>
      <c r="T12" s="30" t="s">
        <v>132</v>
      </c>
      <c r="U12" s="30" t="s">
        <v>133</v>
      </c>
      <c r="V12" s="30" t="s">
        <v>134</v>
      </c>
      <c r="W12" s="89" t="s">
        <v>135</v>
      </c>
      <c r="X12" s="30" t="s">
        <v>136</v>
      </c>
      <c r="Y12" s="30" t="s">
        <v>137</v>
      </c>
      <c r="Z12" s="30" t="s">
        <v>138</v>
      </c>
      <c r="AA12" s="30" t="s">
        <v>139</v>
      </c>
      <c r="AB12" s="89" t="s">
        <v>140</v>
      </c>
      <c r="AC12" s="30" t="s">
        <v>252</v>
      </c>
      <c r="AD12" s="30" t="s">
        <v>253</v>
      </c>
      <c r="AE12" s="30" t="s">
        <v>254</v>
      </c>
      <c r="AF12" s="30" t="s">
        <v>255</v>
      </c>
      <c r="AG12" s="89" t="s">
        <v>256</v>
      </c>
      <c r="AH12" s="30" t="s">
        <v>285</v>
      </c>
      <c r="AI12" s="30" t="s">
        <v>286</v>
      </c>
      <c r="AJ12" s="30" t="s">
        <v>287</v>
      </c>
      <c r="AK12" s="30" t="s">
        <v>288</v>
      </c>
      <c r="AL12" s="89" t="s">
        <v>289</v>
      </c>
      <c r="AM12" s="30" t="s">
        <v>356</v>
      </c>
      <c r="AN12" s="30" t="s">
        <v>357</v>
      </c>
      <c r="AO12" s="30" t="s">
        <v>358</v>
      </c>
      <c r="AP12" s="30" t="s">
        <v>359</v>
      </c>
      <c r="AQ12" s="89" t="s">
        <v>360</v>
      </c>
    </row>
    <row r="13" spans="1:56" outlineLevel="1" x14ac:dyDescent="0.25">
      <c r="A13" s="254"/>
      <c r="B13" s="569" t="s">
        <v>263</v>
      </c>
      <c r="C13" s="570"/>
      <c r="D13" s="261">
        <v>5370.3</v>
      </c>
      <c r="E13" s="261">
        <v>5159</v>
      </c>
      <c r="F13" s="261">
        <v>5535</v>
      </c>
      <c r="G13" s="261">
        <f>H13-F13-E13-D13</f>
        <v>5480.1000000000013</v>
      </c>
      <c r="H13" s="273">
        <v>21544.400000000001</v>
      </c>
      <c r="I13" s="261">
        <v>5780.7</v>
      </c>
      <c r="J13" s="261">
        <v>4766</v>
      </c>
      <c r="K13" s="261">
        <v>3444.4</v>
      </c>
      <c r="L13" s="261">
        <v>5173.6000000000004</v>
      </c>
      <c r="M13" s="170">
        <f>SUM(I13:L13)</f>
        <v>19164.7</v>
      </c>
      <c r="N13" s="169">
        <v>5726.5</v>
      </c>
      <c r="O13" s="169">
        <v>5653.1</v>
      </c>
      <c r="P13" s="169">
        <v>6363.1</v>
      </c>
      <c r="Q13" s="169">
        <f>+Q56+Q91</f>
        <v>6947.4747238127438</v>
      </c>
      <c r="R13" s="170">
        <f>SUM(N13:Q13)</f>
        <v>24690.174723812743</v>
      </c>
      <c r="S13" s="169">
        <f>+S56+S91</f>
        <v>6505.4505458227359</v>
      </c>
      <c r="T13" s="169">
        <f>+T56+T91</f>
        <v>6273.7599855979161</v>
      </c>
      <c r="U13" s="169">
        <f>+U56+U91</f>
        <v>7034.277218817364</v>
      </c>
      <c r="V13" s="169">
        <f>+V56+V91</f>
        <v>7023.1319294374216</v>
      </c>
      <c r="W13" s="170">
        <f>SUM(S13:V13)</f>
        <v>26836.619679675441</v>
      </c>
      <c r="X13" s="169">
        <f>+X56+X91</f>
        <v>7044.7141566361342</v>
      </c>
      <c r="Y13" s="169">
        <f>+Y56+Y91</f>
        <v>6907.4580976493762</v>
      </c>
      <c r="Z13" s="169">
        <f>+Z56+Z91</f>
        <v>7709.0542498713357</v>
      </c>
      <c r="AA13" s="169">
        <f>+AA56+AA91</f>
        <v>7653.9137112675762</v>
      </c>
      <c r="AB13" s="170">
        <f>SUM(X13:AA13)</f>
        <v>29315.140215424421</v>
      </c>
      <c r="AC13" s="169">
        <f>+AC56+AC91</f>
        <v>7577.9658346556498</v>
      </c>
      <c r="AD13" s="169">
        <f>+AD56+AD91</f>
        <v>7459.0480967610074</v>
      </c>
      <c r="AE13" s="169">
        <f>+AE56+AE91</f>
        <v>8349.8143412681457</v>
      </c>
      <c r="AF13" s="169">
        <f>+AF56+AF91</f>
        <v>8318.9221378064321</v>
      </c>
      <c r="AG13" s="170">
        <f>SUM(AC13:AF13)</f>
        <v>31705.750410491237</v>
      </c>
      <c r="AH13" s="169">
        <f>+AH56+AH91</f>
        <v>8205.5718656232912</v>
      </c>
      <c r="AI13" s="169">
        <f>+AI56+AI91</f>
        <v>8069.4507102945863</v>
      </c>
      <c r="AJ13" s="169">
        <f>+AJ56+AJ91</f>
        <v>9025.9410184709868</v>
      </c>
      <c r="AK13" s="169">
        <f>+AK56+AK91</f>
        <v>9001.8698787689391</v>
      </c>
      <c r="AL13" s="170">
        <f>SUM(AH13:AK13)</f>
        <v>34302.833473157807</v>
      </c>
      <c r="AM13" s="169">
        <f>+AM56+AM91</f>
        <v>8882.4049525391529</v>
      </c>
      <c r="AN13" s="169">
        <f>+AN56+AN91</f>
        <v>8723.6332337579624</v>
      </c>
      <c r="AO13" s="169">
        <f>+AO56+AO91</f>
        <v>9746.5057087645182</v>
      </c>
      <c r="AP13" s="169">
        <f>+AP56+AP91</f>
        <v>9726.7831635879556</v>
      </c>
      <c r="AQ13" s="170">
        <f>SUM(AM13:AP13)</f>
        <v>37079.327058649593</v>
      </c>
    </row>
    <row r="14" spans="1:56" outlineLevel="1" x14ac:dyDescent="0.25">
      <c r="A14" s="254"/>
      <c r="B14" s="569" t="s">
        <v>264</v>
      </c>
      <c r="C14" s="570"/>
      <c r="D14" s="261">
        <v>737.1</v>
      </c>
      <c r="E14" s="261">
        <v>678.2</v>
      </c>
      <c r="F14" s="261">
        <v>725</v>
      </c>
      <c r="G14" s="261">
        <f t="shared" ref="G14:G24" si="0">H14-F14-E14-D14</f>
        <v>734.69999999999993</v>
      </c>
      <c r="H14" s="273">
        <v>2875</v>
      </c>
      <c r="I14" s="261">
        <v>792</v>
      </c>
      <c r="J14" s="261">
        <v>689.8</v>
      </c>
      <c r="K14" s="261">
        <v>300.5</v>
      </c>
      <c r="L14" s="169">
        <v>544.6</v>
      </c>
      <c r="M14" s="170">
        <f t="shared" ref="M14:M15" si="1">SUM(I14:L14)</f>
        <v>2326.9</v>
      </c>
      <c r="N14" s="169">
        <v>613.79999999999995</v>
      </c>
      <c r="O14" s="169">
        <v>595</v>
      </c>
      <c r="P14" s="169">
        <v>680.2</v>
      </c>
      <c r="Q14" s="169">
        <f>+Q63+Q98</f>
        <v>911.04000000000008</v>
      </c>
      <c r="R14" s="170">
        <f t="shared" ref="R14:R15" si="2">SUM(N14:Q14)</f>
        <v>2800.04</v>
      </c>
      <c r="S14" s="169">
        <f>+S63+S98</f>
        <v>834.98500000000013</v>
      </c>
      <c r="T14" s="169">
        <f>+T63+T98</f>
        <v>772.44349999999997</v>
      </c>
      <c r="U14" s="169">
        <f>+U63+U98</f>
        <v>776.72787500000004</v>
      </c>
      <c r="V14" s="169">
        <f>+V63+V98</f>
        <v>951.13123437500008</v>
      </c>
      <c r="W14" s="170">
        <f t="shared" ref="W14:W15" si="3">SUM(S14:V14)</f>
        <v>3335.2876093750001</v>
      </c>
      <c r="X14" s="169">
        <f>+X63+X98</f>
        <v>876.32901783367925</v>
      </c>
      <c r="Y14" s="169">
        <f>+Y63+Y98</f>
        <v>816.29735063413068</v>
      </c>
      <c r="Z14" s="169">
        <f>+Z63+Z98</f>
        <v>826.39479699438482</v>
      </c>
      <c r="AA14" s="169">
        <f>+AA63+AA98</f>
        <v>1019.8656212043702</v>
      </c>
      <c r="AB14" s="170">
        <f t="shared" ref="AB14:AB15" si="4">SUM(X14:AA14)</f>
        <v>3538.8867866665651</v>
      </c>
      <c r="AC14" s="169">
        <f>+AC63+AC98</f>
        <v>941.34625885700359</v>
      </c>
      <c r="AD14" s="169">
        <f>+AD63+AD98</f>
        <v>876.77357627983474</v>
      </c>
      <c r="AE14" s="169">
        <f>+AE63+AE98</f>
        <v>887.63886827852593</v>
      </c>
      <c r="AF14" s="169">
        <f>+AF63+AF98</f>
        <v>1097.1315852725888</v>
      </c>
      <c r="AG14" s="170">
        <f t="shared" ref="AG14:AG15" si="5">SUM(AC14:AF14)</f>
        <v>3802.8902886879532</v>
      </c>
      <c r="AH14" s="169">
        <f>+AH63+AH98</f>
        <v>1010.9582072785795</v>
      </c>
      <c r="AI14" s="169">
        <f>+AI63+AI98</f>
        <v>940.94002602077819</v>
      </c>
      <c r="AJ14" s="169">
        <f>+AJ63+AJ98</f>
        <v>952.04978708943997</v>
      </c>
      <c r="AK14" s="169">
        <f>+AK63+AK98</f>
        <v>1177.7136324582666</v>
      </c>
      <c r="AL14" s="170">
        <f t="shared" ref="AL14:AL15" si="6">SUM(AH14:AK14)</f>
        <v>4081.6616528470645</v>
      </c>
      <c r="AM14" s="169">
        <f>+AM63+AM98</f>
        <v>1083.2261368355798</v>
      </c>
      <c r="AN14" s="169">
        <f>+AN63+AN98</f>
        <v>1007.5500993770725</v>
      </c>
      <c r="AO14" s="169">
        <f>+AO63+AO98</f>
        <v>1018.9098300697792</v>
      </c>
      <c r="AP14" s="169">
        <f>+AP63+AP98</f>
        <v>1261.3664489022553</v>
      </c>
      <c r="AQ14" s="170">
        <f t="shared" ref="AQ14:AQ15" si="7">SUM(AM14:AP14)</f>
        <v>4371.0525151846869</v>
      </c>
    </row>
    <row r="15" spans="1:56" ht="17.25" outlineLevel="1" x14ac:dyDescent="0.4">
      <c r="A15" s="254"/>
      <c r="B15" s="569" t="s">
        <v>265</v>
      </c>
      <c r="C15" s="570"/>
      <c r="D15" s="260">
        <v>525.29999999999995</v>
      </c>
      <c r="E15" s="260">
        <v>468.7</v>
      </c>
      <c r="F15" s="260">
        <v>563</v>
      </c>
      <c r="G15" s="260">
        <f t="shared" si="0"/>
        <v>532.19999999999982</v>
      </c>
      <c r="H15" s="282">
        <v>2089.1999999999998</v>
      </c>
      <c r="I15" s="260">
        <v>524.4</v>
      </c>
      <c r="J15" s="260">
        <v>539.9</v>
      </c>
      <c r="K15" s="260">
        <v>477.2</v>
      </c>
      <c r="L15" s="173">
        <v>484.9</v>
      </c>
      <c r="M15" s="174">
        <f t="shared" si="1"/>
        <v>2026.4</v>
      </c>
      <c r="N15" s="173">
        <v>409.1</v>
      </c>
      <c r="O15" s="173">
        <v>419.9</v>
      </c>
      <c r="P15" s="173">
        <v>453.2</v>
      </c>
      <c r="Q15" s="173">
        <f>+Q64+Q99+Q119+Q134</f>
        <v>420.49000000000007</v>
      </c>
      <c r="R15" s="174">
        <f t="shared" si="2"/>
        <v>1702.69</v>
      </c>
      <c r="S15" s="173">
        <f>+S64+S99+S119+S134</f>
        <v>439.29699999999997</v>
      </c>
      <c r="T15" s="173">
        <f>+T64+T99+T119+T134</f>
        <v>455.40449999999998</v>
      </c>
      <c r="U15" s="173">
        <f>+U64+U99+U119+U134</f>
        <v>481.9</v>
      </c>
      <c r="V15" s="173">
        <f>+V64+V99+V119+V134</f>
        <v>445.97</v>
      </c>
      <c r="W15" s="174">
        <f t="shared" si="3"/>
        <v>1822.5714999999998</v>
      </c>
      <c r="X15" s="173">
        <f>+X64+X99+X119+X134</f>
        <v>470.92861999999997</v>
      </c>
      <c r="Y15" s="173">
        <f>+Y64+Y99+Y119+Y134</f>
        <v>491.05016999999998</v>
      </c>
      <c r="Z15" s="173">
        <f>+Z64+Z99+Z119+Z134</f>
        <v>515.13170000000002</v>
      </c>
      <c r="AA15" s="173">
        <f>+AA64+AA99+AA119+AA134</f>
        <v>475.40128500000003</v>
      </c>
      <c r="AB15" s="174">
        <f t="shared" si="4"/>
        <v>1952.5117749999999</v>
      </c>
      <c r="AC15" s="173">
        <f>+AC64+AC99+AC119+AC134</f>
        <v>503.55008409999999</v>
      </c>
      <c r="AD15" s="173">
        <f>+AD64+AD99+AD119+AD134</f>
        <v>528.6842743499999</v>
      </c>
      <c r="AE15" s="173">
        <f>+AE64+AE99+AE119+AE134</f>
        <v>548.95156600000007</v>
      </c>
      <c r="AF15" s="173">
        <f>+AF64+AF99+AF119+AF134</f>
        <v>504.9420093</v>
      </c>
      <c r="AG15" s="174">
        <f t="shared" si="5"/>
        <v>2086.12793375</v>
      </c>
      <c r="AH15" s="173">
        <f>+AH64+AH99+AH119+AH134</f>
        <v>537.26952330500001</v>
      </c>
      <c r="AI15" s="173">
        <f>+AI64+AI99+AI119+AI134</f>
        <v>568.66186806749988</v>
      </c>
      <c r="AJ15" s="173">
        <f>+AJ64+AJ99+AJ119+AJ134</f>
        <v>583.3505093</v>
      </c>
      <c r="AK15" s="173">
        <f>+AK64+AK99+AK119+AK134</f>
        <v>534.48183051499996</v>
      </c>
      <c r="AL15" s="174">
        <f t="shared" si="6"/>
        <v>2223.7637311874996</v>
      </c>
      <c r="AM15" s="173">
        <f>+AM64+AM99+AM119+AM134</f>
        <v>574.58381547024999</v>
      </c>
      <c r="AN15" s="173">
        <f>+AN64+AN99+AN119+AN134</f>
        <v>613.77861697087485</v>
      </c>
      <c r="AO15" s="173">
        <f>+AO64+AO99+AO119+AO134</f>
        <v>620.94969251500004</v>
      </c>
      <c r="AP15" s="173">
        <f>+AP64+AP99+AP119+AP134</f>
        <v>566.39373517824993</v>
      </c>
      <c r="AQ15" s="174">
        <f t="shared" si="7"/>
        <v>2375.7058601343751</v>
      </c>
    </row>
    <row r="16" spans="1:56" s="20" customFormat="1" x14ac:dyDescent="0.25">
      <c r="A16" s="269"/>
      <c r="B16" s="571" t="s">
        <v>266</v>
      </c>
      <c r="C16" s="572"/>
      <c r="D16" s="259">
        <f t="shared" ref="D16:AB16" si="8">SUM(D13:D15)</f>
        <v>6632.7000000000007</v>
      </c>
      <c r="E16" s="259">
        <f t="shared" si="8"/>
        <v>6305.9</v>
      </c>
      <c r="F16" s="259">
        <f t="shared" si="8"/>
        <v>6823</v>
      </c>
      <c r="G16" s="259">
        <f t="shared" si="8"/>
        <v>6747.0000000000009</v>
      </c>
      <c r="H16" s="274">
        <f t="shared" si="8"/>
        <v>26508.600000000002</v>
      </c>
      <c r="I16" s="259">
        <f>SUM(I13:I15)</f>
        <v>7097.0999999999995</v>
      </c>
      <c r="J16" s="259">
        <f>SUM(J13:J15)</f>
        <v>5995.7</v>
      </c>
      <c r="K16" s="259">
        <f>SUM(K13:K15)</f>
        <v>4222.1000000000004</v>
      </c>
      <c r="L16" s="259">
        <f>SUM(L13:L15)</f>
        <v>6203.1</v>
      </c>
      <c r="M16" s="451">
        <f t="shared" si="8"/>
        <v>23518.000000000004</v>
      </c>
      <c r="N16" s="259">
        <f t="shared" si="8"/>
        <v>6749.4000000000005</v>
      </c>
      <c r="O16" s="259">
        <f t="shared" si="8"/>
        <v>6668</v>
      </c>
      <c r="P16" s="259">
        <f t="shared" si="8"/>
        <v>7496.5</v>
      </c>
      <c r="Q16" s="494">
        <f t="shared" si="8"/>
        <v>8279.0047238127445</v>
      </c>
      <c r="R16" s="493">
        <f t="shared" si="8"/>
        <v>29192.904723812742</v>
      </c>
      <c r="S16" s="494">
        <f t="shared" si="8"/>
        <v>7779.732545822736</v>
      </c>
      <c r="T16" s="494">
        <f t="shared" si="8"/>
        <v>7501.607985597916</v>
      </c>
      <c r="U16" s="494">
        <f t="shared" si="8"/>
        <v>8292.9050938173641</v>
      </c>
      <c r="V16" s="171">
        <f t="shared" si="8"/>
        <v>8420.2331638124215</v>
      </c>
      <c r="W16" s="495">
        <f t="shared" si="8"/>
        <v>31994.478789050438</v>
      </c>
      <c r="X16" s="171">
        <f t="shared" si="8"/>
        <v>8391.9717944698132</v>
      </c>
      <c r="Y16" s="171">
        <f t="shared" si="8"/>
        <v>8214.8056182835062</v>
      </c>
      <c r="Z16" s="171">
        <f t="shared" si="8"/>
        <v>9050.5807468657204</v>
      </c>
      <c r="AA16" s="171">
        <f t="shared" si="8"/>
        <v>9149.1806174719459</v>
      </c>
      <c r="AB16" s="274">
        <f t="shared" si="8"/>
        <v>34806.538777090987</v>
      </c>
      <c r="AC16" s="171">
        <f t="shared" ref="AC16:AL16" si="9">SUM(AC13:AC15)</f>
        <v>9022.8621776126529</v>
      </c>
      <c r="AD16" s="171">
        <f t="shared" si="9"/>
        <v>8864.5059473908423</v>
      </c>
      <c r="AE16" s="171">
        <f t="shared" si="9"/>
        <v>9786.4047755466709</v>
      </c>
      <c r="AF16" s="171">
        <f t="shared" si="9"/>
        <v>9920.9957323790222</v>
      </c>
      <c r="AG16" s="172">
        <f t="shared" si="9"/>
        <v>37594.76863292919</v>
      </c>
      <c r="AH16" s="171">
        <f t="shared" si="9"/>
        <v>9753.7995962068708</v>
      </c>
      <c r="AI16" s="171">
        <f t="shared" si="9"/>
        <v>9579.052604382865</v>
      </c>
      <c r="AJ16" s="171">
        <f t="shared" si="9"/>
        <v>10561.341314860427</v>
      </c>
      <c r="AK16" s="171">
        <f t="shared" si="9"/>
        <v>10714.065341742205</v>
      </c>
      <c r="AL16" s="172">
        <f t="shared" si="9"/>
        <v>40608.25885719237</v>
      </c>
      <c r="AM16" s="171">
        <f t="shared" ref="AM16:AQ16" si="10">SUM(AM13:AM15)</f>
        <v>10540.214904844983</v>
      </c>
      <c r="AN16" s="171">
        <f t="shared" si="10"/>
        <v>10344.96195010591</v>
      </c>
      <c r="AO16" s="171">
        <f t="shared" si="10"/>
        <v>11386.365231349297</v>
      </c>
      <c r="AP16" s="171">
        <f t="shared" si="10"/>
        <v>11554.543347668461</v>
      </c>
      <c r="AQ16" s="172">
        <f t="shared" si="10"/>
        <v>43826.085433968656</v>
      </c>
    </row>
    <row r="17" spans="1:43" outlineLevel="1" x14ac:dyDescent="0.25">
      <c r="A17" s="254"/>
      <c r="B17" s="573" t="s">
        <v>262</v>
      </c>
      <c r="C17" s="574"/>
      <c r="D17" s="261">
        <v>2175.8000000000002</v>
      </c>
      <c r="E17" s="261">
        <v>2012</v>
      </c>
      <c r="F17" s="261">
        <v>2199.6</v>
      </c>
      <c r="G17" s="261">
        <f t="shared" si="0"/>
        <v>2139.4999999999991</v>
      </c>
      <c r="H17" s="273">
        <v>8526.9</v>
      </c>
      <c r="I17" s="261">
        <v>2236.4</v>
      </c>
      <c r="J17" s="261">
        <v>1997.7</v>
      </c>
      <c r="K17" s="261">
        <v>1484</v>
      </c>
      <c r="L17" s="261">
        <v>1976.8</v>
      </c>
      <c r="M17" s="450">
        <f>SUM(I17:L17)</f>
        <v>7694.9000000000005</v>
      </c>
      <c r="N17" s="261">
        <v>2049.1</v>
      </c>
      <c r="O17" s="261">
        <v>1992.4</v>
      </c>
      <c r="P17" s="261">
        <v>2206</v>
      </c>
      <c r="Q17" s="261">
        <f>+Q69+Q104+Q121+Q136</f>
        <v>2499.4074543879219</v>
      </c>
      <c r="R17" s="450">
        <f>SUM(N17:Q17)</f>
        <v>8746.9074543879215</v>
      </c>
      <c r="S17" s="261">
        <f>+S69+S104+S121+S136</f>
        <v>2394.3547203211629</v>
      </c>
      <c r="T17" s="261">
        <f>+T69+T104+T121+T136</f>
        <v>2363.625370555621</v>
      </c>
      <c r="U17" s="261">
        <f>+U69+U104+U121+U136</f>
        <v>2550.3241169930916</v>
      </c>
      <c r="V17" s="261">
        <f>+V69+V104+V121+V136</f>
        <v>2577.9109227144927</v>
      </c>
      <c r="W17" s="450">
        <f>SUM(S17:V17)</f>
        <v>9886.215130584369</v>
      </c>
      <c r="X17" s="261">
        <f>+X69+X104+X121+X136</f>
        <v>2565.0552705114023</v>
      </c>
      <c r="Y17" s="261">
        <f>+Y69+Y104+Y121+Y136</f>
        <v>2566.0904034173545</v>
      </c>
      <c r="Z17" s="261">
        <f>+Z69+Z104+Z121+Z136</f>
        <v>2823.1620395455479</v>
      </c>
      <c r="AA17" s="261">
        <f>+AA69+AA104+AA121+AA136</f>
        <v>2790.1083713568419</v>
      </c>
      <c r="AB17" s="170">
        <f>SUM(X17:AA17)</f>
        <v>10744.416084831148</v>
      </c>
      <c r="AC17" s="261">
        <f>+AC69+AC104+AC121+AC136</f>
        <v>2761.9251122245832</v>
      </c>
      <c r="AD17" s="261">
        <f>+AD69+AD104+AD121+AD136</f>
        <v>2772.0452867018353</v>
      </c>
      <c r="AE17" s="261">
        <f>+AE69+AE104+AE121+AE136</f>
        <v>3055.4483239781143</v>
      </c>
      <c r="AF17" s="261">
        <f>+AF69+AF104+AF121+AF136</f>
        <v>3030.0713226644907</v>
      </c>
      <c r="AG17" s="170">
        <f>SUM(AC17:AF17)</f>
        <v>11619.490045569024</v>
      </c>
      <c r="AH17" s="261">
        <f>+AH69+AH104+AH121+AH136</f>
        <v>2983.8814565248167</v>
      </c>
      <c r="AI17" s="261">
        <f>+AI69+AI104+AI121+AI136</f>
        <v>2992.8366024083148</v>
      </c>
      <c r="AJ17" s="261">
        <f>+AJ69+AJ104+AJ121+AJ136</f>
        <v>3294.5941825932096</v>
      </c>
      <c r="AK17" s="261">
        <f>+AK69+AK104+AK121+AK136</f>
        <v>3270.7487756273849</v>
      </c>
      <c r="AL17" s="170">
        <f>SUM(AH17:AK17)</f>
        <v>12542.061017153726</v>
      </c>
      <c r="AM17" s="261">
        <f>+AM69+AM104+AM121+AM136</f>
        <v>3223.0420229412134</v>
      </c>
      <c r="AN17" s="261">
        <f>+AN69+AN104+AN121+AN136</f>
        <v>3229.7654597634987</v>
      </c>
      <c r="AO17" s="261">
        <f>+AO69+AO104+AO121+AO136</f>
        <v>3549.4732873067583</v>
      </c>
      <c r="AP17" s="261">
        <f>+AP69+AP104+AP121+AP136</f>
        <v>3526.1003632026204</v>
      </c>
      <c r="AQ17" s="170">
        <f>SUM(AM17:AP17)</f>
        <v>13528.38113321409</v>
      </c>
    </row>
    <row r="18" spans="1:43" outlineLevel="1" x14ac:dyDescent="0.25">
      <c r="A18" s="254"/>
      <c r="B18" s="406" t="s">
        <v>141</v>
      </c>
      <c r="C18" s="323"/>
      <c r="D18" s="261">
        <v>2586.8000000000002</v>
      </c>
      <c r="E18" s="261">
        <v>2554.1</v>
      </c>
      <c r="F18" s="261">
        <v>2643.2</v>
      </c>
      <c r="G18" s="261">
        <f t="shared" si="0"/>
        <v>2709.5000000000009</v>
      </c>
      <c r="H18" s="273">
        <v>10493.6</v>
      </c>
      <c r="I18" s="261">
        <v>2821.5</v>
      </c>
      <c r="J18" s="261">
        <v>2721.4</v>
      </c>
      <c r="K18" s="261">
        <v>2537.8000000000002</v>
      </c>
      <c r="L18" s="169">
        <v>2683.4</v>
      </c>
      <c r="M18" s="170">
        <f t="shared" ref="M18:M21" si="11">SUM(I18:L18)</f>
        <v>10764.1</v>
      </c>
      <c r="N18" s="169">
        <v>2867.3</v>
      </c>
      <c r="O18" s="261">
        <v>2823.3</v>
      </c>
      <c r="P18" s="261">
        <v>2966.9</v>
      </c>
      <c r="Q18" s="261">
        <f>+Q71+Q106</f>
        <v>3347.6717185172142</v>
      </c>
      <c r="R18" s="450">
        <f t="shared" ref="R18:R21" si="12">SUM(N18:Q18)</f>
        <v>12005.171718517215</v>
      </c>
      <c r="S18" s="169">
        <f>+S71+S106</f>
        <v>3152.9742361259218</v>
      </c>
      <c r="T18" s="169">
        <f>+T71+T106</f>
        <v>3043.1191211471246</v>
      </c>
      <c r="U18" s="169">
        <f>+U71+U106</f>
        <v>3312.0638011682558</v>
      </c>
      <c r="V18" s="169">
        <f>+V71+V106</f>
        <v>3344.1067079222648</v>
      </c>
      <c r="W18" s="450">
        <f t="shared" ref="W18:W21" si="13">SUM(S18:V18)</f>
        <v>12852.263866363568</v>
      </c>
      <c r="X18" s="169">
        <f>+X71+X106</f>
        <v>3350.9195497767228</v>
      </c>
      <c r="Y18" s="169">
        <f>+Y71+Y106</f>
        <v>3290.2094625537711</v>
      </c>
      <c r="Z18" s="169">
        <f>+Z71+Z106</f>
        <v>3680.5070735105683</v>
      </c>
      <c r="AA18" s="169">
        <f>+AA71+AA106</f>
        <v>3646.2168650105614</v>
      </c>
      <c r="AB18" s="170">
        <f t="shared" ref="AB18:AB21" si="14">SUM(X18:AA18)</f>
        <v>13967.852950851624</v>
      </c>
      <c r="AC18" s="169">
        <f>+AC71+AC106</f>
        <v>3608.3947185574457</v>
      </c>
      <c r="AD18" s="169">
        <f>+AD71+AD106</f>
        <v>3555.9942571618749</v>
      </c>
      <c r="AE18" s="169">
        <f>+AE71+AE106</f>
        <v>3988.8418013030887</v>
      </c>
      <c r="AF18" s="169">
        <f>+AF71+AF106</f>
        <v>3964.8605967253006</v>
      </c>
      <c r="AG18" s="170">
        <f t="shared" ref="AG18:AG22" si="15">SUM(AC18:AF18)</f>
        <v>15118.091373747711</v>
      </c>
      <c r="AH18" s="169">
        <f>+AH71+AH106</f>
        <v>3903.3906775639571</v>
      </c>
      <c r="AI18" s="169">
        <f>+AI71+AI106</f>
        <v>3843.3670135628772</v>
      </c>
      <c r="AJ18" s="169">
        <f>+AJ71+AJ106</f>
        <v>4307.9753207991853</v>
      </c>
      <c r="AK18" s="169">
        <f>+AK71+AK106</f>
        <v>4286.21162113235</v>
      </c>
      <c r="AL18" s="170">
        <f t="shared" ref="AL18:AL22" si="16">SUM(AH18:AK18)</f>
        <v>16340.944633058369</v>
      </c>
      <c r="AM18" s="169">
        <f>+AM71+AM106</f>
        <v>4221.1788864540431</v>
      </c>
      <c r="AN18" s="169">
        <f>+AN71+AN106</f>
        <v>4151.1036460836322</v>
      </c>
      <c r="AO18" s="169">
        <f>+AO71+AO106</f>
        <v>4647.9092012276406</v>
      </c>
      <c r="AP18" s="169">
        <f>+AP71+AP106</f>
        <v>4627.224974696861</v>
      </c>
      <c r="AQ18" s="170">
        <f t="shared" ref="AQ18:AQ22" si="17">SUM(AM18:AP18)</f>
        <v>17647.41670846218</v>
      </c>
    </row>
    <row r="19" spans="1:43" outlineLevel="1" x14ac:dyDescent="0.25">
      <c r="A19" s="254"/>
      <c r="B19" s="406" t="s">
        <v>142</v>
      </c>
      <c r="C19" s="323"/>
      <c r="D19" s="261">
        <v>97.6</v>
      </c>
      <c r="E19" s="261">
        <v>87.1</v>
      </c>
      <c r="F19" s="261">
        <v>94.4</v>
      </c>
      <c r="G19" s="261">
        <f t="shared" si="0"/>
        <v>91.900000000000034</v>
      </c>
      <c r="H19" s="273">
        <v>371</v>
      </c>
      <c r="I19" s="261">
        <v>101.8</v>
      </c>
      <c r="J19" s="261">
        <v>95</v>
      </c>
      <c r="K19" s="261">
        <v>133.6</v>
      </c>
      <c r="L19" s="169">
        <v>99.9</v>
      </c>
      <c r="M19" s="170">
        <f t="shared" si="11"/>
        <v>430.29999999999995</v>
      </c>
      <c r="N19" s="169">
        <v>91.8</v>
      </c>
      <c r="O19" s="261">
        <v>87.7</v>
      </c>
      <c r="P19" s="261">
        <v>71.400000000000006</v>
      </c>
      <c r="Q19" s="261">
        <f>+Q73+Q108+Q123+Q137</f>
        <v>99.544994063741271</v>
      </c>
      <c r="R19" s="450">
        <f t="shared" si="12"/>
        <v>350.44499406374126</v>
      </c>
      <c r="S19" s="169">
        <f>+S73+S108+S123+S137</f>
        <v>96.141230709454817</v>
      </c>
      <c r="T19" s="169">
        <f>+T73+T108+T123+T137</f>
        <v>92.550319929292812</v>
      </c>
      <c r="U19" s="169">
        <f>+U73+U108+U123+U137</f>
        <v>100.04778212867377</v>
      </c>
      <c r="V19" s="169">
        <f>+V73+V108+V123+V137</f>
        <v>103.63992567678257</v>
      </c>
      <c r="W19" s="450">
        <f t="shared" si="13"/>
        <v>392.37925844420397</v>
      </c>
      <c r="X19" s="169">
        <f>+X73+X108+X123+X137</f>
        <v>105.10418646259775</v>
      </c>
      <c r="Y19" s="169">
        <f>+Y73+Y108+Y123+Y137</f>
        <v>102.02371911284258</v>
      </c>
      <c r="Z19" s="169">
        <f>+Z73+Z108+Z123+Z137</f>
        <v>109.65002458705757</v>
      </c>
      <c r="AA19" s="169">
        <f>+AA73+AA108+AA123+AA137</f>
        <v>113.08164181806366</v>
      </c>
      <c r="AB19" s="170">
        <f t="shared" si="14"/>
        <v>429.85957198056155</v>
      </c>
      <c r="AC19" s="169">
        <f>+AC73+AC108+AC123+AC137</f>
        <v>113.19260973320918</v>
      </c>
      <c r="AD19" s="169">
        <f>+AD73+AD108+AD123+AD137</f>
        <v>110.38278590911942</v>
      </c>
      <c r="AE19" s="169">
        <f>+AE73+AE108+AE123+AE137</f>
        <v>118.9663301264542</v>
      </c>
      <c r="AF19" s="169">
        <f>+AF73+AF108+AF123+AF137</f>
        <v>123.28787478657495</v>
      </c>
      <c r="AG19" s="170">
        <f t="shared" si="15"/>
        <v>465.82960055535773</v>
      </c>
      <c r="AH19" s="169">
        <f>+AH73+AH108+AH123+AH137</f>
        <v>123.09634983464807</v>
      </c>
      <c r="AI19" s="169">
        <f>+AI73+AI108+AI123+AI137</f>
        <v>119.98173822020813</v>
      </c>
      <c r="AJ19" s="169">
        <f>+AJ73+AJ108+AJ123+AJ137</f>
        <v>129.07893296350625</v>
      </c>
      <c r="AK19" s="169">
        <f>+AK73+AK108+AK123+AK137</f>
        <v>133.93745167558166</v>
      </c>
      <c r="AL19" s="170">
        <f t="shared" si="16"/>
        <v>506.09447269394411</v>
      </c>
      <c r="AM19" s="169">
        <f>+AM73+AM108+AM123+AM137</f>
        <v>133.84452254330219</v>
      </c>
      <c r="AN19" s="169">
        <f>+AN73+AN108+AN123+AN137</f>
        <v>130.34652841956893</v>
      </c>
      <c r="AO19" s="169">
        <f>+AO73+AO108+AO123+AO137</f>
        <v>139.89228758142832</v>
      </c>
      <c r="AP19" s="169">
        <f>+AP73+AP108+AP123+AP137</f>
        <v>145.24491222287298</v>
      </c>
      <c r="AQ19" s="170">
        <f t="shared" si="17"/>
        <v>549.32825076717245</v>
      </c>
    </row>
    <row r="20" spans="1:43" outlineLevel="1" x14ac:dyDescent="0.25">
      <c r="A20" s="254"/>
      <c r="B20" s="406" t="s">
        <v>143</v>
      </c>
      <c r="C20" s="323"/>
      <c r="D20" s="261">
        <v>333.4</v>
      </c>
      <c r="E20" s="261">
        <v>356.2</v>
      </c>
      <c r="F20" s="261">
        <v>343.1</v>
      </c>
      <c r="G20" s="261">
        <f t="shared" si="0"/>
        <v>344.5999999999998</v>
      </c>
      <c r="H20" s="273">
        <v>1377.3</v>
      </c>
      <c r="I20" s="261">
        <v>351</v>
      </c>
      <c r="J20" s="261">
        <v>356.3</v>
      </c>
      <c r="K20" s="261">
        <v>361</v>
      </c>
      <c r="L20" s="169">
        <v>362.9</v>
      </c>
      <c r="M20" s="170">
        <f t="shared" ref="M20" si="18">SUM(I20:L20)</f>
        <v>1431.1999999999998</v>
      </c>
      <c r="N20" s="169">
        <v>366.1</v>
      </c>
      <c r="O20" s="261">
        <v>366.7</v>
      </c>
      <c r="P20" s="261">
        <v>354.3</v>
      </c>
      <c r="Q20" s="261">
        <f t="shared" ref="Q20:Q21" si="19">+Q75+Q110+Q125+Q138</f>
        <v>378.89745207839951</v>
      </c>
      <c r="R20" s="450">
        <f t="shared" ref="R20" si="20">SUM(N20:Q20)</f>
        <v>1465.9974520783994</v>
      </c>
      <c r="S20" s="169">
        <f t="shared" ref="S20:V21" si="21">+S75+S110+S125+S138</f>
        <v>401.3444084438629</v>
      </c>
      <c r="T20" s="169">
        <f t="shared" si="21"/>
        <v>405.48447663667821</v>
      </c>
      <c r="U20" s="169">
        <f t="shared" si="21"/>
        <v>408.04477767416955</v>
      </c>
      <c r="V20" s="169">
        <f t="shared" si="21"/>
        <v>415.96061680875266</v>
      </c>
      <c r="W20" s="450">
        <f t="shared" ref="W20" si="22">SUM(S20:V20)</f>
        <v>1630.8342795634635</v>
      </c>
      <c r="X20" s="169">
        <f t="shared" ref="X20:AA21" si="23">+X75+X110+X125+X138</f>
        <v>421.71099114913056</v>
      </c>
      <c r="Y20" s="169">
        <f t="shared" si="23"/>
        <v>425.14141493475933</v>
      </c>
      <c r="Z20" s="169">
        <f t="shared" si="23"/>
        <v>427.94027910401462</v>
      </c>
      <c r="AA20" s="169">
        <f t="shared" si="23"/>
        <v>433.85548268595227</v>
      </c>
      <c r="AB20" s="170">
        <f t="shared" ref="AB20" si="24">SUM(X20:AA20)</f>
        <v>1708.6481678738569</v>
      </c>
      <c r="AC20" s="169">
        <f t="shared" ref="AC20:AF21" si="25">+AC75+AC110+AC125+AC138</f>
        <v>438.19416752847201</v>
      </c>
      <c r="AD20" s="169">
        <f t="shared" si="25"/>
        <v>440.3201210404186</v>
      </c>
      <c r="AE20" s="169">
        <f t="shared" si="25"/>
        <v>441.86981925473481</v>
      </c>
      <c r="AF20" s="169">
        <f t="shared" si="25"/>
        <v>446.33756130044964</v>
      </c>
      <c r="AG20" s="170">
        <f t="shared" si="15"/>
        <v>1766.7216691240751</v>
      </c>
      <c r="AH20" s="169">
        <f t="shared" ref="AH20:AK21" si="26">+AH75+AH110+AH125+AH138</f>
        <v>451.29493878975865</v>
      </c>
      <c r="AI20" s="169">
        <f t="shared" si="26"/>
        <v>455.12475556482121</v>
      </c>
      <c r="AJ20" s="169">
        <f t="shared" si="26"/>
        <v>458.18789725751896</v>
      </c>
      <c r="AK20" s="169">
        <f t="shared" si="26"/>
        <v>464.28416388325962</v>
      </c>
      <c r="AL20" s="170">
        <f t="shared" si="16"/>
        <v>1828.8917554953584</v>
      </c>
      <c r="AM20" s="169">
        <f t="shared" ref="AM20:AP20" si="27">+AM75+AM110+AM125+AM138</f>
        <v>470.53297535026388</v>
      </c>
      <c r="AN20" s="169">
        <f t="shared" si="27"/>
        <v>475.78195263337182</v>
      </c>
      <c r="AO20" s="169">
        <f t="shared" si="27"/>
        <v>480.08584780475206</v>
      </c>
      <c r="AP20" s="169">
        <f t="shared" si="27"/>
        <v>487.51733288062286</v>
      </c>
      <c r="AQ20" s="170">
        <f t="shared" si="17"/>
        <v>1913.9181086690107</v>
      </c>
    </row>
    <row r="21" spans="1:43" ht="17.25" customHeight="1" outlineLevel="1" x14ac:dyDescent="0.25">
      <c r="A21" s="254"/>
      <c r="B21" s="406" t="s">
        <v>245</v>
      </c>
      <c r="C21" s="323"/>
      <c r="D21" s="261">
        <v>448</v>
      </c>
      <c r="E21" s="261">
        <v>458.1</v>
      </c>
      <c r="F21" s="261">
        <v>459.7</v>
      </c>
      <c r="G21" s="261">
        <f t="shared" si="0"/>
        <v>458.29999999999984</v>
      </c>
      <c r="H21" s="273">
        <v>1824.1</v>
      </c>
      <c r="I21" s="261">
        <v>434.2</v>
      </c>
      <c r="J21" s="261">
        <v>406.5</v>
      </c>
      <c r="K21" s="261">
        <v>399.9</v>
      </c>
      <c r="L21" s="169">
        <v>439</v>
      </c>
      <c r="M21" s="273">
        <f t="shared" si="11"/>
        <v>1679.6</v>
      </c>
      <c r="N21" s="169">
        <v>472.1</v>
      </c>
      <c r="O21" s="261">
        <v>464.4</v>
      </c>
      <c r="P21" s="261">
        <v>494.9</v>
      </c>
      <c r="Q21" s="261">
        <f t="shared" si="19"/>
        <v>481.08839150068468</v>
      </c>
      <c r="R21" s="450">
        <f t="shared" si="12"/>
        <v>1912.4883915006849</v>
      </c>
      <c r="S21" s="169">
        <f t="shared" si="21"/>
        <v>494.78097480849482</v>
      </c>
      <c r="T21" s="169">
        <f t="shared" si="21"/>
        <v>505.53562938342793</v>
      </c>
      <c r="U21" s="169">
        <f t="shared" si="21"/>
        <v>522.04759486118735</v>
      </c>
      <c r="V21" s="169">
        <f t="shared" si="21"/>
        <v>504.4903326805229</v>
      </c>
      <c r="W21" s="450">
        <f t="shared" si="13"/>
        <v>2026.8545317336329</v>
      </c>
      <c r="X21" s="169">
        <f t="shared" si="23"/>
        <v>509.70347384648164</v>
      </c>
      <c r="Y21" s="169">
        <f t="shared" si="23"/>
        <v>524.15465150551017</v>
      </c>
      <c r="Z21" s="169">
        <f t="shared" si="23"/>
        <v>539.53126469858557</v>
      </c>
      <c r="AA21" s="169">
        <f t="shared" si="23"/>
        <v>524.15822693868677</v>
      </c>
      <c r="AB21" s="170">
        <f t="shared" si="14"/>
        <v>2097.5476169892645</v>
      </c>
      <c r="AC21" s="169">
        <f t="shared" si="25"/>
        <v>525.29661622715844</v>
      </c>
      <c r="AD21" s="169">
        <f t="shared" si="25"/>
        <v>542.34278658880078</v>
      </c>
      <c r="AE21" s="169">
        <f t="shared" si="25"/>
        <v>559.96805711773141</v>
      </c>
      <c r="AF21" s="169">
        <f t="shared" si="25"/>
        <v>545.57562137891227</v>
      </c>
      <c r="AG21" s="170">
        <f t="shared" si="15"/>
        <v>2173.183081312603</v>
      </c>
      <c r="AH21" s="169">
        <f t="shared" si="26"/>
        <v>549.5875460435276</v>
      </c>
      <c r="AI21" s="169">
        <f t="shared" si="26"/>
        <v>567.58442159774768</v>
      </c>
      <c r="AJ21" s="169">
        <f t="shared" si="26"/>
        <v>586.74958305586358</v>
      </c>
      <c r="AK21" s="169">
        <f t="shared" si="26"/>
        <v>571.97361399183001</v>
      </c>
      <c r="AL21" s="170">
        <f t="shared" si="16"/>
        <v>2275.8951646889691</v>
      </c>
      <c r="AM21" s="169">
        <f t="shared" ref="AM21:AP21" si="28">+AM76+AM111+AM126+AM139</f>
        <v>572.30819646965381</v>
      </c>
      <c r="AN21" s="169">
        <f t="shared" si="28"/>
        <v>591.08885977917089</v>
      </c>
      <c r="AO21" s="169">
        <f t="shared" si="28"/>
        <v>611.0807226493406</v>
      </c>
      <c r="AP21" s="169">
        <f t="shared" si="28"/>
        <v>595.75967665593032</v>
      </c>
      <c r="AQ21" s="170">
        <f t="shared" si="17"/>
        <v>2370.237455554096</v>
      </c>
    </row>
    <row r="22" spans="1:43" ht="17.25" customHeight="1" outlineLevel="1" x14ac:dyDescent="0.4">
      <c r="A22" s="254"/>
      <c r="B22" s="406" t="s">
        <v>152</v>
      </c>
      <c r="C22" s="323"/>
      <c r="D22" s="260">
        <v>43.2</v>
      </c>
      <c r="E22" s="260">
        <v>43</v>
      </c>
      <c r="F22" s="260">
        <v>37.700000000000003</v>
      </c>
      <c r="G22" s="260">
        <f t="shared" si="0"/>
        <v>11.900000000000006</v>
      </c>
      <c r="H22" s="282">
        <v>135.80000000000001</v>
      </c>
      <c r="I22" s="260">
        <v>6.3</v>
      </c>
      <c r="J22" s="260">
        <v>-0.7</v>
      </c>
      <c r="K22" s="260">
        <v>78.099999999999994</v>
      </c>
      <c r="L22" s="260">
        <v>195</v>
      </c>
      <c r="M22" s="174">
        <f t="shared" ref="M22" si="29">SUM(I22:L22)</f>
        <v>278.7</v>
      </c>
      <c r="N22" s="173">
        <v>72.2</v>
      </c>
      <c r="O22" s="260">
        <v>23</v>
      </c>
      <c r="P22" s="260">
        <v>19.8</v>
      </c>
      <c r="Q22" s="260">
        <f>+Q78+Q113+Q128+Q140</f>
        <v>5</v>
      </c>
      <c r="R22" s="453">
        <f t="shared" ref="R22" si="30">SUM(N22:Q22)</f>
        <v>120</v>
      </c>
      <c r="S22" s="173">
        <f>+S78+S113+S128+S140</f>
        <v>0</v>
      </c>
      <c r="T22" s="173">
        <f>+T78+T113+T128+T140</f>
        <v>0</v>
      </c>
      <c r="U22" s="173">
        <f>+U78+U113+U128+U140</f>
        <v>0</v>
      </c>
      <c r="V22" s="173">
        <f>+V78+V113+V128+V140</f>
        <v>0</v>
      </c>
      <c r="W22" s="453">
        <f t="shared" ref="W22" si="31">SUM(S22:V22)</f>
        <v>0</v>
      </c>
      <c r="X22" s="173">
        <f>+X78+X113+X128+X140</f>
        <v>0</v>
      </c>
      <c r="Y22" s="173">
        <f>+Y78+Y113+Y128+Y140</f>
        <v>0</v>
      </c>
      <c r="Z22" s="173">
        <f>+Z78+Z113+Z128+Z140</f>
        <v>0</v>
      </c>
      <c r="AA22" s="173">
        <f>+AA78+AA113+AA128+AA140</f>
        <v>0</v>
      </c>
      <c r="AB22" s="174">
        <f t="shared" ref="AB22" si="32">SUM(X22:AA22)</f>
        <v>0</v>
      </c>
      <c r="AC22" s="173">
        <f>+AC78+AC113+AC128+AC140</f>
        <v>0</v>
      </c>
      <c r="AD22" s="173">
        <f>+AD78+AD113+AD128+AD140</f>
        <v>0</v>
      </c>
      <c r="AE22" s="173">
        <f>+AE78+AE113+AE128+AE140</f>
        <v>0</v>
      </c>
      <c r="AF22" s="173">
        <f>+AF78+AF113+AF128+AF140</f>
        <v>0</v>
      </c>
      <c r="AG22" s="174">
        <f t="shared" si="15"/>
        <v>0</v>
      </c>
      <c r="AH22" s="173">
        <f>+AH78+AH113+AH128+AH140</f>
        <v>0</v>
      </c>
      <c r="AI22" s="173">
        <f>+AI78+AI113+AI128+AI140</f>
        <v>0</v>
      </c>
      <c r="AJ22" s="173">
        <f>+AJ78+AJ113+AJ128+AJ140</f>
        <v>0</v>
      </c>
      <c r="AK22" s="173">
        <f>+AK78+AK113+AK128+AK140</f>
        <v>0</v>
      </c>
      <c r="AL22" s="174">
        <f t="shared" si="16"/>
        <v>0</v>
      </c>
      <c r="AM22" s="173">
        <f>+AM78+AM113+AM128+AM140</f>
        <v>0</v>
      </c>
      <c r="AN22" s="173">
        <f>+AN78+AN113+AN128+AN140</f>
        <v>0</v>
      </c>
      <c r="AO22" s="173">
        <f>+AO78+AO113+AO128+AO140</f>
        <v>0</v>
      </c>
      <c r="AP22" s="173">
        <f>+AP78+AP113+AP128+AP140</f>
        <v>0</v>
      </c>
      <c r="AQ22" s="174">
        <f t="shared" si="17"/>
        <v>0</v>
      </c>
    </row>
    <row r="23" spans="1:43" s="40" customFormat="1" ht="17.25" customHeight="1" x14ac:dyDescent="0.4">
      <c r="A23" s="324"/>
      <c r="B23" s="325" t="s">
        <v>50</v>
      </c>
      <c r="C23" s="326"/>
      <c r="D23" s="262">
        <f t="shared" ref="D23:AL23" si="33">SUM(D18:D22)+D17</f>
        <v>5684.8</v>
      </c>
      <c r="E23" s="262">
        <f t="shared" si="33"/>
        <v>5510.5</v>
      </c>
      <c r="F23" s="262">
        <f t="shared" si="33"/>
        <v>5777.6999999999989</v>
      </c>
      <c r="G23" s="262">
        <f t="shared" si="33"/>
        <v>5755.7</v>
      </c>
      <c r="H23" s="296">
        <f t="shared" si="33"/>
        <v>22728.699999999997</v>
      </c>
      <c r="I23" s="262">
        <f t="shared" si="33"/>
        <v>5951.2000000000007</v>
      </c>
      <c r="J23" s="262">
        <f t="shared" si="33"/>
        <v>5576.2000000000007</v>
      </c>
      <c r="K23" s="262">
        <f t="shared" si="33"/>
        <v>4994.3999999999996</v>
      </c>
      <c r="L23" s="175">
        <f t="shared" si="33"/>
        <v>5757</v>
      </c>
      <c r="M23" s="176">
        <f t="shared" si="33"/>
        <v>22278.799999999999</v>
      </c>
      <c r="N23" s="175">
        <f t="shared" si="33"/>
        <v>5918.6</v>
      </c>
      <c r="O23" s="262">
        <f t="shared" si="33"/>
        <v>5757.5</v>
      </c>
      <c r="P23" s="262">
        <f t="shared" si="33"/>
        <v>6113.3000000000011</v>
      </c>
      <c r="Q23" s="262">
        <f t="shared" si="33"/>
        <v>6811.6100105479618</v>
      </c>
      <c r="R23" s="455">
        <f t="shared" si="33"/>
        <v>24601.010010547961</v>
      </c>
      <c r="S23" s="175">
        <f t="shared" si="33"/>
        <v>6539.5955704088974</v>
      </c>
      <c r="T23" s="175">
        <f t="shared" si="33"/>
        <v>6410.3149176521447</v>
      </c>
      <c r="U23" s="175">
        <f t="shared" si="33"/>
        <v>6892.5280728253774</v>
      </c>
      <c r="V23" s="175">
        <f t="shared" si="33"/>
        <v>6946.1085058028157</v>
      </c>
      <c r="W23" s="455">
        <f t="shared" si="33"/>
        <v>26788.547066689236</v>
      </c>
      <c r="X23" s="175">
        <f t="shared" si="33"/>
        <v>6952.4934717463348</v>
      </c>
      <c r="Y23" s="175">
        <f t="shared" si="33"/>
        <v>6907.6196515242373</v>
      </c>
      <c r="Z23" s="175">
        <f t="shared" si="33"/>
        <v>7580.7906814457747</v>
      </c>
      <c r="AA23" s="175">
        <f t="shared" si="33"/>
        <v>7507.4205878101075</v>
      </c>
      <c r="AB23" s="176">
        <f t="shared" si="33"/>
        <v>28948.324392526454</v>
      </c>
      <c r="AC23" s="175">
        <f t="shared" si="33"/>
        <v>7447.0032242708685</v>
      </c>
      <c r="AD23" s="175">
        <f t="shared" si="33"/>
        <v>7421.0852374020487</v>
      </c>
      <c r="AE23" s="175">
        <f t="shared" si="33"/>
        <v>8165.094331780123</v>
      </c>
      <c r="AF23" s="175">
        <f t="shared" si="33"/>
        <v>8110.132976855728</v>
      </c>
      <c r="AG23" s="176">
        <f t="shared" si="33"/>
        <v>31143.315770308771</v>
      </c>
      <c r="AH23" s="175">
        <f t="shared" si="33"/>
        <v>8011.2509687567081</v>
      </c>
      <c r="AI23" s="175">
        <f t="shared" si="33"/>
        <v>7978.8945313539698</v>
      </c>
      <c r="AJ23" s="175">
        <f t="shared" si="33"/>
        <v>8776.5859166692826</v>
      </c>
      <c r="AK23" s="175">
        <f t="shared" si="33"/>
        <v>8727.1556263104067</v>
      </c>
      <c r="AL23" s="176">
        <f t="shared" si="33"/>
        <v>33493.887043090363</v>
      </c>
      <c r="AM23" s="175">
        <f t="shared" ref="AM23:AQ23" si="34">SUM(AM18:AM22)+AM17</f>
        <v>8620.9066037584762</v>
      </c>
      <c r="AN23" s="175">
        <f t="shared" si="34"/>
        <v>8578.0864466792427</v>
      </c>
      <c r="AO23" s="175">
        <f t="shared" si="34"/>
        <v>9428.4413465699199</v>
      </c>
      <c r="AP23" s="175">
        <f t="shared" si="34"/>
        <v>9381.8472596589072</v>
      </c>
      <c r="AQ23" s="176">
        <f t="shared" si="34"/>
        <v>36009.28165666655</v>
      </c>
    </row>
    <row r="24" spans="1:43" s="43" customFormat="1" ht="17.25" customHeight="1" x14ac:dyDescent="0.4">
      <c r="A24" s="307"/>
      <c r="B24" s="575" t="s">
        <v>145</v>
      </c>
      <c r="C24" s="576"/>
      <c r="D24" s="260">
        <v>67.8</v>
      </c>
      <c r="E24" s="260">
        <v>62.3</v>
      </c>
      <c r="F24" s="260">
        <v>76</v>
      </c>
      <c r="G24" s="260">
        <f t="shared" si="0"/>
        <v>91.899999999999991</v>
      </c>
      <c r="H24" s="282">
        <v>298</v>
      </c>
      <c r="I24" s="260">
        <v>73.900000000000006</v>
      </c>
      <c r="J24" s="260">
        <v>67.900000000000006</v>
      </c>
      <c r="K24" s="260">
        <v>68.400000000000006</v>
      </c>
      <c r="L24" s="173">
        <v>112.2</v>
      </c>
      <c r="M24" s="174">
        <f t="shared" ref="M24" si="35">SUM(I24:L24)</f>
        <v>322.40000000000003</v>
      </c>
      <c r="N24" s="173">
        <v>82.7</v>
      </c>
      <c r="O24" s="260">
        <v>77.099999999999994</v>
      </c>
      <c r="P24" s="260">
        <v>105.5</v>
      </c>
      <c r="Q24" s="260">
        <f>+Q115+Q130</f>
        <v>94.375</v>
      </c>
      <c r="R24" s="453">
        <f t="shared" ref="R24" si="36">SUM(N24:Q24)</f>
        <v>359.67500000000001</v>
      </c>
      <c r="S24" s="173">
        <f>+S115+S130</f>
        <v>89.918750000000003</v>
      </c>
      <c r="T24" s="173">
        <f>+T115+T130</f>
        <v>91.723437500000017</v>
      </c>
      <c r="U24" s="173">
        <f>+U115+U130</f>
        <v>95.379296874999994</v>
      </c>
      <c r="V24" s="173">
        <f>+V115+V130</f>
        <v>92.84912109375</v>
      </c>
      <c r="W24" s="453">
        <f t="shared" ref="W24" si="37">SUM(S24:V24)</f>
        <v>369.87060546875</v>
      </c>
      <c r="X24" s="173">
        <f>+X115+X130</f>
        <v>92.4676513671875</v>
      </c>
      <c r="Y24" s="173">
        <f>+Y115+Y130</f>
        <v>93.104876708984364</v>
      </c>
      <c r="Z24" s="173">
        <f>+Z115+Z130</f>
        <v>93.450236511230472</v>
      </c>
      <c r="AA24" s="173">
        <f>+AA115+AA130</f>
        <v>92.96797142028808</v>
      </c>
      <c r="AB24" s="174">
        <f t="shared" ref="AB24" si="38">SUM(X24:AA24)</f>
        <v>371.99073600769043</v>
      </c>
      <c r="AC24" s="173">
        <f>+AC115+AC130</f>
        <v>92.997684001922607</v>
      </c>
      <c r="AD24" s="173">
        <f>+AD115+AD130</f>
        <v>93.130192160606384</v>
      </c>
      <c r="AE24" s="173">
        <f>+AE115+AE130</f>
        <v>93.136521023511875</v>
      </c>
      <c r="AF24" s="173">
        <f>+AF115+AF130</f>
        <v>93.058092151582244</v>
      </c>
      <c r="AG24" s="174">
        <f t="shared" ref="AG24" si="39">SUM(AC24:AF24)</f>
        <v>372.3224893376231</v>
      </c>
      <c r="AH24" s="173">
        <f>+AH115+AH130</f>
        <v>93.080622334405774</v>
      </c>
      <c r="AI24" s="173">
        <f>+AI115+AI130</f>
        <v>93.101356917526573</v>
      </c>
      <c r="AJ24" s="173">
        <f>+AJ115+AJ130</f>
        <v>93.09414810675662</v>
      </c>
      <c r="AK24" s="173">
        <f>+AK115+AK130</f>
        <v>93.083554877567792</v>
      </c>
      <c r="AL24" s="174">
        <f t="shared" ref="AL24" si="40">SUM(AH24:AK24)</f>
        <v>372.35968223625679</v>
      </c>
      <c r="AM24" s="173">
        <f>+AM115+AM130</f>
        <v>93.089920559064197</v>
      </c>
      <c r="AN24" s="173">
        <f>+AN115+AN130</f>
        <v>93.092245115228792</v>
      </c>
      <c r="AO24" s="173">
        <f>+AO115+AO130</f>
        <v>93.089967164654354</v>
      </c>
      <c r="AP24" s="173">
        <f>+AP115+AP130</f>
        <v>93.088921929128787</v>
      </c>
      <c r="AQ24" s="174">
        <f t="shared" ref="AQ24" si="41">SUM(AM24:AP24)</f>
        <v>372.36105476807614</v>
      </c>
    </row>
    <row r="25" spans="1:43" x14ac:dyDescent="0.25">
      <c r="A25" s="254"/>
      <c r="B25" s="327" t="s">
        <v>66</v>
      </c>
      <c r="C25" s="328"/>
      <c r="D25" s="259">
        <f t="shared" ref="D25:AL25" si="42">D16-D23+D24</f>
        <v>1015.7000000000005</v>
      </c>
      <c r="E25" s="259">
        <f t="shared" si="42"/>
        <v>857.69999999999959</v>
      </c>
      <c r="F25" s="259">
        <f t="shared" si="42"/>
        <v>1121.3000000000011</v>
      </c>
      <c r="G25" s="259">
        <f t="shared" si="42"/>
        <v>1083.2000000000012</v>
      </c>
      <c r="H25" s="274">
        <f t="shared" si="42"/>
        <v>4077.9000000000051</v>
      </c>
      <c r="I25" s="259">
        <f t="shared" si="42"/>
        <v>1219.7999999999988</v>
      </c>
      <c r="J25" s="259">
        <f t="shared" si="42"/>
        <v>487.39999999999907</v>
      </c>
      <c r="K25" s="259">
        <f t="shared" si="42"/>
        <v>-703.8999999999993</v>
      </c>
      <c r="L25" s="171">
        <f t="shared" si="42"/>
        <v>558.30000000000041</v>
      </c>
      <c r="M25" s="172">
        <f t="shared" si="42"/>
        <v>1561.6000000000045</v>
      </c>
      <c r="N25" s="171">
        <f t="shared" si="42"/>
        <v>913.50000000000023</v>
      </c>
      <c r="O25" s="259">
        <f t="shared" si="42"/>
        <v>987.6</v>
      </c>
      <c r="P25" s="259">
        <f t="shared" si="42"/>
        <v>1488.6999999999989</v>
      </c>
      <c r="Q25" s="259">
        <f t="shared" si="42"/>
        <v>1561.7697132647827</v>
      </c>
      <c r="R25" s="451">
        <f t="shared" si="42"/>
        <v>4951.5697132647811</v>
      </c>
      <c r="S25" s="171">
        <f t="shared" si="42"/>
        <v>1330.0557254138387</v>
      </c>
      <c r="T25" s="171">
        <f t="shared" si="42"/>
        <v>1183.0165054457714</v>
      </c>
      <c r="U25" s="171">
        <f t="shared" si="42"/>
        <v>1495.7563178669866</v>
      </c>
      <c r="V25" s="171">
        <f t="shared" si="42"/>
        <v>1566.9737791033558</v>
      </c>
      <c r="W25" s="451">
        <f t="shared" si="42"/>
        <v>5575.8023278299515</v>
      </c>
      <c r="X25" s="171">
        <f t="shared" si="42"/>
        <v>1531.9459740906659</v>
      </c>
      <c r="Y25" s="171">
        <f t="shared" si="42"/>
        <v>1400.2908434682533</v>
      </c>
      <c r="Z25" s="171">
        <f t="shared" si="42"/>
        <v>1563.2403019311762</v>
      </c>
      <c r="AA25" s="171">
        <f t="shared" si="42"/>
        <v>1734.7280010821264</v>
      </c>
      <c r="AB25" s="172">
        <f t="shared" si="42"/>
        <v>6230.2051205722237</v>
      </c>
      <c r="AC25" s="171">
        <f t="shared" si="42"/>
        <v>1668.856637343707</v>
      </c>
      <c r="AD25" s="171">
        <f t="shared" si="42"/>
        <v>1536.5509021493999</v>
      </c>
      <c r="AE25" s="171">
        <f t="shared" si="42"/>
        <v>1714.4469647900598</v>
      </c>
      <c r="AF25" s="171">
        <f t="shared" si="42"/>
        <v>1903.9208476748765</v>
      </c>
      <c r="AG25" s="172">
        <f t="shared" si="42"/>
        <v>6823.7753519580419</v>
      </c>
      <c r="AH25" s="171">
        <f t="shared" si="42"/>
        <v>1835.6292497845684</v>
      </c>
      <c r="AI25" s="171">
        <f t="shared" si="42"/>
        <v>1693.2594299464217</v>
      </c>
      <c r="AJ25" s="171">
        <f t="shared" si="42"/>
        <v>1877.8495462979008</v>
      </c>
      <c r="AK25" s="171">
        <f t="shared" si="42"/>
        <v>2079.9932703093664</v>
      </c>
      <c r="AL25" s="172">
        <f t="shared" si="42"/>
        <v>7486.7314963382642</v>
      </c>
      <c r="AM25" s="171">
        <f t="shared" ref="AM25:AQ25" si="43">AM16-AM23+AM24</f>
        <v>2012.3982216455709</v>
      </c>
      <c r="AN25" s="171">
        <f t="shared" si="43"/>
        <v>1859.9677485418956</v>
      </c>
      <c r="AO25" s="171">
        <f t="shared" si="43"/>
        <v>2051.0138519440311</v>
      </c>
      <c r="AP25" s="171">
        <f t="shared" si="43"/>
        <v>2265.7850099386828</v>
      </c>
      <c r="AQ25" s="172">
        <f t="shared" si="43"/>
        <v>8189.1648320701825</v>
      </c>
    </row>
    <row r="26" spans="1:43" ht="17.25" x14ac:dyDescent="0.4">
      <c r="A26" s="254"/>
      <c r="B26" s="293" t="s">
        <v>194</v>
      </c>
      <c r="C26" s="223"/>
      <c r="D26" s="263">
        <f>+D179</f>
        <v>138</v>
      </c>
      <c r="E26" s="263">
        <f>+E179</f>
        <v>141.4</v>
      </c>
      <c r="F26" s="263">
        <f>+F179</f>
        <v>125.30000000000001</v>
      </c>
      <c r="G26" s="263">
        <f>+G179</f>
        <v>77.399999999999991</v>
      </c>
      <c r="H26" s="332">
        <f>SUM(D26:G26)</f>
        <v>482.09999999999997</v>
      </c>
      <c r="I26" s="263">
        <f>+I179</f>
        <v>71.599999999999994</v>
      </c>
      <c r="J26" s="263">
        <f>+J179</f>
        <v>66.8</v>
      </c>
      <c r="K26" s="263">
        <f>+K179</f>
        <v>173.67999999999998</v>
      </c>
      <c r="L26" s="224">
        <f>+L179</f>
        <v>259.5</v>
      </c>
      <c r="M26" s="225">
        <f>SUM(I26:L26)</f>
        <v>571.57999999999993</v>
      </c>
      <c r="N26" s="263">
        <f>+N179</f>
        <v>134.9</v>
      </c>
      <c r="O26" s="263">
        <f>+O179</f>
        <v>88.2</v>
      </c>
      <c r="P26" s="263">
        <f>+P179</f>
        <v>51.7</v>
      </c>
      <c r="Q26" s="263">
        <f>+Q179</f>
        <v>51.7</v>
      </c>
      <c r="R26" s="456">
        <f>SUM(N26:Q26)</f>
        <v>326.5</v>
      </c>
      <c r="S26" s="224">
        <f>+S179</f>
        <v>112.26</v>
      </c>
      <c r="T26" s="224">
        <f>+T179</f>
        <v>117.34250000000002</v>
      </c>
      <c r="U26" s="224">
        <f>+U179</f>
        <v>123.6603125</v>
      </c>
      <c r="V26" s="224">
        <f>+V179</f>
        <v>117.4078515625</v>
      </c>
      <c r="W26" s="456">
        <f>SUM(S26:V26)</f>
        <v>470.67066406250001</v>
      </c>
      <c r="X26" s="224">
        <f>+X179</f>
        <v>99.646333007812501</v>
      </c>
      <c r="Y26" s="224">
        <f>+Y179</f>
        <v>95.239624633789063</v>
      </c>
      <c r="Z26" s="224">
        <f>+Z179</f>
        <v>96.119577713012703</v>
      </c>
      <c r="AA26" s="224">
        <f>+AA179</f>
        <v>101.67202492713929</v>
      </c>
      <c r="AB26" s="225">
        <f>SUM(X26:AA26)</f>
        <v>392.67756028175359</v>
      </c>
      <c r="AC26" s="224">
        <f t="shared" ref="AC26:AF26" si="44">+AC179</f>
        <v>107.9185280430317</v>
      </c>
      <c r="AD26" s="224">
        <f t="shared" si="44"/>
        <v>107.37584404841067</v>
      </c>
      <c r="AE26" s="224">
        <f t="shared" si="44"/>
        <v>106.13001205446201</v>
      </c>
      <c r="AF26" s="224">
        <f t="shared" si="44"/>
        <v>103.93872449876974</v>
      </c>
      <c r="AG26" s="225">
        <f>SUM(AC26:AF26)</f>
        <v>425.36310864467407</v>
      </c>
      <c r="AH26" s="224">
        <f t="shared" ref="AH26:AK26" si="45">+AH179</f>
        <v>102.25508361580346</v>
      </c>
      <c r="AI26" s="224">
        <f t="shared" si="45"/>
        <v>102.58117744180232</v>
      </c>
      <c r="AJ26" s="224">
        <f t="shared" si="45"/>
        <v>103.49887154280398</v>
      </c>
      <c r="AK26" s="224">
        <f t="shared" si="45"/>
        <v>104.42128327152788</v>
      </c>
      <c r="AL26" s="225">
        <f>SUM(AH26:AK26)</f>
        <v>412.75641587193769</v>
      </c>
      <c r="AM26" s="224">
        <f t="shared" ref="AM26:AP26" si="46">+AM179</f>
        <v>104.76494056457645</v>
      </c>
      <c r="AN26" s="224">
        <f t="shared" si="46"/>
        <v>104.37074212976957</v>
      </c>
      <c r="AO26" s="224">
        <f t="shared" si="46"/>
        <v>103.99510438993943</v>
      </c>
      <c r="AP26" s="224">
        <f t="shared" si="46"/>
        <v>103.72824093187411</v>
      </c>
      <c r="AQ26" s="225">
        <f>SUM(AM26:AP26)</f>
        <v>416.85902801615953</v>
      </c>
    </row>
    <row r="27" spans="1:43" x14ac:dyDescent="0.25">
      <c r="A27" s="254"/>
      <c r="B27" s="294" t="s">
        <v>195</v>
      </c>
      <c r="C27" s="213"/>
      <c r="D27" s="264">
        <f t="shared" ref="D27:AL27" si="47">+D25+D26</f>
        <v>1153.7000000000005</v>
      </c>
      <c r="E27" s="264">
        <f t="shared" si="47"/>
        <v>999.09999999999957</v>
      </c>
      <c r="F27" s="264">
        <f t="shared" si="47"/>
        <v>1246.600000000001</v>
      </c>
      <c r="G27" s="264">
        <f t="shared" si="47"/>
        <v>1160.6000000000013</v>
      </c>
      <c r="H27" s="333">
        <f t="shared" si="47"/>
        <v>4560.0000000000055</v>
      </c>
      <c r="I27" s="264">
        <f t="shared" si="47"/>
        <v>1291.3999999999987</v>
      </c>
      <c r="J27" s="264">
        <f t="shared" si="47"/>
        <v>554.19999999999902</v>
      </c>
      <c r="K27" s="264">
        <f t="shared" si="47"/>
        <v>-530.21999999999935</v>
      </c>
      <c r="L27" s="214">
        <f t="shared" si="47"/>
        <v>817.80000000000041</v>
      </c>
      <c r="M27" s="215">
        <f t="shared" si="47"/>
        <v>2133.1800000000044</v>
      </c>
      <c r="N27" s="264">
        <f t="shared" si="47"/>
        <v>1048.4000000000003</v>
      </c>
      <c r="O27" s="264">
        <f t="shared" si="47"/>
        <v>1075.8</v>
      </c>
      <c r="P27" s="264">
        <f t="shared" si="47"/>
        <v>1540.399999999999</v>
      </c>
      <c r="Q27" s="264">
        <f t="shared" si="47"/>
        <v>1613.4697132647827</v>
      </c>
      <c r="R27" s="457">
        <f t="shared" si="47"/>
        <v>5278.0697132647811</v>
      </c>
      <c r="S27" s="214">
        <f t="shared" si="47"/>
        <v>1442.3157254138387</v>
      </c>
      <c r="T27" s="214">
        <f t="shared" si="47"/>
        <v>1300.3590054457713</v>
      </c>
      <c r="U27" s="214">
        <f t="shared" si="47"/>
        <v>1619.4166303669865</v>
      </c>
      <c r="V27" s="214">
        <f t="shared" si="47"/>
        <v>1684.3816306658557</v>
      </c>
      <c r="W27" s="457">
        <f t="shared" si="47"/>
        <v>6046.4729918924513</v>
      </c>
      <c r="X27" s="214">
        <f t="shared" si="47"/>
        <v>1631.5923070984784</v>
      </c>
      <c r="Y27" s="214">
        <f t="shared" si="47"/>
        <v>1495.5304681020425</v>
      </c>
      <c r="Z27" s="214">
        <f t="shared" si="47"/>
        <v>1659.3598796441888</v>
      </c>
      <c r="AA27" s="214">
        <f t="shared" si="47"/>
        <v>1836.4000260092657</v>
      </c>
      <c r="AB27" s="215">
        <f t="shared" si="47"/>
        <v>6622.882680853977</v>
      </c>
      <c r="AC27" s="214">
        <f t="shared" si="47"/>
        <v>1776.7751653867388</v>
      </c>
      <c r="AD27" s="214">
        <f t="shared" si="47"/>
        <v>1643.9267461978106</v>
      </c>
      <c r="AE27" s="214">
        <f t="shared" si="47"/>
        <v>1820.5769768445218</v>
      </c>
      <c r="AF27" s="214">
        <f t="shared" si="47"/>
        <v>2007.8595721736463</v>
      </c>
      <c r="AG27" s="215">
        <f t="shared" si="47"/>
        <v>7249.1384606027159</v>
      </c>
      <c r="AH27" s="214">
        <f t="shared" si="47"/>
        <v>1937.8843334003718</v>
      </c>
      <c r="AI27" s="214">
        <f t="shared" si="47"/>
        <v>1795.840607388224</v>
      </c>
      <c r="AJ27" s="214">
        <f t="shared" si="47"/>
        <v>1981.3484178407048</v>
      </c>
      <c r="AK27" s="214">
        <f t="shared" si="47"/>
        <v>2184.4145535808943</v>
      </c>
      <c r="AL27" s="215">
        <f t="shared" si="47"/>
        <v>7899.487912210202</v>
      </c>
      <c r="AM27" s="214">
        <f t="shared" ref="AM27:AQ27" si="48">+AM25+AM26</f>
        <v>2117.1631622101472</v>
      </c>
      <c r="AN27" s="214">
        <f t="shared" si="48"/>
        <v>1964.3384906716651</v>
      </c>
      <c r="AO27" s="214">
        <f t="shared" si="48"/>
        <v>2155.0089563339707</v>
      </c>
      <c r="AP27" s="214">
        <f t="shared" si="48"/>
        <v>2369.5132508705569</v>
      </c>
      <c r="AQ27" s="215">
        <f t="shared" si="48"/>
        <v>8606.0238600863413</v>
      </c>
    </row>
    <row r="28" spans="1:43" x14ac:dyDescent="0.25">
      <c r="A28" s="254"/>
      <c r="B28" s="78" t="s">
        <v>185</v>
      </c>
      <c r="C28" s="36"/>
      <c r="D28" s="261">
        <v>0</v>
      </c>
      <c r="E28" s="261">
        <v>21</v>
      </c>
      <c r="F28" s="261">
        <v>601.79999999999995</v>
      </c>
      <c r="G28" s="261">
        <f t="shared" ref="G28:G30" si="49">H28-F28-E28-D28</f>
        <v>0</v>
      </c>
      <c r="H28" s="273">
        <v>622.79999999999995</v>
      </c>
      <c r="I28" s="261">
        <v>0</v>
      </c>
      <c r="J28" s="261">
        <v>0</v>
      </c>
      <c r="K28" s="261">
        <v>0</v>
      </c>
      <c r="L28" s="261">
        <v>0</v>
      </c>
      <c r="M28" s="273">
        <f>SUM(I28:L28)</f>
        <v>0</v>
      </c>
      <c r="N28" s="261">
        <v>0</v>
      </c>
      <c r="O28" s="261">
        <v>0</v>
      </c>
      <c r="P28" s="261">
        <v>0</v>
      </c>
      <c r="Q28" s="261">
        <v>0</v>
      </c>
      <c r="R28" s="450">
        <f>SUM(N28:Q28)</f>
        <v>0</v>
      </c>
      <c r="S28" s="261">
        <v>0</v>
      </c>
      <c r="T28" s="261">
        <v>0</v>
      </c>
      <c r="U28" s="261">
        <v>0</v>
      </c>
      <c r="V28" s="261">
        <v>0</v>
      </c>
      <c r="W28" s="450">
        <f>SUM(S28:V28)</f>
        <v>0</v>
      </c>
      <c r="X28" s="261">
        <v>0</v>
      </c>
      <c r="Y28" s="261">
        <v>0</v>
      </c>
      <c r="Z28" s="261">
        <v>0</v>
      </c>
      <c r="AA28" s="261">
        <v>0</v>
      </c>
      <c r="AB28" s="273">
        <f>SUM(X28:AA28)</f>
        <v>0</v>
      </c>
      <c r="AC28" s="261">
        <v>0</v>
      </c>
      <c r="AD28" s="261">
        <v>0</v>
      </c>
      <c r="AE28" s="261">
        <v>0</v>
      </c>
      <c r="AF28" s="261">
        <v>0</v>
      </c>
      <c r="AG28" s="273">
        <f>SUM(AC28:AF28)</f>
        <v>0</v>
      </c>
      <c r="AH28" s="261">
        <v>0</v>
      </c>
      <c r="AI28" s="261">
        <v>0</v>
      </c>
      <c r="AJ28" s="261">
        <v>0</v>
      </c>
      <c r="AK28" s="261">
        <v>0</v>
      </c>
      <c r="AL28" s="273">
        <f>SUM(AH28:AK28)</f>
        <v>0</v>
      </c>
      <c r="AM28" s="261">
        <v>0</v>
      </c>
      <c r="AN28" s="261">
        <v>0</v>
      </c>
      <c r="AO28" s="261">
        <v>0</v>
      </c>
      <c r="AP28" s="261">
        <v>0</v>
      </c>
      <c r="AQ28" s="450">
        <f>SUM(AM28:AP28)</f>
        <v>0</v>
      </c>
    </row>
    <row r="29" spans="1:43" x14ac:dyDescent="0.25">
      <c r="A29" s="254"/>
      <c r="B29" s="78" t="s">
        <v>146</v>
      </c>
      <c r="C29" s="36"/>
      <c r="D29" s="261">
        <v>24.8</v>
      </c>
      <c r="E29" s="261">
        <v>15.2</v>
      </c>
      <c r="F29" s="258">
        <v>40.200000000000003</v>
      </c>
      <c r="G29" s="261">
        <f t="shared" si="49"/>
        <v>16.299999999999994</v>
      </c>
      <c r="H29" s="273">
        <v>96.5</v>
      </c>
      <c r="I29" s="261">
        <v>15.9</v>
      </c>
      <c r="J29" s="261">
        <v>2</v>
      </c>
      <c r="K29" s="261">
        <v>12.7</v>
      </c>
      <c r="L29" s="169">
        <v>9.1</v>
      </c>
      <c r="M29" s="170">
        <f t="shared" ref="M29" si="50">SUM(I29:L29)</f>
        <v>39.699999999999996</v>
      </c>
      <c r="N29" s="169">
        <v>15.5</v>
      </c>
      <c r="O29" s="261">
        <v>17.3</v>
      </c>
      <c r="P29" s="261">
        <v>36</v>
      </c>
      <c r="Q29" s="261">
        <f>(P187+P188+P193)*Q154</f>
        <v>13.802601187154938</v>
      </c>
      <c r="R29" s="450">
        <f t="shared" ref="R29" si="51">SUM(N29:Q29)</f>
        <v>82.602601187154931</v>
      </c>
      <c r="S29" s="169">
        <f>(Q187+Q188+Q193)*S154</f>
        <v>14.162478818240361</v>
      </c>
      <c r="T29" s="169">
        <f>(S187+S188+S193)*T154</f>
        <v>17.073591222197731</v>
      </c>
      <c r="U29" s="169">
        <f>(T187+T188+T193)*U154</f>
        <v>14.626919493031981</v>
      </c>
      <c r="V29" s="169">
        <f>(U187+U188+U193)*V154</f>
        <v>12.499005577826578</v>
      </c>
      <c r="W29" s="450">
        <f t="shared" ref="W29" si="52">SUM(S29:V29)</f>
        <v>58.36199511129665</v>
      </c>
      <c r="X29" s="169">
        <f>(V187+V188+V193)*X154</f>
        <v>10.469887021668429</v>
      </c>
      <c r="Y29" s="169">
        <f>(X187+X188+X193)*Y154</f>
        <v>12.989108653325658</v>
      </c>
      <c r="Z29" s="169">
        <f>(Y187+Y188+Y193)*Z154</f>
        <v>10.930007863941608</v>
      </c>
      <c r="AA29" s="169">
        <f>(Z187+Z188+Z193)*AA154</f>
        <v>11.084437884479076</v>
      </c>
      <c r="AB29" s="170">
        <f t="shared" ref="AB29" si="53">SUM(X29:AA29)</f>
        <v>45.473441423414769</v>
      </c>
      <c r="AC29" s="169">
        <f>(AA187+AA188+AA193)*AC154</f>
        <v>8.3167282043422173</v>
      </c>
      <c r="AD29" s="169">
        <f>(AC187+AC188+AC193)*AD154</f>
        <v>12.09694022781159</v>
      </c>
      <c r="AE29" s="169">
        <f>(AD187+AD188+AD193)*AE154</f>
        <v>10.787235215198148</v>
      </c>
      <c r="AF29" s="169">
        <f>(AE187+AE188+AE193)*AF154</f>
        <v>12.204244581601477</v>
      </c>
      <c r="AG29" s="170">
        <f t="shared" ref="AG29" si="54">SUM(AC29:AF29)</f>
        <v>43.405148228953429</v>
      </c>
      <c r="AH29" s="169">
        <f>(AF187+AF188+AF193)*AH154</f>
        <v>9.6466476921890383</v>
      </c>
      <c r="AI29" s="169">
        <f>(AH187+AH188+AH193)*AI154</f>
        <v>14.23146474405646</v>
      </c>
      <c r="AJ29" s="169">
        <f>(AI187+AI188+AI193)*AJ154</f>
        <v>13.471738247478907</v>
      </c>
      <c r="AK29" s="169">
        <f>(AJ187+AJ188+AJ193)*AK154</f>
        <v>15.595970430040381</v>
      </c>
      <c r="AL29" s="170">
        <f t="shared" ref="AL29" si="55">SUM(AH29:AK29)</f>
        <v>52.945821113764787</v>
      </c>
      <c r="AM29" s="169">
        <f>(AK187+AK188+AK193)*AM154</f>
        <v>13.322801716392169</v>
      </c>
      <c r="AN29" s="169">
        <f>(AM187+AM188+AM193)*AN154</f>
        <v>18.376629529835576</v>
      </c>
      <c r="AO29" s="169">
        <f>(AN187+AN188+AN193)*AO154</f>
        <v>17.739949960315101</v>
      </c>
      <c r="AP29" s="169">
        <f>(AO187+AO188+AO193)*AP154</f>
        <v>20.235388612216898</v>
      </c>
      <c r="AQ29" s="170">
        <f t="shared" ref="AQ29" si="56">SUM(AM29:AP29)</f>
        <v>69.674769818759742</v>
      </c>
    </row>
    <row r="30" spans="1:43" ht="17.25" x14ac:dyDescent="0.4">
      <c r="A30" s="254"/>
      <c r="B30" s="78" t="s">
        <v>147</v>
      </c>
      <c r="C30" s="74"/>
      <c r="D30" s="260">
        <v>-75</v>
      </c>
      <c r="E30" s="260">
        <v>-73.900000000000006</v>
      </c>
      <c r="F30" s="260">
        <v>-86.4</v>
      </c>
      <c r="G30" s="260">
        <f t="shared" si="49"/>
        <v>-95.699999999999989</v>
      </c>
      <c r="H30" s="282">
        <v>-331</v>
      </c>
      <c r="I30" s="260">
        <v>-91.9</v>
      </c>
      <c r="J30" s="260">
        <v>-99.2</v>
      </c>
      <c r="K30" s="260">
        <v>-120.8</v>
      </c>
      <c r="L30" s="173">
        <v>-125</v>
      </c>
      <c r="M30" s="453">
        <f t="shared" ref="M30" si="57">SUM(I30:L30)</f>
        <v>-436.90000000000003</v>
      </c>
      <c r="N30" s="173">
        <v>-120.7</v>
      </c>
      <c r="O30" s="260">
        <v>-115</v>
      </c>
      <c r="P30" s="260">
        <v>-113.4</v>
      </c>
      <c r="Q30" s="260">
        <f>-(P209+P212)*Q155</f>
        <v>-110.69933508563528</v>
      </c>
      <c r="R30" s="453">
        <f t="shared" ref="R30" si="58">SUM(N30:Q30)</f>
        <v>-459.79933508563533</v>
      </c>
      <c r="S30" s="173">
        <f>-(Q209+Q212)*S155</f>
        <v>-108.94299690161012</v>
      </c>
      <c r="T30" s="173">
        <f>-(S209+S212)*T155</f>
        <v>-105.49977914189195</v>
      </c>
      <c r="U30" s="173">
        <f>-(T209+T212)*U155</f>
        <v>-101.97130988636621</v>
      </c>
      <c r="V30" s="173">
        <f>-(U209+U212)*V155</f>
        <v>-97.774177650857524</v>
      </c>
      <c r="W30" s="453">
        <f t="shared" ref="W30" si="59">SUM(S30:V30)</f>
        <v>-414.18826358072579</v>
      </c>
      <c r="X30" s="173">
        <f>-(V209+V212)*X155</f>
        <v>-95.953126492885843</v>
      </c>
      <c r="Y30" s="173">
        <f>-(X209+X212)*Y155</f>
        <v>-94.11871685469815</v>
      </c>
      <c r="Z30" s="173">
        <f>-(Y209+Y212)*Z155</f>
        <v>-92.22190520477136</v>
      </c>
      <c r="AA30" s="173">
        <f>-(Z209+Z212)*AA155</f>
        <v>-90.265121060461155</v>
      </c>
      <c r="AB30" s="174">
        <f t="shared" ref="AB30" si="60">SUM(X30:AA30)</f>
        <v>-372.55886961281647</v>
      </c>
      <c r="AC30" s="173">
        <f>-(AA209+AA212)*AC155</f>
        <v>-88.385525862321401</v>
      </c>
      <c r="AD30" s="173">
        <f>-(AC209+AC212)*AD155</f>
        <v>-85.660750565389378</v>
      </c>
      <c r="AE30" s="173">
        <f>-(AD209+AD212)*AE155</f>
        <v>-82.722044781372986</v>
      </c>
      <c r="AF30" s="173">
        <f>-(AE209+AE212)*AF155</f>
        <v>-79.781465533319192</v>
      </c>
      <c r="AG30" s="174">
        <f t="shared" ref="AG30" si="61">SUM(AC30:AF30)</f>
        <v>-336.54978674240294</v>
      </c>
      <c r="AH30" s="173">
        <f>-(AF209+AF212)*AH155</f>
        <v>-76.851444427264695</v>
      </c>
      <c r="AI30" s="173">
        <f>-(AH209+AH212)*AI155</f>
        <v>-74.474825755139364</v>
      </c>
      <c r="AJ30" s="173">
        <f>-(AI209+AI212)*AJ155</f>
        <v>-72.09647244810111</v>
      </c>
      <c r="AK30" s="173">
        <f>-(AJ209+AJ212)*AK155</f>
        <v>-69.718777738457888</v>
      </c>
      <c r="AL30" s="174">
        <f t="shared" ref="AL30" si="62">SUM(AH30:AK30)</f>
        <v>-293.14152036896309</v>
      </c>
      <c r="AM30" s="173">
        <f>-(AK209+AK212)*AM155</f>
        <v>-67.342279025178229</v>
      </c>
      <c r="AN30" s="173">
        <f>-(AM209+AM212)*AN155</f>
        <v>-64.964996576024276</v>
      </c>
      <c r="AO30" s="173">
        <f>-(AN209+AN212)*AO155</f>
        <v>-62.587575235856946</v>
      </c>
      <c r="AP30" s="173">
        <f>-(AO209+AO212)*AP155</f>
        <v>-60.210350846476004</v>
      </c>
      <c r="AQ30" s="174">
        <f t="shared" ref="AQ30" si="63">SUM(AM30:AP30)</f>
        <v>-255.10520168353543</v>
      </c>
    </row>
    <row r="31" spans="1:43" x14ac:dyDescent="0.25">
      <c r="A31" s="254"/>
      <c r="B31" s="591" t="s">
        <v>67</v>
      </c>
      <c r="C31" s="592"/>
      <c r="D31" s="259">
        <f t="shared" ref="D31:AL31" si="64">D25+D29+D30+D28</f>
        <v>965.50000000000045</v>
      </c>
      <c r="E31" s="259">
        <f t="shared" si="64"/>
        <v>819.99999999999966</v>
      </c>
      <c r="F31" s="259">
        <f t="shared" si="64"/>
        <v>1676.900000000001</v>
      </c>
      <c r="G31" s="259">
        <f t="shared" si="64"/>
        <v>1003.8000000000011</v>
      </c>
      <c r="H31" s="274">
        <f t="shared" si="64"/>
        <v>4466.2000000000053</v>
      </c>
      <c r="I31" s="259">
        <f t="shared" si="64"/>
        <v>1143.7999999999988</v>
      </c>
      <c r="J31" s="259">
        <f t="shared" si="64"/>
        <v>390.19999999999908</v>
      </c>
      <c r="K31" s="259">
        <f t="shared" si="64"/>
        <v>-811.9999999999992</v>
      </c>
      <c r="L31" s="171">
        <f t="shared" si="64"/>
        <v>442.40000000000043</v>
      </c>
      <c r="M31" s="172">
        <f t="shared" si="64"/>
        <v>1164.4000000000044</v>
      </c>
      <c r="N31" s="171">
        <f t="shared" si="64"/>
        <v>808.30000000000018</v>
      </c>
      <c r="O31" s="259">
        <f t="shared" si="64"/>
        <v>889.9</v>
      </c>
      <c r="P31" s="259">
        <f t="shared" si="64"/>
        <v>1411.2999999999988</v>
      </c>
      <c r="Q31" s="259">
        <f t="shared" si="64"/>
        <v>1464.8729793663024</v>
      </c>
      <c r="R31" s="451">
        <f t="shared" si="64"/>
        <v>4574.3729793663006</v>
      </c>
      <c r="S31" s="171">
        <f t="shared" si="64"/>
        <v>1235.2752073304689</v>
      </c>
      <c r="T31" s="171">
        <f t="shared" si="64"/>
        <v>1094.5903175260773</v>
      </c>
      <c r="U31" s="171">
        <f t="shared" si="64"/>
        <v>1408.4119274736522</v>
      </c>
      <c r="V31" s="171">
        <f t="shared" si="64"/>
        <v>1481.6986070303249</v>
      </c>
      <c r="W31" s="451">
        <f t="shared" si="64"/>
        <v>5219.9760593605224</v>
      </c>
      <c r="X31" s="171">
        <f t="shared" si="64"/>
        <v>1446.4627346194486</v>
      </c>
      <c r="Y31" s="171">
        <f t="shared" si="64"/>
        <v>1319.161235266881</v>
      </c>
      <c r="Z31" s="171">
        <f t="shared" si="64"/>
        <v>1481.9484045903464</v>
      </c>
      <c r="AA31" s="171">
        <f t="shared" si="64"/>
        <v>1655.5473179061444</v>
      </c>
      <c r="AB31" s="172">
        <f t="shared" si="64"/>
        <v>5903.119692382822</v>
      </c>
      <c r="AC31" s="171">
        <f t="shared" si="64"/>
        <v>1588.7878396857279</v>
      </c>
      <c r="AD31" s="171">
        <f t="shared" si="64"/>
        <v>1462.987091811822</v>
      </c>
      <c r="AE31" s="171">
        <f t="shared" si="64"/>
        <v>1642.512155223885</v>
      </c>
      <c r="AF31" s="171">
        <f t="shared" si="64"/>
        <v>1836.3436267231586</v>
      </c>
      <c r="AG31" s="172">
        <f t="shared" si="64"/>
        <v>6530.6307134445924</v>
      </c>
      <c r="AH31" s="171">
        <f t="shared" si="64"/>
        <v>1768.4244530494927</v>
      </c>
      <c r="AI31" s="171">
        <f t="shared" si="64"/>
        <v>1633.0160689353388</v>
      </c>
      <c r="AJ31" s="171">
        <f t="shared" si="64"/>
        <v>1819.2248120972786</v>
      </c>
      <c r="AK31" s="171">
        <f t="shared" si="64"/>
        <v>2025.8704630009488</v>
      </c>
      <c r="AL31" s="172">
        <f t="shared" si="64"/>
        <v>7246.5357970830655</v>
      </c>
      <c r="AM31" s="171">
        <f t="shared" ref="AM31:AQ31" si="65">AM25+AM29+AM30+AM28</f>
        <v>1958.3787443367848</v>
      </c>
      <c r="AN31" s="171">
        <f t="shared" si="65"/>
        <v>1813.3793814957069</v>
      </c>
      <c r="AO31" s="171">
        <f t="shared" si="65"/>
        <v>2006.1662266684893</v>
      </c>
      <c r="AP31" s="171">
        <f t="shared" si="65"/>
        <v>2225.8100477044236</v>
      </c>
      <c r="AQ31" s="172">
        <f t="shared" si="65"/>
        <v>8003.734400205406</v>
      </c>
    </row>
    <row r="32" spans="1:43" ht="17.25" x14ac:dyDescent="0.4">
      <c r="A32" s="254"/>
      <c r="B32" s="593" t="s">
        <v>34</v>
      </c>
      <c r="C32" s="594"/>
      <c r="D32" s="260">
        <v>205.1</v>
      </c>
      <c r="E32" s="260">
        <v>161.19999999999999</v>
      </c>
      <c r="F32" s="260">
        <v>303.7</v>
      </c>
      <c r="G32" s="260">
        <f t="shared" ref="G32" si="66">H32-F32-E32-D32</f>
        <v>201.60000000000011</v>
      </c>
      <c r="H32" s="282">
        <v>871.6</v>
      </c>
      <c r="I32" s="260">
        <v>258.5</v>
      </c>
      <c r="J32" s="260">
        <v>65.400000000000006</v>
      </c>
      <c r="K32" s="260">
        <v>-133.9</v>
      </c>
      <c r="L32" s="173">
        <v>49.7</v>
      </c>
      <c r="M32" s="174">
        <f>SUM(I32:L32)</f>
        <v>239.7</v>
      </c>
      <c r="N32" s="173">
        <v>186.1</v>
      </c>
      <c r="O32" s="260">
        <v>230.5</v>
      </c>
      <c r="P32" s="260">
        <v>257.10000000000002</v>
      </c>
      <c r="Q32" s="260">
        <f>+Q31*Q153</f>
        <v>303.96114321850774</v>
      </c>
      <c r="R32" s="453">
        <f>SUM(N32:Q32)</f>
        <v>977.66114321850773</v>
      </c>
      <c r="S32" s="173">
        <f>+S31*S153</f>
        <v>269.39015793057348</v>
      </c>
      <c r="T32" s="173">
        <f>+T31*T153</f>
        <v>235.38319984165329</v>
      </c>
      <c r="U32" s="173">
        <f>+U31*U153</f>
        <v>287.38418038011548</v>
      </c>
      <c r="V32" s="173">
        <f>+V31*V153</f>
        <v>310.44158936218474</v>
      </c>
      <c r="W32" s="453">
        <f>SUM(S32:V32)</f>
        <v>1102.599127514527</v>
      </c>
      <c r="X32" s="173">
        <f>+X31*X153</f>
        <v>306.17606471485055</v>
      </c>
      <c r="Y32" s="173">
        <f>+Y31*Y153</f>
        <v>277.11630416529312</v>
      </c>
      <c r="Z32" s="173">
        <f>+Z31*Z153</f>
        <v>309.47088027414804</v>
      </c>
      <c r="AA32" s="173">
        <f>+AA31*AA153</f>
        <v>347.70084218441536</v>
      </c>
      <c r="AB32" s="174">
        <f>SUM(X32:AA32)</f>
        <v>1240.464091338707</v>
      </c>
      <c r="AC32" s="173">
        <f>+AC31*AC153</f>
        <v>333.88021902356451</v>
      </c>
      <c r="AD32" s="173">
        <f>+AD31*AD153</f>
        <v>306.88588746972437</v>
      </c>
      <c r="AE32" s="173">
        <f>+AE31*AE153</f>
        <v>344.4196568323369</v>
      </c>
      <c r="AF32" s="173">
        <f>+AF31*AF153</f>
        <v>385.4608666012748</v>
      </c>
      <c r="AG32" s="174">
        <f>SUM(AC32:AF32)</f>
        <v>1370.6466299269005</v>
      </c>
      <c r="AH32" s="173">
        <f>+AH31*AH153</f>
        <v>371.15334741896794</v>
      </c>
      <c r="AI32" s="173">
        <f>+AI31*AI153</f>
        <v>342.62396636937677</v>
      </c>
      <c r="AJ32" s="173">
        <f>+AJ31*AJ153</f>
        <v>381.71248242379119</v>
      </c>
      <c r="AK32" s="173">
        <f>+AK31*AK153</f>
        <v>425.13738911980897</v>
      </c>
      <c r="AL32" s="174">
        <f>SUM(AH32:AK32)</f>
        <v>1520.6271853319449</v>
      </c>
      <c r="AM32" s="173">
        <f>+AM31*AM153</f>
        <v>410.94824767199572</v>
      </c>
      <c r="AN32" s="173">
        <f>+AN31*AN153</f>
        <v>380.50468758750287</v>
      </c>
      <c r="AO32" s="173">
        <f>+AO31*AO153</f>
        <v>420.96817696210024</v>
      </c>
      <c r="AP32" s="173">
        <f>+AP31*AP153</f>
        <v>467.06630755148217</v>
      </c>
      <c r="AQ32" s="174">
        <f>SUM(AM32:AP32)</f>
        <v>1679.487419773081</v>
      </c>
    </row>
    <row r="33" spans="1:43" x14ac:dyDescent="0.25">
      <c r="A33" s="307"/>
      <c r="B33" s="591" t="s">
        <v>148</v>
      </c>
      <c r="C33" s="592"/>
      <c r="D33" s="259">
        <f t="shared" ref="D33:AL33" si="67">+D31-D32</f>
        <v>760.40000000000043</v>
      </c>
      <c r="E33" s="259">
        <f t="shared" si="67"/>
        <v>658.79999999999973</v>
      </c>
      <c r="F33" s="259">
        <f t="shared" si="67"/>
        <v>1373.200000000001</v>
      </c>
      <c r="G33" s="259">
        <f t="shared" si="67"/>
        <v>802.20000000000095</v>
      </c>
      <c r="H33" s="274">
        <f t="shared" si="67"/>
        <v>3594.6000000000054</v>
      </c>
      <c r="I33" s="259">
        <f t="shared" si="67"/>
        <v>885.29999999999882</v>
      </c>
      <c r="J33" s="259">
        <f t="shared" si="67"/>
        <v>324.79999999999905</v>
      </c>
      <c r="K33" s="259">
        <f t="shared" si="67"/>
        <v>-678.09999999999923</v>
      </c>
      <c r="L33" s="171">
        <f t="shared" si="67"/>
        <v>392.70000000000044</v>
      </c>
      <c r="M33" s="172">
        <f t="shared" si="67"/>
        <v>924.70000000000437</v>
      </c>
      <c r="N33" s="171">
        <f t="shared" si="67"/>
        <v>622.20000000000016</v>
      </c>
      <c r="O33" s="259">
        <f t="shared" si="67"/>
        <v>659.4</v>
      </c>
      <c r="P33" s="259">
        <f t="shared" si="67"/>
        <v>1154.1999999999989</v>
      </c>
      <c r="Q33" s="259">
        <f t="shared" si="67"/>
        <v>1160.9118361477947</v>
      </c>
      <c r="R33" s="451">
        <f t="shared" si="67"/>
        <v>3596.7118361477928</v>
      </c>
      <c r="S33" s="171">
        <f t="shared" si="67"/>
        <v>965.88504939989548</v>
      </c>
      <c r="T33" s="171">
        <f t="shared" si="67"/>
        <v>859.20711768442402</v>
      </c>
      <c r="U33" s="171">
        <f t="shared" si="67"/>
        <v>1121.0277470935366</v>
      </c>
      <c r="V33" s="171">
        <f t="shared" si="67"/>
        <v>1171.2570176681402</v>
      </c>
      <c r="W33" s="451">
        <f t="shared" si="67"/>
        <v>4117.3769318459954</v>
      </c>
      <c r="X33" s="171">
        <f t="shared" si="67"/>
        <v>1140.2866699045981</v>
      </c>
      <c r="Y33" s="171">
        <f t="shared" si="67"/>
        <v>1042.044931101588</v>
      </c>
      <c r="Z33" s="171">
        <f t="shared" si="67"/>
        <v>1172.4775243161985</v>
      </c>
      <c r="AA33" s="171">
        <f t="shared" si="67"/>
        <v>1307.8464757217289</v>
      </c>
      <c r="AB33" s="172">
        <f t="shared" si="67"/>
        <v>4662.6556010441145</v>
      </c>
      <c r="AC33" s="171">
        <f t="shared" si="67"/>
        <v>1254.9076206621635</v>
      </c>
      <c r="AD33" s="171">
        <f t="shared" si="67"/>
        <v>1156.1012043420976</v>
      </c>
      <c r="AE33" s="171">
        <f t="shared" si="67"/>
        <v>1298.0924983915481</v>
      </c>
      <c r="AF33" s="259">
        <f t="shared" si="67"/>
        <v>1450.8827601218838</v>
      </c>
      <c r="AG33" s="274">
        <f t="shared" si="67"/>
        <v>5159.9840835176919</v>
      </c>
      <c r="AH33" s="259">
        <f t="shared" si="67"/>
        <v>1397.2711056305247</v>
      </c>
      <c r="AI33" s="259">
        <f t="shared" si="67"/>
        <v>1290.392102565962</v>
      </c>
      <c r="AJ33" s="259">
        <f t="shared" si="67"/>
        <v>1437.5123296734873</v>
      </c>
      <c r="AK33" s="259">
        <f t="shared" si="67"/>
        <v>1600.7330738811397</v>
      </c>
      <c r="AL33" s="172">
        <f t="shared" si="67"/>
        <v>5725.9086117511206</v>
      </c>
      <c r="AM33" s="259">
        <f t="shared" ref="AM33:AQ33" si="68">+AM31-AM32</f>
        <v>1547.4304966647892</v>
      </c>
      <c r="AN33" s="259">
        <f t="shared" si="68"/>
        <v>1432.8746939082039</v>
      </c>
      <c r="AO33" s="259">
        <f t="shared" si="68"/>
        <v>1585.1980497063892</v>
      </c>
      <c r="AP33" s="259">
        <f t="shared" si="68"/>
        <v>1758.7437401529414</v>
      </c>
      <c r="AQ33" s="172">
        <f t="shared" si="68"/>
        <v>6324.2469804323246</v>
      </c>
    </row>
    <row r="34" spans="1:43" ht="17.25" x14ac:dyDescent="0.4">
      <c r="A34" s="307"/>
      <c r="B34" s="404" t="s">
        <v>149</v>
      </c>
      <c r="C34" s="395"/>
      <c r="D34" s="260">
        <v>-0.2</v>
      </c>
      <c r="E34" s="260">
        <v>-4.4000000000000004</v>
      </c>
      <c r="F34" s="260">
        <v>0.4</v>
      </c>
      <c r="G34" s="260">
        <f t="shared" ref="G34" si="69">H34-F34-E34-D34</f>
        <v>-0.39999999999999963</v>
      </c>
      <c r="H34" s="282">
        <v>-4.5999999999999996</v>
      </c>
      <c r="I34" s="260">
        <v>-0.4</v>
      </c>
      <c r="J34" s="260">
        <v>-3.6</v>
      </c>
      <c r="K34" s="260">
        <v>0.3</v>
      </c>
      <c r="L34" s="260">
        <v>0.1</v>
      </c>
      <c r="M34" s="282">
        <f>SUM(I34:L34)</f>
        <v>-3.6</v>
      </c>
      <c r="N34" s="260">
        <v>0</v>
      </c>
      <c r="O34" s="260">
        <v>0</v>
      </c>
      <c r="P34" s="260">
        <v>0.8</v>
      </c>
      <c r="Q34" s="260">
        <f>AVERAGE(P34,O34,N34,L34)</f>
        <v>0.22500000000000001</v>
      </c>
      <c r="R34" s="453">
        <f>SUM(N34:Q34)</f>
        <v>1.0250000000000001</v>
      </c>
      <c r="S34" s="260">
        <f>AVERAGE(Q34,P34,O34,N34)</f>
        <v>0.25625000000000003</v>
      </c>
      <c r="T34" s="260">
        <f>AVERAGE(S34,Q34,P34,O34)</f>
        <v>0.3203125</v>
      </c>
      <c r="U34" s="260">
        <f>AVERAGE(T34,S34,Q34,P34)</f>
        <v>0.400390625</v>
      </c>
      <c r="V34" s="260">
        <f>AVERAGE(U34,T34,S34,Q34)</f>
        <v>0.30048828125000004</v>
      </c>
      <c r="W34" s="453">
        <f>SUM(S34:V34)</f>
        <v>1.2774414062500001</v>
      </c>
      <c r="X34" s="260">
        <f>AVERAGE(V34,U34,T34,S34)</f>
        <v>0.31936035156250003</v>
      </c>
      <c r="Y34" s="260">
        <f>AVERAGE(X34,V34,U34,T34)</f>
        <v>0.33513793945312503</v>
      </c>
      <c r="Z34" s="260">
        <f>AVERAGE(Y34,X34,V34,U34)</f>
        <v>0.33884429931640625</v>
      </c>
      <c r="AA34" s="260">
        <f>AVERAGE(Z34,Y34,X34,V34)</f>
        <v>0.32345771789550787</v>
      </c>
      <c r="AB34" s="282">
        <f>SUM(X34:AA34)</f>
        <v>1.3168003082275392</v>
      </c>
      <c r="AC34" s="260">
        <f>AVERAGE(AA34,Z34,Y34,X34)</f>
        <v>0.32920007705688481</v>
      </c>
      <c r="AD34" s="260">
        <f>AVERAGE(AC34,AA34,Z34,Y34)</f>
        <v>0.33166000843048099</v>
      </c>
      <c r="AE34" s="260">
        <f>AVERAGE(AD34,AC34,AA34,Z34)</f>
        <v>0.33079052567481998</v>
      </c>
      <c r="AF34" s="260">
        <f>AVERAGE(AE34,AD34,AC34,AA34)</f>
        <v>0.32877708226442343</v>
      </c>
      <c r="AG34" s="282">
        <f>SUM(AC34:AF34)</f>
        <v>1.3204276934266093</v>
      </c>
      <c r="AH34" s="260">
        <f>AVERAGE(AF34,AE34,AD34,AC34)</f>
        <v>0.33010692335665232</v>
      </c>
      <c r="AI34" s="260">
        <f>AVERAGE(AH34,AF34,AE34,AD34)</f>
        <v>0.33033363493159418</v>
      </c>
      <c r="AJ34" s="260">
        <f>AVERAGE(AI34,AH34,AF34,AE34)</f>
        <v>0.33000204155687246</v>
      </c>
      <c r="AK34" s="260">
        <f>AVERAGE(AJ34,AI34,AH34,AF34)</f>
        <v>0.32980492052738558</v>
      </c>
      <c r="AL34" s="174">
        <f>SUM(AH34:AK34)</f>
        <v>1.3202475203725046</v>
      </c>
      <c r="AM34" s="260">
        <f>AVERAGE(AK34,AJ34,AI34,AH34)</f>
        <v>0.33006188009312615</v>
      </c>
      <c r="AN34" s="260">
        <f>AVERAGE(AM34,AK34,AJ34,AI34)</f>
        <v>0.33005061927724461</v>
      </c>
      <c r="AO34" s="260">
        <f>AVERAGE(AN34,AM34,AK34,AJ34)</f>
        <v>0.3299798653636572</v>
      </c>
      <c r="AP34" s="260">
        <f>AVERAGE(AO34,AN34,AM34,AK34)</f>
        <v>0.32997432131535337</v>
      </c>
      <c r="AQ34" s="174">
        <f>SUM(AM34:AP34)</f>
        <v>1.3200666860493813</v>
      </c>
    </row>
    <row r="35" spans="1:43" s="20" customFormat="1" x14ac:dyDescent="0.25">
      <c r="A35" s="324"/>
      <c r="B35" s="403" t="s">
        <v>107</v>
      </c>
      <c r="C35" s="402"/>
      <c r="D35" s="259">
        <f t="shared" ref="D35:AL35" si="70">+D33-D34</f>
        <v>760.60000000000048</v>
      </c>
      <c r="E35" s="259">
        <f t="shared" si="70"/>
        <v>663.1999999999997</v>
      </c>
      <c r="F35" s="259">
        <f t="shared" si="70"/>
        <v>1372.8000000000009</v>
      </c>
      <c r="G35" s="259">
        <f t="shared" si="70"/>
        <v>802.60000000000093</v>
      </c>
      <c r="H35" s="274">
        <f t="shared" si="70"/>
        <v>3599.2000000000053</v>
      </c>
      <c r="I35" s="259">
        <f t="shared" si="70"/>
        <v>885.69999999999879</v>
      </c>
      <c r="J35" s="259">
        <f t="shared" si="70"/>
        <v>328.39999999999907</v>
      </c>
      <c r="K35" s="259">
        <f t="shared" si="70"/>
        <v>-678.39999999999918</v>
      </c>
      <c r="L35" s="171">
        <f t="shared" si="70"/>
        <v>392.60000000000042</v>
      </c>
      <c r="M35" s="172">
        <f t="shared" si="70"/>
        <v>928.30000000000439</v>
      </c>
      <c r="N35" s="171">
        <f t="shared" si="70"/>
        <v>622.20000000000016</v>
      </c>
      <c r="O35" s="259">
        <f t="shared" si="70"/>
        <v>659.4</v>
      </c>
      <c r="P35" s="259">
        <f t="shared" si="70"/>
        <v>1153.399999999999</v>
      </c>
      <c r="Q35" s="259">
        <f t="shared" si="70"/>
        <v>1160.6868361477948</v>
      </c>
      <c r="R35" s="451">
        <f t="shared" si="70"/>
        <v>3595.6868361477927</v>
      </c>
      <c r="S35" s="171">
        <f t="shared" si="70"/>
        <v>965.62879939989546</v>
      </c>
      <c r="T35" s="171">
        <f t="shared" si="70"/>
        <v>858.88680518442402</v>
      </c>
      <c r="U35" s="171">
        <f t="shared" si="70"/>
        <v>1120.6273564685366</v>
      </c>
      <c r="V35" s="171">
        <f t="shared" si="70"/>
        <v>1170.9565293868902</v>
      </c>
      <c r="W35" s="451">
        <f t="shared" si="70"/>
        <v>4116.0994904397458</v>
      </c>
      <c r="X35" s="171">
        <f t="shared" si="70"/>
        <v>1139.9673095530356</v>
      </c>
      <c r="Y35" s="171">
        <f t="shared" si="70"/>
        <v>1041.7097931621349</v>
      </c>
      <c r="Z35" s="171">
        <f t="shared" si="70"/>
        <v>1172.1386800168821</v>
      </c>
      <c r="AA35" s="171">
        <f t="shared" si="70"/>
        <v>1307.5230180038334</v>
      </c>
      <c r="AB35" s="172">
        <f t="shared" si="70"/>
        <v>4661.3388007358872</v>
      </c>
      <c r="AC35" s="171">
        <f t="shared" si="70"/>
        <v>1254.5784205851066</v>
      </c>
      <c r="AD35" s="171">
        <f t="shared" si="70"/>
        <v>1155.7695443336672</v>
      </c>
      <c r="AE35" s="171">
        <f t="shared" si="70"/>
        <v>1297.7617078658734</v>
      </c>
      <c r="AF35" s="171">
        <f t="shared" si="70"/>
        <v>1450.5539830396194</v>
      </c>
      <c r="AG35" s="172">
        <f t="shared" si="70"/>
        <v>5158.6636558242653</v>
      </c>
      <c r="AH35" s="171">
        <f t="shared" si="70"/>
        <v>1396.9409987071681</v>
      </c>
      <c r="AI35" s="171">
        <f t="shared" si="70"/>
        <v>1290.0617689310304</v>
      </c>
      <c r="AJ35" s="171">
        <f t="shared" si="70"/>
        <v>1437.1823276319305</v>
      </c>
      <c r="AK35" s="171">
        <f t="shared" si="70"/>
        <v>1600.4032689606124</v>
      </c>
      <c r="AL35" s="172">
        <f t="shared" si="70"/>
        <v>5724.5883642307481</v>
      </c>
      <c r="AM35" s="171">
        <f t="shared" ref="AM35:AQ35" si="71">+AM33-AM34</f>
        <v>1547.1004347846961</v>
      </c>
      <c r="AN35" s="171">
        <f t="shared" si="71"/>
        <v>1432.5446432889266</v>
      </c>
      <c r="AO35" s="171">
        <f t="shared" si="71"/>
        <v>1584.8680698410255</v>
      </c>
      <c r="AP35" s="171">
        <f t="shared" si="71"/>
        <v>1758.4137658316261</v>
      </c>
      <c r="AQ35" s="172">
        <f t="shared" si="71"/>
        <v>6322.9269137462752</v>
      </c>
    </row>
    <row r="36" spans="1:43" s="20" customFormat="1" ht="17.25" x14ac:dyDescent="0.4">
      <c r="A36" s="324"/>
      <c r="B36" s="222" t="s">
        <v>196</v>
      </c>
      <c r="C36" s="219"/>
      <c r="D36" s="265">
        <f t="shared" ref="D36:AA36" si="72">-D180-D181</f>
        <v>41.449999999998646</v>
      </c>
      <c r="E36" s="265">
        <f t="shared" si="72"/>
        <v>-54.179999999999545</v>
      </c>
      <c r="F36" s="265">
        <f t="shared" si="72"/>
        <v>-544.16000000000076</v>
      </c>
      <c r="G36" s="265">
        <f t="shared" si="72"/>
        <v>-30</v>
      </c>
      <c r="H36" s="334">
        <f>SUM(D36:G36)</f>
        <v>-586.89000000000169</v>
      </c>
      <c r="I36" s="265">
        <f t="shared" si="72"/>
        <v>-11</v>
      </c>
      <c r="J36" s="265">
        <f t="shared" si="72"/>
        <v>-23</v>
      </c>
      <c r="K36" s="265">
        <f t="shared" si="72"/>
        <v>-35.055</v>
      </c>
      <c r="L36" s="226">
        <f>-L180-L181</f>
        <v>-50.810000000000372</v>
      </c>
      <c r="M36" s="227">
        <f>SUM(I36:L36)</f>
        <v>-119.86500000000038</v>
      </c>
      <c r="N36" s="265">
        <f t="shared" si="72"/>
        <v>-35.49</v>
      </c>
      <c r="O36" s="265">
        <f t="shared" si="72"/>
        <v>-11.847999999999999</v>
      </c>
      <c r="P36" s="265">
        <f t="shared" si="72"/>
        <v>-11.862</v>
      </c>
      <c r="Q36" s="265">
        <f t="shared" si="72"/>
        <v>-12.925000000000001</v>
      </c>
      <c r="R36" s="458">
        <f>SUM(N36:Q36)</f>
        <v>-72.125</v>
      </c>
      <c r="S36" s="226">
        <f t="shared" si="72"/>
        <v>-28.065000000000001</v>
      </c>
      <c r="T36" s="226">
        <f t="shared" si="72"/>
        <v>-29.335625000000004</v>
      </c>
      <c r="U36" s="226">
        <f t="shared" si="72"/>
        <v>-30.915078125000001</v>
      </c>
      <c r="V36" s="226">
        <f t="shared" si="72"/>
        <v>-29.351962890625</v>
      </c>
      <c r="W36" s="458">
        <f>SUM(S36:V36)</f>
        <v>-117.667666015625</v>
      </c>
      <c r="X36" s="226">
        <f t="shared" si="72"/>
        <v>-24.911583251953125</v>
      </c>
      <c r="Y36" s="226">
        <f t="shared" si="72"/>
        <v>-23.809906158447266</v>
      </c>
      <c r="Z36" s="226">
        <f t="shared" si="72"/>
        <v>-24.029894428253176</v>
      </c>
      <c r="AA36" s="226">
        <f t="shared" si="72"/>
        <v>-25.418006231784823</v>
      </c>
      <c r="AB36" s="227">
        <f>SUM(X36:AA36)</f>
        <v>-98.169390070438396</v>
      </c>
      <c r="AC36" s="226">
        <f t="shared" ref="AC36:AF36" si="73">-AC180-AC181</f>
        <v>-26.979632010757925</v>
      </c>
      <c r="AD36" s="226">
        <f t="shared" si="73"/>
        <v>-26.843961012102667</v>
      </c>
      <c r="AE36" s="226">
        <f t="shared" si="73"/>
        <v>-26.532503013615504</v>
      </c>
      <c r="AF36" s="226">
        <f t="shared" si="73"/>
        <v>-25.984681124692436</v>
      </c>
      <c r="AG36" s="227">
        <f>SUM(AC36:AF36)</f>
        <v>-106.34077716116852</v>
      </c>
      <c r="AH36" s="226">
        <f t="shared" ref="AH36:AK36" si="74">-AH180-AH181</f>
        <v>-25.563770903950864</v>
      </c>
      <c r="AI36" s="226">
        <f t="shared" si="74"/>
        <v>-25.645294360450581</v>
      </c>
      <c r="AJ36" s="226">
        <f t="shared" si="74"/>
        <v>-25.874717885700996</v>
      </c>
      <c r="AK36" s="226">
        <f t="shared" si="74"/>
        <v>-26.105320817881971</v>
      </c>
      <c r="AL36" s="227">
        <f>SUM(AH36:AK36)</f>
        <v>-103.18910396798442</v>
      </c>
      <c r="AM36" s="226">
        <f t="shared" ref="AM36:AP36" si="75">-AM180-AM181</f>
        <v>-26.191235141144112</v>
      </c>
      <c r="AN36" s="226">
        <f t="shared" si="75"/>
        <v>-26.092685532442392</v>
      </c>
      <c r="AO36" s="226">
        <f t="shared" si="75"/>
        <v>-25.998776097484857</v>
      </c>
      <c r="AP36" s="226">
        <f t="shared" si="75"/>
        <v>-25.932060232968528</v>
      </c>
      <c r="AQ36" s="227">
        <f>SUM(AM36:AP36)</f>
        <v>-104.21475700403988</v>
      </c>
    </row>
    <row r="37" spans="1:43" s="20" customFormat="1" x14ac:dyDescent="0.25">
      <c r="A37" s="324"/>
      <c r="B37" s="220" t="s">
        <v>197</v>
      </c>
      <c r="C37" s="221"/>
      <c r="D37" s="264">
        <f t="shared" ref="D37:AL37" si="76">+D27+D28+D29+D30-D32-D34+D36</f>
        <v>940.04999999999916</v>
      </c>
      <c r="E37" s="264">
        <f t="shared" si="76"/>
        <v>750.42000000000007</v>
      </c>
      <c r="F37" s="264">
        <f t="shared" si="76"/>
        <v>953.94</v>
      </c>
      <c r="G37" s="264">
        <f t="shared" si="76"/>
        <v>850.00000000000102</v>
      </c>
      <c r="H37" s="333">
        <f t="shared" si="76"/>
        <v>3494.4100000000039</v>
      </c>
      <c r="I37" s="264">
        <f t="shared" si="76"/>
        <v>946.2999999999987</v>
      </c>
      <c r="J37" s="264">
        <f t="shared" si="76"/>
        <v>372.19999999999902</v>
      </c>
      <c r="K37" s="264">
        <f t="shared" si="76"/>
        <v>-539.7749999999993</v>
      </c>
      <c r="L37" s="214">
        <f>+L27+L28+L29+L30-L32-L34+L36</f>
        <v>601.29</v>
      </c>
      <c r="M37" s="215">
        <f t="shared" si="76"/>
        <v>1380.0150000000035</v>
      </c>
      <c r="N37" s="264">
        <f t="shared" si="76"/>
        <v>721.61000000000024</v>
      </c>
      <c r="O37" s="264">
        <f t="shared" si="76"/>
        <v>735.75199999999995</v>
      </c>
      <c r="P37" s="264">
        <f t="shared" si="76"/>
        <v>1193.2379999999987</v>
      </c>
      <c r="Q37" s="264">
        <f t="shared" si="76"/>
        <v>1199.4618361477949</v>
      </c>
      <c r="R37" s="457">
        <f t="shared" si="76"/>
        <v>3850.0618361477927</v>
      </c>
      <c r="S37" s="214">
        <f t="shared" si="76"/>
        <v>1049.8237993998955</v>
      </c>
      <c r="T37" s="214">
        <f t="shared" si="76"/>
        <v>946.89368018442394</v>
      </c>
      <c r="U37" s="214">
        <f t="shared" si="76"/>
        <v>1213.3725908435367</v>
      </c>
      <c r="V37" s="214">
        <f t="shared" si="76"/>
        <v>1259.0124180587652</v>
      </c>
      <c r="W37" s="457">
        <f t="shared" si="76"/>
        <v>4469.1024884866201</v>
      </c>
      <c r="X37" s="214">
        <f t="shared" si="76"/>
        <v>1214.7020593088951</v>
      </c>
      <c r="Y37" s="214">
        <f t="shared" si="76"/>
        <v>1113.1395116374767</v>
      </c>
      <c r="Z37" s="214">
        <f t="shared" si="76"/>
        <v>1244.2283633016418</v>
      </c>
      <c r="AA37" s="214">
        <f t="shared" si="76"/>
        <v>1383.7770366991879</v>
      </c>
      <c r="AB37" s="215">
        <f t="shared" si="76"/>
        <v>4955.8469709472029</v>
      </c>
      <c r="AC37" s="214">
        <f t="shared" si="76"/>
        <v>1335.5173166173804</v>
      </c>
      <c r="AD37" s="214">
        <f t="shared" si="76"/>
        <v>1236.3014273699753</v>
      </c>
      <c r="AE37" s="214">
        <f t="shared" si="76"/>
        <v>1377.3592169067199</v>
      </c>
      <c r="AF37" s="214">
        <f t="shared" si="76"/>
        <v>1528.5080264136966</v>
      </c>
      <c r="AG37" s="215">
        <f t="shared" si="76"/>
        <v>5477.685987307771</v>
      </c>
      <c r="AH37" s="214">
        <f t="shared" si="76"/>
        <v>1473.6323114190207</v>
      </c>
      <c r="AI37" s="214">
        <f t="shared" si="76"/>
        <v>1366.9976520123821</v>
      </c>
      <c r="AJ37" s="214">
        <f t="shared" si="76"/>
        <v>1514.8064812890334</v>
      </c>
      <c r="AK37" s="214">
        <f t="shared" si="76"/>
        <v>1678.7192314142585</v>
      </c>
      <c r="AL37" s="215">
        <f t="shared" si="76"/>
        <v>6034.1556761347019</v>
      </c>
      <c r="AM37" s="214">
        <f t="shared" ref="AM37:AQ37" si="77">+AM27+AM28+AM29+AM30-AM32-AM34+AM36</f>
        <v>1625.6741402081279</v>
      </c>
      <c r="AN37" s="214">
        <f t="shared" si="77"/>
        <v>1510.8226998862538</v>
      </c>
      <c r="AO37" s="214">
        <f t="shared" si="77"/>
        <v>1662.8643981334803</v>
      </c>
      <c r="AP37" s="214">
        <f t="shared" si="77"/>
        <v>1836.2099465305316</v>
      </c>
      <c r="AQ37" s="215">
        <f t="shared" si="77"/>
        <v>6635.5711847583962</v>
      </c>
    </row>
    <row r="38" spans="1:43" x14ac:dyDescent="0.25">
      <c r="A38" s="254"/>
      <c r="B38" s="595" t="s">
        <v>0</v>
      </c>
      <c r="C38" s="596"/>
      <c r="D38" s="256">
        <v>1242</v>
      </c>
      <c r="E38" s="256">
        <v>1239.2</v>
      </c>
      <c r="F38" s="256">
        <v>1211</v>
      </c>
      <c r="G38" s="256">
        <v>1210.7904210526317</v>
      </c>
      <c r="H38" s="257">
        <v>1221.2</v>
      </c>
      <c r="I38" s="256">
        <v>1180.4000000000001</v>
      </c>
      <c r="J38" s="256">
        <v>1171.8</v>
      </c>
      <c r="K38" s="256">
        <v>1168.5</v>
      </c>
      <c r="L38" s="63">
        <v>1167.3874645009873</v>
      </c>
      <c r="M38" s="35">
        <f>+(I35/M35*I38)+(J35/M35*J38)+(K35/M35*K38)+(L35/M35*L38)</f>
        <v>1180.550811766758</v>
      </c>
      <c r="N38" s="256">
        <v>1175</v>
      </c>
      <c r="O38" s="256">
        <v>1177.5</v>
      </c>
      <c r="P38" s="256">
        <v>1178.5</v>
      </c>
      <c r="Q38" s="256">
        <f>P38*(1+Q160)-Q164-Q167-Q170</f>
        <v>1179.5008492569002</v>
      </c>
      <c r="R38" s="449">
        <f>+(N35/R35*N38)+(O35/R35*O38)+(P35/R35*P38)+(Q35/R35*Q38)</f>
        <v>1178.0340452272699</v>
      </c>
      <c r="S38" s="34">
        <f>Q38*(1+S160)-S164-S167-S170</f>
        <v>1176.3358818252711</v>
      </c>
      <c r="T38" s="34">
        <f>S38*(1+T160)-T164-T167-T170</f>
        <v>1173.1682265232118</v>
      </c>
      <c r="U38" s="34">
        <f>T38*(1+U160)-U164-U167-U170</f>
        <v>1169.9978810680298</v>
      </c>
      <c r="V38" s="34">
        <f>U38*(1+V160)-V164-V167-V170</f>
        <v>1166.8248431750937</v>
      </c>
      <c r="W38" s="449">
        <f>+(S35/W35*S38)+(T35/W35*T38)+(U35/W35*U38)+(V35/W35*V38)</f>
        <v>1171.2436319334615</v>
      </c>
      <c r="X38" s="34">
        <f>V38*(1+X160)-X164-X167-X170</f>
        <v>1163.6491105578325</v>
      </c>
      <c r="Y38" s="34">
        <f>X38*(1+Y160)-Y164-Y167-Y170</f>
        <v>1160.4706809277329</v>
      </c>
      <c r="Z38" s="34">
        <f>Y38*(1+Z160)-Z164-Z167-Z170</f>
        <v>1157.2895519943381</v>
      </c>
      <c r="AA38" s="34">
        <f>Z38*(1+AA160)-AA164-AA167-AA170</f>
        <v>1154.1057214652462</v>
      </c>
      <c r="AB38" s="35">
        <f>+(X35/AB35*X38)+(Y35/AB35*Y38)+(Z35/AB35*Z38)+(AA35/AB35*AA38)</f>
        <v>1158.6626704481132</v>
      </c>
      <c r="AC38" s="34">
        <f>AA38*(1+AC160)-AC164-AC167-AC170</f>
        <v>1153.0025203794419</v>
      </c>
      <c r="AD38" s="34">
        <f>AC38*(1+AD160)-AD164-AD167-AD170</f>
        <v>1151.898382392503</v>
      </c>
      <c r="AE38" s="34">
        <f>AD38*(1+AE160)-AE164-AE167-AE170</f>
        <v>1150.7933067087599</v>
      </c>
      <c r="AF38" s="34">
        <f>AE38*(1+AF160)-AF164-AF167-AF170</f>
        <v>1149.6872925318673</v>
      </c>
      <c r="AG38" s="35">
        <f>+(AC35/AG35*AC38)+(AD35/AG35*AD38)+(AE35/AG35*AE38)+(AF35/AG35*AF38)</f>
        <v>1151.2671719402729</v>
      </c>
      <c r="AH38" s="34">
        <f>AF38*(1+AH160)-AH164-AH167-AH170</f>
        <v>1148.5803390648032</v>
      </c>
      <c r="AI38" s="34">
        <f>AH38*(1+AI160)-AI164-AI167-AI170</f>
        <v>1147.472445509869</v>
      </c>
      <c r="AJ38" s="34">
        <f>AI38*(1+AJ160)-AJ164-AJ167-AJ170</f>
        <v>1146.3636110686884</v>
      </c>
      <c r="AK38" s="34">
        <f>AJ38*(1+AK160)-AK164-AK167-AK170</f>
        <v>1145.2538349422075</v>
      </c>
      <c r="AL38" s="35">
        <f>+(AH35/AL35*AH38)+(AI35/AL35*AI38)+(AJ35/AL35*AJ38)+(AK35/AL35*AK38)</f>
        <v>1146.8441720497963</v>
      </c>
      <c r="AM38" s="34">
        <f>AK38*(1+AM160)-AM164-AM167-AM170</f>
        <v>1144.1431163306936</v>
      </c>
      <c r="AN38" s="34">
        <f>AM38*(1+AN160)-AN164-AN167-AN170</f>
        <v>1143.0314544337346</v>
      </c>
      <c r="AO38" s="34">
        <f>AN38*(1+AO160)-AO164-AO167-AO170</f>
        <v>1141.9188484502388</v>
      </c>
      <c r="AP38" s="34">
        <f>AO38*(1+AP160)-AP164-AP167-AP170</f>
        <v>1140.8052975784344</v>
      </c>
      <c r="AQ38" s="35">
        <f>+(AM35/AQ35*AM38)+(AN35/AQ35*AN38)+(AO35/AQ35*AO38)+(AP35/AQ35*AP38)</f>
        <v>1142.4054807341026</v>
      </c>
    </row>
    <row r="39" spans="1:43" ht="15.75" customHeight="1" x14ac:dyDescent="0.25">
      <c r="A39" s="254"/>
      <c r="B39" s="595" t="s">
        <v>1</v>
      </c>
      <c r="C39" s="596"/>
      <c r="D39" s="256">
        <v>1253.4000000000001</v>
      </c>
      <c r="E39" s="256">
        <v>1250.7</v>
      </c>
      <c r="F39" s="256">
        <v>1223</v>
      </c>
      <c r="G39" s="256">
        <v>1222.8144210526316</v>
      </c>
      <c r="H39" s="257">
        <v>1233.2</v>
      </c>
      <c r="I39" s="256">
        <v>1191</v>
      </c>
      <c r="J39" s="256">
        <v>1180.7</v>
      </c>
      <c r="K39" s="256">
        <v>1168.5</v>
      </c>
      <c r="L39" s="256">
        <v>1179</v>
      </c>
      <c r="M39" s="35">
        <f>+(I35/M35*I39)+(J35/M35*J39)+(K35/M35*K39)+(L35/M35*L39)</f>
        <v>1198.7240978132002</v>
      </c>
      <c r="N39" s="256">
        <v>1183</v>
      </c>
      <c r="O39" s="256">
        <v>1184.8</v>
      </c>
      <c r="P39" s="256">
        <v>1186.2</v>
      </c>
      <c r="Q39" s="256">
        <f>P39*(1+Q161)-Q164-Q167-Q170</f>
        <v>1187.6016542876437</v>
      </c>
      <c r="R39" s="449">
        <f>+(N35/R35*N39)+(O35/R35*O39)+(P35/R35*P39)+(Q35/R35*Q39)</f>
        <v>1185.8419826369309</v>
      </c>
      <c r="S39" s="34">
        <f>Q39*(1+S161)-S164-S167-S170</f>
        <v>1184.8382981510265</v>
      </c>
      <c r="T39" s="34">
        <f>S39*(1+T161)-T164-T167-T170</f>
        <v>1182.0716767387585</v>
      </c>
      <c r="U39" s="34">
        <f>T39*(1+U161)-U164-U167-U170</f>
        <v>1179.3017861924786</v>
      </c>
      <c r="V39" s="34">
        <f>U39*(1+V161)-V164-V167-V170</f>
        <v>1176.5286226492669</v>
      </c>
      <c r="W39" s="449">
        <f>+(S35/W35*S39)+(T35/W35*T39)+(U35/W35*U39)+(V35/W35*V39)</f>
        <v>1180.38970544463</v>
      </c>
      <c r="X39" s="34">
        <f>V39*(1+X161)-X164-X167-X170</f>
        <v>1173.752182241639</v>
      </c>
      <c r="Y39" s="34">
        <f>X39*(1+Y161)-Y164-Y167-Y170</f>
        <v>1170.9724610975402</v>
      </c>
      <c r="Z39" s="34">
        <f>Y39*(1+Z161)-Z164-Z167-Z170</f>
        <v>1168.1894553403406</v>
      </c>
      <c r="AA39" s="34">
        <f>Z39*(1+AA161)-AA164-AA167-AA170</f>
        <v>1165.4031610888296</v>
      </c>
      <c r="AB39" s="35">
        <f>+(X35/AB35*X39)+(Y35/AB35*Y39)+(Z35/AB35*Z39)+(AA35/AB35*AA39)</f>
        <v>1169.3902406815575</v>
      </c>
      <c r="AC39" s="34">
        <f>AA39*(1+AC161)-AC164-AC167-AC170</f>
        <v>1164.6969077905439</v>
      </c>
      <c r="AD39" s="34">
        <f>AC39*(1+AD161)-AD164-AD167-AD170</f>
        <v>1163.9898199593265</v>
      </c>
      <c r="AE39" s="34">
        <f>AD39*(1+AE161)-AE164-AE167-AE170</f>
        <v>1163.2818966090649</v>
      </c>
      <c r="AF39" s="34">
        <f>AE39*(1+AF161)-AF164-AF167-AF170</f>
        <v>1162.5731367524811</v>
      </c>
      <c r="AG39" s="35">
        <f>+(AC35/AG35*AC39)+(AD35/AG35*AD39)+(AE35/AG35*AE39)+(AF35/AG35*AF39)</f>
        <v>1163.5853364943873</v>
      </c>
      <c r="AH39" s="34">
        <f>AF39*(1+AH161)-AH164-AH167-AH170</f>
        <v>1161.863539401131</v>
      </c>
      <c r="AI39" s="34">
        <f>AH39*(1+AI161)-AI164-AI167-AI170</f>
        <v>1161.1531035654023</v>
      </c>
      <c r="AJ39" s="34">
        <f>AI39*(1+AJ161)-AJ164-AJ167-AJ170</f>
        <v>1160.441828254513</v>
      </c>
      <c r="AK39" s="34">
        <f>AJ39*(1+AK161)-AK164-AK167-AK170</f>
        <v>1159.7297124765109</v>
      </c>
      <c r="AL39" s="35">
        <f>+(AH35/AL35*AH39)+(AI35/AL35*AI39)+(AJ35/AL35*AJ39)+(AK35/AL35*AK39)</f>
        <v>1160.749966262621</v>
      </c>
      <c r="AM39" s="34">
        <f>AK39*(1+AM161)-AM164-AM167-AM170</f>
        <v>1159.0167552382716</v>
      </c>
      <c r="AN39" s="34">
        <f>AM39*(1+AN161)-AN164-AN167-AN170</f>
        <v>1158.3029555454968</v>
      </c>
      <c r="AO39" s="34">
        <f>AN39*(1+AO161)-AO164-AO167-AO170</f>
        <v>1157.5883124027137</v>
      </c>
      <c r="AP39" s="34">
        <f>AO39*(1+AP161)-AP164-AP167-AP170</f>
        <v>1156.8728248132729</v>
      </c>
      <c r="AQ39" s="35">
        <f>+(AM35/AQ35*AM39)+(AN35/AQ35*AN39)+(AO35/AQ35*AO39)+(AP35/AQ35*AP39)</f>
        <v>1157.9007593973427</v>
      </c>
    </row>
    <row r="40" spans="1:43" ht="15.75" customHeight="1" x14ac:dyDescent="0.25">
      <c r="A40" s="254"/>
      <c r="B40" s="585" t="s">
        <v>44</v>
      </c>
      <c r="C40" s="586"/>
      <c r="D40" s="266">
        <f t="shared" ref="D40:AL40" si="78">D35/D38</f>
        <v>0.61239935587761718</v>
      </c>
      <c r="E40" s="266">
        <f t="shared" si="78"/>
        <v>0.53518398967075509</v>
      </c>
      <c r="F40" s="266">
        <f t="shared" si="78"/>
        <v>1.1336085879438487</v>
      </c>
      <c r="G40" s="266">
        <f t="shared" si="78"/>
        <v>0.66287276975832043</v>
      </c>
      <c r="H40" s="295">
        <f t="shared" si="78"/>
        <v>2.947264985260404</v>
      </c>
      <c r="I40" s="266">
        <f t="shared" si="78"/>
        <v>0.75033886818027684</v>
      </c>
      <c r="J40" s="266">
        <f t="shared" si="78"/>
        <v>0.28025260283324721</v>
      </c>
      <c r="K40" s="266">
        <f t="shared" si="78"/>
        <v>-0.58057338468121455</v>
      </c>
      <c r="L40" s="266">
        <f t="shared" si="78"/>
        <v>0.3363065065700544</v>
      </c>
      <c r="M40" s="45">
        <f t="shared" si="78"/>
        <v>0.78632786555858059</v>
      </c>
      <c r="N40" s="266">
        <f t="shared" si="78"/>
        <v>0.52953191489361717</v>
      </c>
      <c r="O40" s="266">
        <f t="shared" si="78"/>
        <v>0.55999999999999994</v>
      </c>
      <c r="P40" s="266">
        <f t="shared" si="78"/>
        <v>0.97870173949936268</v>
      </c>
      <c r="Q40" s="266">
        <f t="shared" si="78"/>
        <v>0.98404917374925294</v>
      </c>
      <c r="R40" s="454">
        <f t="shared" si="78"/>
        <v>3.0522775217876679</v>
      </c>
      <c r="S40" s="44">
        <f t="shared" si="78"/>
        <v>0.82087847044295692</v>
      </c>
      <c r="T40" s="44">
        <f t="shared" si="78"/>
        <v>0.73210881932066241</v>
      </c>
      <c r="U40" s="44">
        <f t="shared" si="78"/>
        <v>0.95780289400658969</v>
      </c>
      <c r="V40" s="44">
        <f t="shared" si="78"/>
        <v>1.0035409652408098</v>
      </c>
      <c r="W40" s="454">
        <f t="shared" si="78"/>
        <v>3.5142982879189577</v>
      </c>
      <c r="X40" s="44">
        <f t="shared" si="78"/>
        <v>0.97964867519776277</v>
      </c>
      <c r="Y40" s="44">
        <f t="shared" si="78"/>
        <v>0.89766144917107671</v>
      </c>
      <c r="Z40" s="44">
        <f t="shared" si="78"/>
        <v>1.0128309531499309</v>
      </c>
      <c r="AA40" s="44">
        <f t="shared" si="78"/>
        <v>1.1329317528586631</v>
      </c>
      <c r="AB40" s="45">
        <f t="shared" si="78"/>
        <v>4.023033553789312</v>
      </c>
      <c r="AC40" s="44">
        <f t="shared" si="78"/>
        <v>1.0880968587755013</v>
      </c>
      <c r="AD40" s="44">
        <f t="shared" si="78"/>
        <v>1.0033606800741606</v>
      </c>
      <c r="AE40" s="44">
        <f t="shared" si="78"/>
        <v>1.1277105109148049</v>
      </c>
      <c r="AF40" s="44">
        <f t="shared" si="78"/>
        <v>1.2616943689489484</v>
      </c>
      <c r="AG40" s="45">
        <f t="shared" si="78"/>
        <v>4.4808570777973111</v>
      </c>
      <c r="AH40" s="44">
        <f t="shared" si="78"/>
        <v>1.2162327276510627</v>
      </c>
      <c r="AI40" s="44">
        <f t="shared" si="78"/>
        <v>1.1242638321984308</v>
      </c>
      <c r="AJ40" s="44">
        <f t="shared" si="78"/>
        <v>1.2536880216322712</v>
      </c>
      <c r="AK40" s="44">
        <f t="shared" si="78"/>
        <v>1.3974223182071885</v>
      </c>
      <c r="AL40" s="45">
        <f t="shared" si="78"/>
        <v>4.9916008676217825</v>
      </c>
      <c r="AM40" s="44">
        <f t="shared" ref="AM40:AQ40" si="79">AM35/AM38</f>
        <v>1.3521913584956928</v>
      </c>
      <c r="AN40" s="44">
        <f t="shared" si="79"/>
        <v>1.2532854084917715</v>
      </c>
      <c r="AO40" s="44">
        <f t="shared" si="79"/>
        <v>1.3878990367765078</v>
      </c>
      <c r="AP40" s="44">
        <f t="shared" si="79"/>
        <v>1.5413793831113665</v>
      </c>
      <c r="AQ40" s="45">
        <f t="shared" si="79"/>
        <v>5.5347484062166803</v>
      </c>
    </row>
    <row r="41" spans="1:43" x14ac:dyDescent="0.25">
      <c r="A41" s="254"/>
      <c r="B41" s="585" t="s">
        <v>45</v>
      </c>
      <c r="C41" s="586"/>
      <c r="D41" s="266">
        <f t="shared" ref="D41:AL41" si="80">D35/D39</f>
        <v>0.60682942396681061</v>
      </c>
      <c r="E41" s="266">
        <f t="shared" si="80"/>
        <v>0.53026305269049312</v>
      </c>
      <c r="F41" s="266">
        <f t="shared" si="80"/>
        <v>1.1224856909239582</v>
      </c>
      <c r="G41" s="266">
        <f t="shared" si="80"/>
        <v>0.65635470614510849</v>
      </c>
      <c r="H41" s="295">
        <f t="shared" si="80"/>
        <v>2.9185857930587131</v>
      </c>
      <c r="I41" s="266">
        <f t="shared" si="80"/>
        <v>0.74366078925272783</v>
      </c>
      <c r="J41" s="266">
        <f t="shared" si="80"/>
        <v>0.27814008638942922</v>
      </c>
      <c r="K41" s="266">
        <f t="shared" si="80"/>
        <v>-0.58057338468121455</v>
      </c>
      <c r="L41" s="266">
        <f t="shared" si="80"/>
        <v>0.3329940627650555</v>
      </c>
      <c r="M41" s="454">
        <f t="shared" si="80"/>
        <v>0.7744067226924668</v>
      </c>
      <c r="N41" s="266">
        <f t="shared" si="80"/>
        <v>0.52595097210481845</v>
      </c>
      <c r="O41" s="266">
        <f t="shared" si="80"/>
        <v>0.55654962862930457</v>
      </c>
      <c r="P41" s="266">
        <f t="shared" si="80"/>
        <v>0.97234867644579237</v>
      </c>
      <c r="Q41" s="266">
        <f t="shared" si="80"/>
        <v>0.97733683003667327</v>
      </c>
      <c r="R41" s="496">
        <f t="shared" si="80"/>
        <v>3.0321804159371575</v>
      </c>
      <c r="S41" s="44">
        <f t="shared" si="80"/>
        <v>0.81498783497021188</v>
      </c>
      <c r="T41" s="44">
        <f t="shared" si="80"/>
        <v>0.72659452221545839</v>
      </c>
      <c r="U41" s="44">
        <f t="shared" si="80"/>
        <v>0.95024646751924313</v>
      </c>
      <c r="V41" s="44">
        <f t="shared" si="80"/>
        <v>0.99526395435256843</v>
      </c>
      <c r="W41" s="454">
        <f t="shared" si="80"/>
        <v>3.4870682719901311</v>
      </c>
      <c r="X41" s="44">
        <f t="shared" si="80"/>
        <v>0.97121634941365487</v>
      </c>
      <c r="Y41" s="44">
        <f t="shared" si="80"/>
        <v>0.88961083865776935</v>
      </c>
      <c r="Z41" s="44">
        <f t="shared" si="80"/>
        <v>1.0033806371547762</v>
      </c>
      <c r="AA41" s="44">
        <f t="shared" si="80"/>
        <v>1.1219490916621695</v>
      </c>
      <c r="AB41" s="45">
        <f t="shared" si="80"/>
        <v>3.9861276745555116</v>
      </c>
      <c r="AC41" s="44">
        <f t="shared" si="80"/>
        <v>1.0771715904741861</v>
      </c>
      <c r="AD41" s="44">
        <f t="shared" si="80"/>
        <v>0.99293784577433286</v>
      </c>
      <c r="AE41" s="44">
        <f t="shared" si="80"/>
        <v>1.1156038030410458</v>
      </c>
      <c r="AF41" s="44">
        <f t="shared" si="80"/>
        <v>1.2477098749172726</v>
      </c>
      <c r="AG41" s="45">
        <f t="shared" si="80"/>
        <v>4.4334209911635032</v>
      </c>
      <c r="AH41" s="44">
        <f t="shared" si="80"/>
        <v>1.2023279424253257</v>
      </c>
      <c r="AI41" s="44">
        <f t="shared" si="80"/>
        <v>1.1110178020192212</v>
      </c>
      <c r="AJ41" s="44">
        <f t="shared" si="80"/>
        <v>1.2384785627674924</v>
      </c>
      <c r="AK41" s="44">
        <f t="shared" si="80"/>
        <v>1.3799795346650885</v>
      </c>
      <c r="AL41" s="45">
        <f t="shared" si="80"/>
        <v>4.9318014478714645</v>
      </c>
      <c r="AM41" s="44">
        <f t="shared" ref="AM41:AQ41" si="81">AM35/AM39</f>
        <v>1.3348387137566806</v>
      </c>
      <c r="AN41" s="44">
        <f t="shared" si="81"/>
        <v>1.2367616230542009</v>
      </c>
      <c r="AO41" s="44">
        <f t="shared" si="81"/>
        <v>1.3691120175111664</v>
      </c>
      <c r="AP41" s="44">
        <f t="shared" si="81"/>
        <v>1.519971537161352</v>
      </c>
      <c r="AQ41" s="45">
        <f t="shared" si="81"/>
        <v>5.4606812046977105</v>
      </c>
    </row>
    <row r="42" spans="1:43" x14ac:dyDescent="0.25">
      <c r="A42" s="254"/>
      <c r="B42" s="228" t="s">
        <v>198</v>
      </c>
      <c r="C42" s="255"/>
      <c r="D42" s="267">
        <f t="shared" ref="D42:AL42" si="82">+D37/D39</f>
        <v>0.74999999999999922</v>
      </c>
      <c r="E42" s="267">
        <f t="shared" si="82"/>
        <v>0.60000000000000009</v>
      </c>
      <c r="F42" s="281">
        <f t="shared" si="82"/>
        <v>0.78</v>
      </c>
      <c r="G42" s="281">
        <f t="shared" si="82"/>
        <v>0.69511774261567683</v>
      </c>
      <c r="H42" s="280">
        <f t="shared" si="82"/>
        <v>2.8336117418099285</v>
      </c>
      <c r="I42" s="267">
        <f t="shared" si="82"/>
        <v>0.79454240134340781</v>
      </c>
      <c r="J42" s="267">
        <f t="shared" si="82"/>
        <v>0.31523672397730074</v>
      </c>
      <c r="K42" s="267">
        <f t="shared" si="82"/>
        <v>-0.46193838254171954</v>
      </c>
      <c r="L42" s="267">
        <f t="shared" si="82"/>
        <v>0.51</v>
      </c>
      <c r="M42" s="452">
        <f t="shared" si="82"/>
        <v>1.1512365543643674</v>
      </c>
      <c r="N42" s="267">
        <f t="shared" si="82"/>
        <v>0.60998309382924787</v>
      </c>
      <c r="O42" s="267">
        <f t="shared" si="82"/>
        <v>0.62099257258609042</v>
      </c>
      <c r="P42" s="267">
        <f t="shared" si="82"/>
        <v>1.0059332321699532</v>
      </c>
      <c r="Q42" s="524">
        <f t="shared" si="82"/>
        <v>1.0099866666717177</v>
      </c>
      <c r="R42" s="497">
        <f t="shared" si="82"/>
        <v>3.2466904465521575</v>
      </c>
      <c r="S42" s="524">
        <f t="shared" si="82"/>
        <v>0.88604816457922997</v>
      </c>
      <c r="T42" s="524">
        <f t="shared" si="82"/>
        <v>0.80104590848232493</v>
      </c>
      <c r="U42" s="524">
        <f t="shared" si="82"/>
        <v>1.0288906580571373</v>
      </c>
      <c r="V42" s="267">
        <f t="shared" si="82"/>
        <v>1.0701077677343405</v>
      </c>
      <c r="W42" s="525">
        <f t="shared" si="82"/>
        <v>3.7861245890849209</v>
      </c>
      <c r="X42" s="216">
        <f t="shared" si="82"/>
        <v>1.0348880093147514</v>
      </c>
      <c r="Y42" s="216">
        <f t="shared" si="82"/>
        <v>0.95061117884373025</v>
      </c>
      <c r="Z42" s="216">
        <f t="shared" si="82"/>
        <v>1.0650912466412805</v>
      </c>
      <c r="AA42" s="216">
        <f t="shared" si="82"/>
        <v>1.187380541688537</v>
      </c>
      <c r="AB42" s="217">
        <f t="shared" si="82"/>
        <v>4.237975312722619</v>
      </c>
      <c r="AC42" s="216">
        <f t="shared" si="82"/>
        <v>1.1466651174947193</v>
      </c>
      <c r="AD42" s="216">
        <f t="shared" si="82"/>
        <v>1.0621239173837238</v>
      </c>
      <c r="AE42" s="216">
        <f t="shared" si="82"/>
        <v>1.1840287559891411</v>
      </c>
      <c r="AF42" s="216">
        <f t="shared" si="82"/>
        <v>1.3147628980000468</v>
      </c>
      <c r="AG42" s="217">
        <f t="shared" si="82"/>
        <v>4.7075928301148657</v>
      </c>
      <c r="AH42" s="216">
        <f t="shared" si="82"/>
        <v>1.268335102570296</v>
      </c>
      <c r="AI42" s="216">
        <f t="shared" si="82"/>
        <v>1.177275974903671</v>
      </c>
      <c r="AJ42" s="216">
        <f t="shared" si="82"/>
        <v>1.3053704583947483</v>
      </c>
      <c r="AK42" s="216">
        <f t="shared" si="82"/>
        <v>1.4475090302114331</v>
      </c>
      <c r="AL42" s="217">
        <f t="shared" si="82"/>
        <v>5.1984973952344422</v>
      </c>
      <c r="AM42" s="216">
        <f t="shared" ref="AM42:AQ42" si="83">+AM37/AM39</f>
        <v>1.4026321300885081</v>
      </c>
      <c r="AN42" s="216">
        <f t="shared" si="83"/>
        <v>1.3043415737247597</v>
      </c>
      <c r="AO42" s="216">
        <f t="shared" si="83"/>
        <v>1.4364903137990443</v>
      </c>
      <c r="AP42" s="216">
        <f t="shared" si="83"/>
        <v>1.5872184972681922</v>
      </c>
      <c r="AQ42" s="217">
        <f t="shared" si="83"/>
        <v>5.7306907616262714</v>
      </c>
    </row>
    <row r="43" spans="1:43" x14ac:dyDescent="0.25">
      <c r="A43" s="254"/>
      <c r="B43" s="351" t="s">
        <v>150</v>
      </c>
      <c r="C43" s="352"/>
      <c r="D43" s="268">
        <v>0.36</v>
      </c>
      <c r="E43" s="268">
        <v>0.36</v>
      </c>
      <c r="F43" s="268">
        <v>0.36</v>
      </c>
      <c r="G43" s="268">
        <v>0.41</v>
      </c>
      <c r="H43" s="335">
        <f>+SUM(D43:G43)</f>
        <v>1.49</v>
      </c>
      <c r="I43" s="268">
        <v>0.41</v>
      </c>
      <c r="J43" s="268">
        <v>0.41</v>
      </c>
      <c r="K43" s="268">
        <v>0.41</v>
      </c>
      <c r="L43" s="268">
        <f>K43*1.1</f>
        <v>0.45100000000000001</v>
      </c>
      <c r="M43" s="145">
        <f>+SUM(I43:L43)</f>
        <v>1.681</v>
      </c>
      <c r="N43" s="268">
        <f>+L43</f>
        <v>0.45100000000000001</v>
      </c>
      <c r="O43" s="268">
        <v>0.45</v>
      </c>
      <c r="P43" s="268">
        <v>0.45</v>
      </c>
      <c r="Q43" s="218">
        <v>0.49</v>
      </c>
      <c r="R43" s="145">
        <f>+SUM(N43:Q43)</f>
        <v>1.841</v>
      </c>
      <c r="S43" s="218">
        <f>+Q43</f>
        <v>0.49</v>
      </c>
      <c r="T43" s="218">
        <f>+S43</f>
        <v>0.49</v>
      </c>
      <c r="U43" s="218">
        <f>+T43</f>
        <v>0.49</v>
      </c>
      <c r="V43" s="218">
        <f>1.05*U43</f>
        <v>0.51449999999999996</v>
      </c>
      <c r="W43" s="145">
        <f>+SUM(S43:V43)</f>
        <v>1.9844999999999999</v>
      </c>
      <c r="X43" s="218">
        <f>+V43</f>
        <v>0.51449999999999996</v>
      </c>
      <c r="Y43" s="218">
        <f>+X43</f>
        <v>0.51449999999999996</v>
      </c>
      <c r="Z43" s="218">
        <f>+Y43</f>
        <v>0.51449999999999996</v>
      </c>
      <c r="AA43" s="218">
        <f>1.05*Z43</f>
        <v>0.54022499999999996</v>
      </c>
      <c r="AB43" s="145">
        <f>+SUM(X43:AA43)</f>
        <v>2.0837249999999998</v>
      </c>
      <c r="AC43" s="218">
        <f>+AA43</f>
        <v>0.54022499999999996</v>
      </c>
      <c r="AD43" s="218">
        <f>+AC43</f>
        <v>0.54022499999999996</v>
      </c>
      <c r="AE43" s="218">
        <f>+AD43</f>
        <v>0.54022499999999996</v>
      </c>
      <c r="AF43" s="218">
        <f>1*AE43</f>
        <v>0.54022499999999996</v>
      </c>
      <c r="AG43" s="145">
        <f>+SUM(AC43:AF43)</f>
        <v>2.1608999999999998</v>
      </c>
      <c r="AH43" s="218">
        <f>+AF43</f>
        <v>0.54022499999999996</v>
      </c>
      <c r="AI43" s="218">
        <f>+AH43</f>
        <v>0.54022499999999996</v>
      </c>
      <c r="AJ43" s="218">
        <f>+AI43</f>
        <v>0.54022499999999996</v>
      </c>
      <c r="AK43" s="218">
        <f>1.1*AJ43</f>
        <v>0.59424750000000004</v>
      </c>
      <c r="AL43" s="145">
        <f>+SUM(AH43:AK43)</f>
        <v>2.2149225000000001</v>
      </c>
      <c r="AM43" s="218">
        <f>+AK43</f>
        <v>0.59424750000000004</v>
      </c>
      <c r="AN43" s="218">
        <f>+AM43</f>
        <v>0.59424750000000004</v>
      </c>
      <c r="AO43" s="218">
        <f>+AN43</f>
        <v>0.59424750000000004</v>
      </c>
      <c r="AP43" s="218">
        <f>1.07*AO43</f>
        <v>0.63584482500000006</v>
      </c>
      <c r="AQ43" s="145">
        <f>+SUM(AM43:AP43)</f>
        <v>2.4185873250000003</v>
      </c>
    </row>
    <row r="44" spans="1:43" s="186" customFormat="1" x14ac:dyDescent="0.25">
      <c r="A44" s="272"/>
      <c r="B44" s="510"/>
      <c r="C44" s="509" t="s">
        <v>362</v>
      </c>
      <c r="D44" s="511"/>
      <c r="E44" s="512"/>
      <c r="F44" s="513"/>
      <c r="G44" s="512"/>
      <c r="H44" s="514">
        <f>H43/H41</f>
        <v>0.51052122693931912</v>
      </c>
      <c r="I44" s="512"/>
      <c r="J44" s="515"/>
      <c r="K44" s="515"/>
      <c r="L44" s="511"/>
      <c r="M44" s="514">
        <f>M43/M41</f>
        <v>2.1706939657696651</v>
      </c>
      <c r="N44" s="516"/>
      <c r="O44" s="509"/>
      <c r="P44" s="509"/>
      <c r="Q44" s="517"/>
      <c r="R44" s="514">
        <f>R43/R41</f>
        <v>0.60715384557056484</v>
      </c>
      <c r="S44" s="509"/>
      <c r="T44" s="509"/>
      <c r="U44" s="509"/>
      <c r="V44" s="517"/>
      <c r="W44" s="514">
        <f>W43/W41</f>
        <v>0.56910270898350113</v>
      </c>
      <c r="X44" s="509"/>
      <c r="Y44" s="509"/>
      <c r="Z44" s="509"/>
      <c r="AA44" s="518"/>
      <c r="AB44" s="514">
        <f>AB43/AB41</f>
        <v>0.52274416931021994</v>
      </c>
      <c r="AC44" s="509"/>
      <c r="AD44" s="509"/>
      <c r="AE44" s="509"/>
      <c r="AF44" s="517"/>
      <c r="AG44" s="519">
        <f>AG43/AG41</f>
        <v>0.48741141531720295</v>
      </c>
      <c r="AH44" s="509"/>
      <c r="AI44" s="509"/>
      <c r="AJ44" s="509"/>
      <c r="AK44" s="517"/>
      <c r="AL44" s="514">
        <f>AL43/AL41</f>
        <v>0.44911023353463414</v>
      </c>
      <c r="AM44" s="509"/>
      <c r="AN44" s="509"/>
      <c r="AO44" s="509"/>
      <c r="AP44" s="517"/>
      <c r="AQ44" s="514">
        <f>AQ43/AQ41</f>
        <v>0.44290945293040362</v>
      </c>
    </row>
    <row r="45" spans="1:43" ht="15.75" x14ac:dyDescent="0.25">
      <c r="A45" s="254"/>
      <c r="B45" s="565" t="s">
        <v>98</v>
      </c>
      <c r="C45" s="566"/>
      <c r="D45" s="31" t="s">
        <v>106</v>
      </c>
      <c r="E45" s="31" t="s">
        <v>244</v>
      </c>
      <c r="F45" s="31" t="s">
        <v>246</v>
      </c>
      <c r="G45" s="31" t="s">
        <v>337</v>
      </c>
      <c r="H45" s="85" t="s">
        <v>337</v>
      </c>
      <c r="I45" s="31" t="s">
        <v>336</v>
      </c>
      <c r="J45" s="31" t="s">
        <v>335</v>
      </c>
      <c r="K45" s="31" t="s">
        <v>334</v>
      </c>
      <c r="L45" s="31" t="s">
        <v>321</v>
      </c>
      <c r="M45" s="85" t="s">
        <v>321</v>
      </c>
      <c r="N45" s="31" t="s">
        <v>338</v>
      </c>
      <c r="O45" s="31" t="s">
        <v>346</v>
      </c>
      <c r="P45" s="31" t="s">
        <v>348</v>
      </c>
      <c r="Q45" s="33" t="s">
        <v>120</v>
      </c>
      <c r="R45" s="88" t="s">
        <v>120</v>
      </c>
      <c r="S45" s="33" t="s">
        <v>121</v>
      </c>
      <c r="T45" s="33" t="s">
        <v>122</v>
      </c>
      <c r="U45" s="33" t="s">
        <v>123</v>
      </c>
      <c r="V45" s="33" t="s">
        <v>124</v>
      </c>
      <c r="W45" s="88" t="s">
        <v>124</v>
      </c>
      <c r="X45" s="33" t="s">
        <v>125</v>
      </c>
      <c r="Y45" s="33" t="s">
        <v>126</v>
      </c>
      <c r="Z45" s="33" t="s">
        <v>127</v>
      </c>
      <c r="AA45" s="33" t="s">
        <v>128</v>
      </c>
      <c r="AB45" s="88" t="s">
        <v>128</v>
      </c>
      <c r="AC45" s="33" t="s">
        <v>248</v>
      </c>
      <c r="AD45" s="33" t="s">
        <v>249</v>
      </c>
      <c r="AE45" s="33" t="s">
        <v>250</v>
      </c>
      <c r="AF45" s="33" t="s">
        <v>251</v>
      </c>
      <c r="AG45" s="88" t="s">
        <v>251</v>
      </c>
      <c r="AH45" s="33" t="s">
        <v>281</v>
      </c>
      <c r="AI45" s="33" t="s">
        <v>282</v>
      </c>
      <c r="AJ45" s="33" t="s">
        <v>283</v>
      </c>
      <c r="AK45" s="33" t="s">
        <v>284</v>
      </c>
      <c r="AL45" s="88" t="s">
        <v>284</v>
      </c>
      <c r="AM45" s="33" t="s">
        <v>352</v>
      </c>
      <c r="AN45" s="33" t="s">
        <v>353</v>
      </c>
      <c r="AO45" s="33" t="s">
        <v>354</v>
      </c>
      <c r="AP45" s="33" t="s">
        <v>355</v>
      </c>
      <c r="AQ45" s="88" t="s">
        <v>355</v>
      </c>
    </row>
    <row r="46" spans="1:43" ht="17.25" x14ac:dyDescent="0.4">
      <c r="A46" s="254"/>
      <c r="B46" s="567"/>
      <c r="C46" s="568"/>
      <c r="D46" s="32" t="s">
        <v>119</v>
      </c>
      <c r="E46" s="32" t="s">
        <v>243</v>
      </c>
      <c r="F46" s="32" t="s">
        <v>247</v>
      </c>
      <c r="G46" s="32" t="s">
        <v>257</v>
      </c>
      <c r="H46" s="86" t="s">
        <v>258</v>
      </c>
      <c r="I46" s="32" t="s">
        <v>259</v>
      </c>
      <c r="J46" s="32" t="s">
        <v>260</v>
      </c>
      <c r="K46" s="32" t="s">
        <v>261</v>
      </c>
      <c r="L46" s="32" t="s">
        <v>322</v>
      </c>
      <c r="M46" s="86" t="s">
        <v>333</v>
      </c>
      <c r="N46" s="32" t="s">
        <v>339</v>
      </c>
      <c r="O46" s="32" t="s">
        <v>347</v>
      </c>
      <c r="P46" s="32" t="s">
        <v>349</v>
      </c>
      <c r="Q46" s="30" t="s">
        <v>129</v>
      </c>
      <c r="R46" s="89" t="s">
        <v>130</v>
      </c>
      <c r="S46" s="30" t="s">
        <v>131</v>
      </c>
      <c r="T46" s="30" t="s">
        <v>132</v>
      </c>
      <c r="U46" s="30" t="s">
        <v>133</v>
      </c>
      <c r="V46" s="30" t="s">
        <v>134</v>
      </c>
      <c r="W46" s="89" t="s">
        <v>135</v>
      </c>
      <c r="X46" s="30" t="s">
        <v>136</v>
      </c>
      <c r="Y46" s="30" t="s">
        <v>137</v>
      </c>
      <c r="Z46" s="30" t="s">
        <v>138</v>
      </c>
      <c r="AA46" s="30" t="s">
        <v>139</v>
      </c>
      <c r="AB46" s="89" t="s">
        <v>140</v>
      </c>
      <c r="AC46" s="30" t="s">
        <v>252</v>
      </c>
      <c r="AD46" s="30" t="s">
        <v>253</v>
      </c>
      <c r="AE46" s="30" t="s">
        <v>254</v>
      </c>
      <c r="AF46" s="30" t="s">
        <v>255</v>
      </c>
      <c r="AG46" s="89" t="s">
        <v>256</v>
      </c>
      <c r="AH46" s="30" t="s">
        <v>285</v>
      </c>
      <c r="AI46" s="30" t="s">
        <v>286</v>
      </c>
      <c r="AJ46" s="30" t="s">
        <v>287</v>
      </c>
      <c r="AK46" s="30" t="s">
        <v>288</v>
      </c>
      <c r="AL46" s="89" t="s">
        <v>289</v>
      </c>
      <c r="AM46" s="30" t="s">
        <v>356</v>
      </c>
      <c r="AN46" s="30" t="s">
        <v>357</v>
      </c>
      <c r="AO46" s="30" t="s">
        <v>358</v>
      </c>
      <c r="AP46" s="30" t="s">
        <v>359</v>
      </c>
      <c r="AQ46" s="89" t="s">
        <v>360</v>
      </c>
    </row>
    <row r="47" spans="1:43" ht="18" x14ac:dyDescent="0.4">
      <c r="A47" s="254"/>
      <c r="B47" s="587" t="s">
        <v>151</v>
      </c>
      <c r="C47" s="588"/>
      <c r="D47" s="32"/>
      <c r="E47" s="32"/>
      <c r="F47" s="32"/>
      <c r="G47" s="32"/>
      <c r="H47" s="86"/>
      <c r="I47" s="32"/>
      <c r="J47" s="32"/>
      <c r="K47" s="32"/>
      <c r="L47" s="32"/>
      <c r="M47" s="86"/>
      <c r="N47" s="32"/>
      <c r="O47" s="32"/>
      <c r="P47" s="32"/>
      <c r="Q47" s="30"/>
      <c r="R47" s="89"/>
      <c r="S47" s="30"/>
      <c r="T47" s="30"/>
      <c r="U47" s="30"/>
      <c r="V47" s="30"/>
      <c r="W47" s="89"/>
      <c r="X47" s="30"/>
      <c r="Y47" s="30"/>
      <c r="Z47" s="30"/>
      <c r="AA47" s="30"/>
      <c r="AB47" s="89"/>
      <c r="AC47" s="30"/>
      <c r="AD47" s="30"/>
      <c r="AE47" s="30"/>
      <c r="AF47" s="30"/>
      <c r="AG47" s="89"/>
      <c r="AH47" s="30"/>
      <c r="AI47" s="30"/>
      <c r="AJ47" s="30"/>
      <c r="AK47" s="30"/>
      <c r="AL47" s="89"/>
      <c r="AM47" s="30"/>
      <c r="AN47" s="30"/>
      <c r="AO47" s="30"/>
      <c r="AP47" s="30"/>
      <c r="AQ47" s="89"/>
    </row>
    <row r="48" spans="1:43" s="20" customFormat="1" outlineLevel="1" x14ac:dyDescent="0.25">
      <c r="A48" s="269"/>
      <c r="B48" s="589" t="s">
        <v>153</v>
      </c>
      <c r="C48" s="590"/>
      <c r="D48" s="41">
        <v>9777</v>
      </c>
      <c r="E48" s="41">
        <v>9776</v>
      </c>
      <c r="F48" s="283">
        <v>9857</v>
      </c>
      <c r="G48" s="41">
        <v>9974</v>
      </c>
      <c r="H48" s="178"/>
      <c r="I48" s="41">
        <v>10020</v>
      </c>
      <c r="J48" s="41">
        <v>10051</v>
      </c>
      <c r="K48" s="41">
        <v>10017</v>
      </c>
      <c r="L48" s="41">
        <v>10109</v>
      </c>
      <c r="M48" s="178"/>
      <c r="N48" s="41">
        <v>10029</v>
      </c>
      <c r="O48" s="41">
        <f>+N48+O49</f>
        <v>9820</v>
      </c>
      <c r="P48" s="41">
        <f t="shared" ref="P48:Q48" si="84">+O48+P49</f>
        <v>9860</v>
      </c>
      <c r="Q48" s="41">
        <f t="shared" si="84"/>
        <v>9985</v>
      </c>
      <c r="R48" s="479">
        <f>Q48</f>
        <v>9985</v>
      </c>
      <c r="S48" s="41">
        <f>+Q48+S49</f>
        <v>9954</v>
      </c>
      <c r="T48" s="41">
        <f>+S48+T49</f>
        <v>9935.25</v>
      </c>
      <c r="U48" s="41">
        <f t="shared" ref="U48:V48" si="85">+T48+U49</f>
        <v>9964.0625</v>
      </c>
      <c r="V48" s="41">
        <f t="shared" si="85"/>
        <v>9990.078125</v>
      </c>
      <c r="W48" s="479">
        <f>V48</f>
        <v>9990.078125</v>
      </c>
      <c r="X48" s="41">
        <f>+V48+X49</f>
        <v>10064.784482421876</v>
      </c>
      <c r="Y48" s="41">
        <f>+X48+Y49</f>
        <v>10139.490839843751</v>
      </c>
      <c r="Z48" s="41">
        <f t="shared" ref="Z48:AA48" si="86">+Y48+Z49</f>
        <v>10214.197197265627</v>
      </c>
      <c r="AA48" s="41">
        <f t="shared" si="86"/>
        <v>10288.903554687502</v>
      </c>
      <c r="AB48" s="479">
        <f>AA48</f>
        <v>10288.903554687502</v>
      </c>
      <c r="AC48" s="41">
        <f>+AA48+AC49</f>
        <v>10365.229884826662</v>
      </c>
      <c r="AD48" s="41">
        <f>+AC48+AD49</f>
        <v>10441.556214965822</v>
      </c>
      <c r="AE48" s="41">
        <f t="shared" ref="AE48:AF48" si="87">+AD48+AE49</f>
        <v>10517.882545104982</v>
      </c>
      <c r="AF48" s="41">
        <f t="shared" si="87"/>
        <v>10594.208875244141</v>
      </c>
      <c r="AG48" s="479">
        <f>AF48</f>
        <v>10594.208875244141</v>
      </c>
      <c r="AH48" s="41">
        <f>+AF48+AH49</f>
        <v>10670.535205383301</v>
      </c>
      <c r="AI48" s="41">
        <f>+AH48+AI49</f>
        <v>10746.861535522461</v>
      </c>
      <c r="AJ48" s="41">
        <f t="shared" ref="AJ48:AK48" si="88">+AI48+AJ49</f>
        <v>10823.187865661621</v>
      </c>
      <c r="AK48" s="41">
        <f t="shared" si="88"/>
        <v>10899.514195800781</v>
      </c>
      <c r="AL48" s="479">
        <f>AK48</f>
        <v>10899.514195800781</v>
      </c>
      <c r="AM48" s="41">
        <f>+AK48+AM49</f>
        <v>10975.840525939941</v>
      </c>
      <c r="AN48" s="41">
        <f>+AM48+AN49</f>
        <v>11052.1668560791</v>
      </c>
      <c r="AO48" s="41">
        <f t="shared" ref="AO48" si="89">+AN48+AO49</f>
        <v>11128.49318621826</v>
      </c>
      <c r="AP48" s="41">
        <f t="shared" ref="AP48" si="90">+AO48+AP49</f>
        <v>11204.81951635742</v>
      </c>
      <c r="AQ48" s="479">
        <f>AP48</f>
        <v>11204.81951635742</v>
      </c>
    </row>
    <row r="49" spans="1:43" outlineLevel="1" x14ac:dyDescent="0.25">
      <c r="A49" s="254"/>
      <c r="B49" s="466" t="s">
        <v>158</v>
      </c>
      <c r="C49" s="460"/>
      <c r="D49" s="256">
        <f>+D48-9690</f>
        <v>87</v>
      </c>
      <c r="E49" s="256">
        <f>E48-D48</f>
        <v>-1</v>
      </c>
      <c r="F49" s="256">
        <f t="shared" ref="F49:G49" si="91">F48-E48</f>
        <v>81</v>
      </c>
      <c r="G49" s="256">
        <f t="shared" si="91"/>
        <v>117</v>
      </c>
      <c r="H49" s="291">
        <f>+SUM(D49:G49)</f>
        <v>284</v>
      </c>
      <c r="I49" s="256">
        <f>I48-G48</f>
        <v>46</v>
      </c>
      <c r="J49" s="256">
        <f t="shared" ref="J49" si="92">J48-I48</f>
        <v>31</v>
      </c>
      <c r="K49" s="256">
        <f>K48-J48</f>
        <v>-34</v>
      </c>
      <c r="L49" s="256">
        <f>L48-K48</f>
        <v>92</v>
      </c>
      <c r="M49" s="291">
        <f>+SUM(I49:L49)</f>
        <v>135</v>
      </c>
      <c r="N49" s="256">
        <v>-80</v>
      </c>
      <c r="O49" s="256">
        <v>-209</v>
      </c>
      <c r="P49" s="256">
        <v>40</v>
      </c>
      <c r="Q49" s="63">
        <v>125</v>
      </c>
      <c r="R49" s="50">
        <f>+SUM(N49:Q49)</f>
        <v>-124</v>
      </c>
      <c r="S49" s="63">
        <f>AVERAGE(N49,O49,P49,Q49)</f>
        <v>-31</v>
      </c>
      <c r="T49" s="63">
        <f>AVERAGE(O49,P49,Q49,S49)</f>
        <v>-18.75</v>
      </c>
      <c r="U49" s="63">
        <f>AVERAGE(P49,Q49,S49,T49)</f>
        <v>28.8125</v>
      </c>
      <c r="V49" s="63">
        <f>AVERAGE(Q49,S49,T49,U49)</f>
        <v>26.015625</v>
      </c>
      <c r="W49" s="50">
        <f>+SUM(S49:V49)</f>
        <v>5.078125</v>
      </c>
      <c r="X49" s="63">
        <f>0.03/4*AVERAGE(S48:V48)</f>
        <v>74.706357421874998</v>
      </c>
      <c r="Y49" s="63">
        <f>0.03/4*AVERAGE(S48:V48)</f>
        <v>74.706357421874998</v>
      </c>
      <c r="Z49" s="63">
        <f>0.03/4*AVERAGE(S48:V48)</f>
        <v>74.706357421874998</v>
      </c>
      <c r="AA49" s="63">
        <f>0.03/4*AVERAGE(S48:V48)</f>
        <v>74.706357421874998</v>
      </c>
      <c r="AB49" s="50">
        <f>+SUM(X49:AA49)</f>
        <v>298.82542968749999</v>
      </c>
      <c r="AC49" s="63">
        <f>0.03/4*AVERAGE(X48:AA48)</f>
        <v>76.326330139160163</v>
      </c>
      <c r="AD49" s="63">
        <f>0.03/4*AVERAGE(X48:AA48)</f>
        <v>76.326330139160163</v>
      </c>
      <c r="AE49" s="63">
        <f>0.03/4*AVERAGE(X48:AA48)</f>
        <v>76.326330139160163</v>
      </c>
      <c r="AF49" s="63">
        <f>0.03/4*AVERAGE(X48:AA48)</f>
        <v>76.326330139160163</v>
      </c>
      <c r="AG49" s="50">
        <f>+SUM(AC49:AF49)</f>
        <v>305.30532055664065</v>
      </c>
      <c r="AH49" s="63">
        <f>AVERAGE(AC49,AD49,AE49,AF49)</f>
        <v>76.326330139160163</v>
      </c>
      <c r="AI49" s="63">
        <f>AVERAGE(AD49,AE49,AF49,AH49)</f>
        <v>76.326330139160163</v>
      </c>
      <c r="AJ49" s="63">
        <f>AVERAGE(AE49,AF49,AH49,AI49)</f>
        <v>76.326330139160163</v>
      </c>
      <c r="AK49" s="63">
        <f>AVERAGE(AF49,AH49,AI49,AJ49)</f>
        <v>76.326330139160163</v>
      </c>
      <c r="AL49" s="50">
        <f>+SUM(AH49:AK49)</f>
        <v>305.30532055664065</v>
      </c>
      <c r="AM49" s="63">
        <f>AVERAGE(AH49,AI49,AJ49,AK49)</f>
        <v>76.326330139160163</v>
      </c>
      <c r="AN49" s="63">
        <f>AVERAGE(AI49,AJ49,AK49,AM49)</f>
        <v>76.326330139160163</v>
      </c>
      <c r="AO49" s="63">
        <f>AVERAGE(AJ49,AK49,AM49,AN49)</f>
        <v>76.326330139160163</v>
      </c>
      <c r="AP49" s="63">
        <f>AVERAGE(AK49,AM49,AN49,AO49)</f>
        <v>76.326330139160163</v>
      </c>
      <c r="AQ49" s="50">
        <f>+SUM(AM49:AP49)</f>
        <v>305.30532055664065</v>
      </c>
    </row>
    <row r="50" spans="1:43" s="186" customFormat="1" outlineLevel="1" x14ac:dyDescent="0.25">
      <c r="A50" s="272"/>
      <c r="B50" s="187" t="s">
        <v>159</v>
      </c>
      <c r="C50" s="188"/>
      <c r="D50" s="190">
        <v>9527</v>
      </c>
      <c r="E50" s="190">
        <v>9499</v>
      </c>
      <c r="F50" s="190">
        <v>9594</v>
      </c>
      <c r="G50" s="190">
        <v>9690</v>
      </c>
      <c r="H50" s="191"/>
      <c r="I50" s="190">
        <f>D48</f>
        <v>9777</v>
      </c>
      <c r="J50" s="190">
        <f>E48</f>
        <v>9776</v>
      </c>
      <c r="K50" s="190">
        <f>F48</f>
        <v>9857</v>
      </c>
      <c r="L50" s="190">
        <f>G48</f>
        <v>9974</v>
      </c>
      <c r="M50" s="316"/>
      <c r="N50" s="190">
        <f>I48</f>
        <v>10020</v>
      </c>
      <c r="O50" s="190">
        <f>J48</f>
        <v>10051</v>
      </c>
      <c r="P50" s="190">
        <f>K48</f>
        <v>10017</v>
      </c>
      <c r="Q50" s="190">
        <f>L48</f>
        <v>10109</v>
      </c>
      <c r="R50" s="191"/>
      <c r="S50" s="190">
        <f>N48</f>
        <v>10029</v>
      </c>
      <c r="T50" s="190">
        <f>O48</f>
        <v>9820</v>
      </c>
      <c r="U50" s="190">
        <f>P48</f>
        <v>9860</v>
      </c>
      <c r="V50" s="190">
        <f>Q48</f>
        <v>9985</v>
      </c>
      <c r="W50" s="191"/>
      <c r="X50" s="190">
        <f>+AVERAGE(X48,V48,U48,T48)</f>
        <v>9988.5437768554693</v>
      </c>
      <c r="Y50" s="190">
        <f>+AVERAGE(Y48,X48,V48,U48)</f>
        <v>10039.603986816406</v>
      </c>
      <c r="Z50" s="190">
        <f>+AVERAGE(Z48,Y48,X48,V48)</f>
        <v>10102.137661132814</v>
      </c>
      <c r="AA50" s="190">
        <f>+AVERAGE(AA48,Z48,Y48,X48)</f>
        <v>10176.844018554688</v>
      </c>
      <c r="AB50" s="191"/>
      <c r="AC50" s="190">
        <f>+AVERAGE(AC48,AA48,Z48,Y48)</f>
        <v>10251.955369155887</v>
      </c>
      <c r="AD50" s="190">
        <f>+AVERAGE(AD48,AC48,AA48,Z48)</f>
        <v>10327.471712936403</v>
      </c>
      <c r="AE50" s="190">
        <f>+AVERAGE(AE48,AD48,AC48,AA48)</f>
        <v>10403.393049896242</v>
      </c>
      <c r="AF50" s="190">
        <f>+AVERAGE(AF48,AE48,AD48,AC48)</f>
        <v>10479.719380035402</v>
      </c>
      <c r="AG50" s="191"/>
      <c r="AH50" s="190">
        <f>+AVERAGE(AH48,AF48,AE48,AD48)</f>
        <v>10556.045710174561</v>
      </c>
      <c r="AI50" s="190">
        <f>+AVERAGE(AI48,AH48,AF48,AE48)</f>
        <v>10632.372040313721</v>
      </c>
      <c r="AJ50" s="190">
        <f>+AVERAGE(AJ48,AI48,AH48,AF48)</f>
        <v>10708.698370452881</v>
      </c>
      <c r="AK50" s="190">
        <f>+AVERAGE(AK48,AJ48,AI48,AH48)</f>
        <v>10785.024700592041</v>
      </c>
      <c r="AL50" s="191"/>
      <c r="AM50" s="190">
        <f>+AVERAGE(AM48,AK48,AJ48,AI48)</f>
        <v>10861.351030731201</v>
      </c>
      <c r="AN50" s="190">
        <f>+AVERAGE(AN48,AM48,AK48,AJ48)</f>
        <v>10937.677360870359</v>
      </c>
      <c r="AO50" s="190">
        <f>+AVERAGE(AO48,AN48,AM48,AK48)</f>
        <v>11014.00369100952</v>
      </c>
      <c r="AP50" s="190">
        <f>+AVERAGE(AP48,AO48,AN48,AM48)</f>
        <v>11090.330021148682</v>
      </c>
      <c r="AQ50" s="191"/>
    </row>
    <row r="51" spans="1:43" s="186" customFormat="1" outlineLevel="1" x14ac:dyDescent="0.25">
      <c r="A51" s="272"/>
      <c r="B51" s="187" t="s">
        <v>160</v>
      </c>
      <c r="C51" s="188"/>
      <c r="D51" s="192">
        <v>0.42069471068107506</v>
      </c>
      <c r="E51" s="192">
        <v>0.39562181698744753</v>
      </c>
      <c r="F51" s="192">
        <v>0.42259741164000009</v>
      </c>
      <c r="G51" s="192">
        <v>0.4146794606933184</v>
      </c>
      <c r="H51" s="345"/>
      <c r="I51" s="192">
        <v>0.44327906252530785</v>
      </c>
      <c r="J51" s="192">
        <v>0.37960289685783705</v>
      </c>
      <c r="K51" s="192">
        <v>0.26042101009888236</v>
      </c>
      <c r="L51" s="192">
        <f>+G51*(1+L54)</f>
        <v>0.37735830923091979</v>
      </c>
      <c r="M51" s="346"/>
      <c r="N51" s="192">
        <f>+I51*(1+N54)</f>
        <v>0.41668231877378936</v>
      </c>
      <c r="O51" s="192">
        <f>+J51*(1+O54)</f>
        <v>0.4137671575750424</v>
      </c>
      <c r="P51" s="192">
        <f t="shared" ref="P51:Q51" si="93">+K51*(1+P54)</f>
        <v>0.47917465858194347</v>
      </c>
      <c r="Q51" s="192">
        <f t="shared" si="93"/>
        <v>0.47169788653864975</v>
      </c>
      <c r="R51" s="191"/>
      <c r="S51" s="192">
        <f>+N51*(1+S54)</f>
        <v>0.46668419702664415</v>
      </c>
      <c r="T51" s="192">
        <f>+O51*(1+T54)</f>
        <v>0.46341921648404755</v>
      </c>
      <c r="U51" s="192">
        <f t="shared" ref="U51:V51" si="94">+P51*(1+U54)</f>
        <v>0.53188387102595724</v>
      </c>
      <c r="V51" s="192">
        <f t="shared" si="94"/>
        <v>0.50943371746174171</v>
      </c>
      <c r="W51" s="191"/>
      <c r="X51" s="192">
        <f>+S51*(1+X54)</f>
        <v>0.48768498589284309</v>
      </c>
      <c r="Y51" s="192">
        <f>+T51*(1+Y54)</f>
        <v>0.48427308122582963</v>
      </c>
      <c r="Z51" s="192">
        <f t="shared" ref="Z51:AA51" si="95">+U51*(1+Z54)</f>
        <v>0.55581864522212532</v>
      </c>
      <c r="AA51" s="192">
        <f t="shared" si="95"/>
        <v>0.53235823474752009</v>
      </c>
      <c r="AB51" s="191"/>
      <c r="AC51" s="192">
        <f>+X51*(1+AC54)</f>
        <v>0.50963081025802104</v>
      </c>
      <c r="AD51" s="192">
        <f>+Y51*(1+AD54)</f>
        <v>0.50606536988099193</v>
      </c>
      <c r="AE51" s="192">
        <f t="shared" ref="AE51:AF51" si="96">+Z51*(1+AE54)</f>
        <v>0.58083048425712092</v>
      </c>
      <c r="AF51" s="192">
        <f t="shared" si="96"/>
        <v>0.55631435531115847</v>
      </c>
      <c r="AG51" s="191"/>
      <c r="AH51" s="192">
        <f>+AC51*(1+AH54)</f>
        <v>0.5300160426683419</v>
      </c>
      <c r="AI51" s="192">
        <f>+AD51*(1+AI54)</f>
        <v>0.52630798467623163</v>
      </c>
      <c r="AJ51" s="192">
        <f t="shared" ref="AJ51:AK51" si="97">+AE51*(1+AJ54)</f>
        <v>0.6040637036274058</v>
      </c>
      <c r="AK51" s="192">
        <f t="shared" si="97"/>
        <v>0.57856692952360478</v>
      </c>
      <c r="AL51" s="191"/>
      <c r="AM51" s="192">
        <f>+AH51*(1+AM54)</f>
        <v>0.55121668437507565</v>
      </c>
      <c r="AN51" s="192">
        <f>+AI51*(1+AN54)</f>
        <v>0.54736030406328096</v>
      </c>
      <c r="AO51" s="192">
        <f t="shared" ref="AO51" si="98">+AJ51*(1+AO54)</f>
        <v>0.62822625177250202</v>
      </c>
      <c r="AP51" s="192">
        <f t="shared" ref="AP51" si="99">+AK51*(1+AP54)</f>
        <v>0.60170960670454898</v>
      </c>
      <c r="AQ51" s="191"/>
    </row>
    <row r="52" spans="1:43" outlineLevel="1" x14ac:dyDescent="0.25">
      <c r="A52" s="254"/>
      <c r="B52" s="408" t="s">
        <v>156</v>
      </c>
      <c r="C52" s="409"/>
      <c r="D52" s="285">
        <v>0.04</v>
      </c>
      <c r="E52" s="285">
        <v>0</v>
      </c>
      <c r="F52" s="285">
        <v>0.03</v>
      </c>
      <c r="G52" s="285">
        <v>0.03</v>
      </c>
      <c r="H52" s="311"/>
      <c r="I52" s="285">
        <v>0.02</v>
      </c>
      <c r="J52" s="285">
        <v>-7.0000000000000007E-2</v>
      </c>
      <c r="K52" s="285">
        <v>-0.53</v>
      </c>
      <c r="L52" s="56">
        <v>-0.25</v>
      </c>
      <c r="M52" s="311"/>
      <c r="N52" s="285">
        <v>-0.21</v>
      </c>
      <c r="O52" s="285">
        <v>-0.1</v>
      </c>
      <c r="P52" s="285">
        <v>0.82</v>
      </c>
      <c r="Q52" s="56"/>
      <c r="R52" s="54"/>
      <c r="S52" s="56"/>
      <c r="T52" s="56"/>
      <c r="U52" s="56"/>
      <c r="V52" s="56"/>
      <c r="W52" s="54"/>
      <c r="X52" s="56"/>
      <c r="Y52" s="56"/>
      <c r="Z52" s="56"/>
      <c r="AA52" s="56"/>
      <c r="AB52" s="54"/>
      <c r="AC52" s="56"/>
      <c r="AD52" s="56"/>
      <c r="AE52" s="56"/>
      <c r="AF52" s="56"/>
      <c r="AG52" s="54"/>
      <c r="AH52" s="56"/>
      <c r="AI52" s="56"/>
      <c r="AJ52" s="56"/>
      <c r="AK52" s="56"/>
      <c r="AL52" s="54"/>
      <c r="AM52" s="56"/>
      <c r="AN52" s="56"/>
      <c r="AO52" s="56"/>
      <c r="AP52" s="56"/>
      <c r="AQ52" s="54"/>
    </row>
    <row r="53" spans="1:43" outlineLevel="1" x14ac:dyDescent="0.25">
      <c r="A53" s="254"/>
      <c r="B53" s="408" t="s">
        <v>155</v>
      </c>
      <c r="C53" s="409"/>
      <c r="D53" s="359">
        <v>0</v>
      </c>
      <c r="E53" s="359">
        <v>0.04</v>
      </c>
      <c r="F53" s="359">
        <v>0.04</v>
      </c>
      <c r="G53" s="359">
        <v>0.03</v>
      </c>
      <c r="H53" s="347"/>
      <c r="I53" s="359">
        <v>0.03</v>
      </c>
      <c r="J53" s="359">
        <v>0.05</v>
      </c>
      <c r="K53" s="359">
        <v>0.27</v>
      </c>
      <c r="L53" s="180">
        <v>0.21</v>
      </c>
      <c r="M53" s="347"/>
      <c r="N53" s="359">
        <v>0.2</v>
      </c>
      <c r="O53" s="359">
        <v>0.22</v>
      </c>
      <c r="P53" s="359">
        <v>0.01</v>
      </c>
      <c r="Q53" s="180"/>
      <c r="R53" s="181"/>
      <c r="S53" s="180"/>
      <c r="T53" s="180"/>
      <c r="U53" s="180"/>
      <c r="V53" s="180"/>
      <c r="W53" s="181"/>
      <c r="X53" s="180"/>
      <c r="Y53" s="180"/>
      <c r="Z53" s="180"/>
      <c r="AA53" s="180"/>
      <c r="AB53" s="181"/>
      <c r="AC53" s="180"/>
      <c r="AD53" s="180"/>
      <c r="AE53" s="180"/>
      <c r="AF53" s="180"/>
      <c r="AG53" s="181"/>
      <c r="AH53" s="180"/>
      <c r="AI53" s="180"/>
      <c r="AJ53" s="180"/>
      <c r="AK53" s="180"/>
      <c r="AL53" s="181"/>
      <c r="AM53" s="180"/>
      <c r="AN53" s="180"/>
      <c r="AO53" s="180"/>
      <c r="AP53" s="180"/>
      <c r="AQ53" s="181"/>
    </row>
    <row r="54" spans="1:43" s="20" customFormat="1" outlineLevel="1" x14ac:dyDescent="0.25">
      <c r="A54" s="269"/>
      <c r="B54" s="410" t="s">
        <v>157</v>
      </c>
      <c r="C54" s="391"/>
      <c r="D54" s="360">
        <v>0.04</v>
      </c>
      <c r="E54" s="360">
        <v>4.2999999999999997E-2</v>
      </c>
      <c r="F54" s="361">
        <v>7.0000000000000007E-2</v>
      </c>
      <c r="G54" s="360">
        <v>0.06</v>
      </c>
      <c r="H54" s="322"/>
      <c r="I54" s="360">
        <v>0.06</v>
      </c>
      <c r="J54" s="360">
        <v>-0.03</v>
      </c>
      <c r="K54" s="360">
        <v>-0.41</v>
      </c>
      <c r="L54" s="366">
        <v>-0.09</v>
      </c>
      <c r="M54" s="348"/>
      <c r="N54" s="366">
        <v>-0.06</v>
      </c>
      <c r="O54" s="366">
        <v>0.09</v>
      </c>
      <c r="P54" s="360">
        <v>0.84</v>
      </c>
      <c r="Q54" s="492">
        <v>0.25</v>
      </c>
      <c r="R54" s="182"/>
      <c r="S54" s="184">
        <v>0.12</v>
      </c>
      <c r="T54" s="184">
        <v>0.12</v>
      </c>
      <c r="U54" s="184">
        <v>0.11</v>
      </c>
      <c r="V54" s="184">
        <v>0.08</v>
      </c>
      <c r="W54" s="182"/>
      <c r="X54" s="489">
        <v>4.4999999999999998E-2</v>
      </c>
      <c r="Y54" s="489">
        <v>4.4999999999999998E-2</v>
      </c>
      <c r="Z54" s="489">
        <v>4.4999999999999998E-2</v>
      </c>
      <c r="AA54" s="489">
        <v>4.4999999999999998E-2</v>
      </c>
      <c r="AB54" s="182"/>
      <c r="AC54" s="489">
        <v>4.4999999999999998E-2</v>
      </c>
      <c r="AD54" s="489">
        <v>4.4999999999999998E-2</v>
      </c>
      <c r="AE54" s="489">
        <v>4.4999999999999998E-2</v>
      </c>
      <c r="AF54" s="489">
        <v>4.4999999999999998E-2</v>
      </c>
      <c r="AG54" s="182"/>
      <c r="AH54" s="184">
        <v>0.04</v>
      </c>
      <c r="AI54" s="184">
        <v>0.04</v>
      </c>
      <c r="AJ54" s="184">
        <v>0.04</v>
      </c>
      <c r="AK54" s="184">
        <v>0.04</v>
      </c>
      <c r="AL54" s="182"/>
      <c r="AM54" s="184">
        <v>0.04</v>
      </c>
      <c r="AN54" s="184">
        <v>0.04</v>
      </c>
      <c r="AO54" s="184">
        <v>0.04</v>
      </c>
      <c r="AP54" s="184">
        <v>0.04</v>
      </c>
      <c r="AQ54" s="182"/>
    </row>
    <row r="55" spans="1:43" ht="17.25" outlineLevel="1" x14ac:dyDescent="0.4">
      <c r="A55" s="254"/>
      <c r="B55" s="166" t="s">
        <v>186</v>
      </c>
      <c r="C55" s="409"/>
      <c r="D55" s="61">
        <v>84</v>
      </c>
      <c r="E55" s="61">
        <v>92</v>
      </c>
      <c r="F55" s="61">
        <v>128</v>
      </c>
      <c r="G55" s="61">
        <v>146</v>
      </c>
      <c r="H55" s="18"/>
      <c r="I55" s="61">
        <v>137</v>
      </c>
      <c r="J55" s="61">
        <v>153</v>
      </c>
      <c r="K55" s="61">
        <v>2</v>
      </c>
      <c r="L55" s="61">
        <v>112</v>
      </c>
      <c r="M55" s="18"/>
      <c r="N55" s="61">
        <v>110</v>
      </c>
      <c r="O55" s="61">
        <v>110</v>
      </c>
      <c r="P55" s="61">
        <v>130</v>
      </c>
      <c r="Q55" s="490">
        <f>P55+(500*0.8)</f>
        <v>530</v>
      </c>
      <c r="R55" s="18"/>
      <c r="S55" s="61">
        <v>125</v>
      </c>
      <c r="T55" s="61">
        <v>125</v>
      </c>
      <c r="U55" s="61">
        <v>125</v>
      </c>
      <c r="V55" s="61">
        <v>125</v>
      </c>
      <c r="W55" s="18"/>
      <c r="X55" s="61">
        <v>200</v>
      </c>
      <c r="Y55" s="61">
        <v>200</v>
      </c>
      <c r="Z55" s="61">
        <v>200</v>
      </c>
      <c r="AA55" s="61">
        <v>200</v>
      </c>
      <c r="AB55" s="18"/>
      <c r="AC55" s="61">
        <f>AVERAGE(AA55,Z55,Y55,X55)</f>
        <v>200</v>
      </c>
      <c r="AD55" s="61">
        <f>AVERAGE(AC55,AA55,Z55,Y55)</f>
        <v>200</v>
      </c>
      <c r="AE55" s="61">
        <f>AVERAGE(AD55,AC55,AA55,Z55)</f>
        <v>200</v>
      </c>
      <c r="AF55" s="61">
        <f>AVERAGE(AE55,AD55,AC55,AA55)</f>
        <v>200</v>
      </c>
      <c r="AG55" s="18"/>
      <c r="AH55" s="61">
        <f>AVERAGE(AF55,AE55,AD55,AC55)</f>
        <v>200</v>
      </c>
      <c r="AI55" s="61">
        <f>AVERAGE(AH55,AF55,AE55,AD55)</f>
        <v>200</v>
      </c>
      <c r="AJ55" s="61">
        <f>AVERAGE(AI55,AH55,AF55,AE55)</f>
        <v>200</v>
      </c>
      <c r="AK55" s="61">
        <f>AVERAGE(AJ55,AI55,AH55,AF55)</f>
        <v>200</v>
      </c>
      <c r="AL55" s="18"/>
      <c r="AM55" s="61">
        <f>AVERAGE(AK55,AJ55,AI55,AH55)</f>
        <v>200</v>
      </c>
      <c r="AN55" s="61">
        <f>AVERAGE(AM55,AK55,AJ55,AI55)</f>
        <v>200</v>
      </c>
      <c r="AO55" s="61">
        <f>AVERAGE(AN55,AM55,AK55,AJ55)</f>
        <v>200</v>
      </c>
      <c r="AP55" s="61">
        <f>AVERAGE(AO55,AN55,AM55,AK55)</f>
        <v>200</v>
      </c>
      <c r="AQ55" s="18"/>
    </row>
    <row r="56" spans="1:43" s="20" customFormat="1" outlineLevel="1" x14ac:dyDescent="0.25">
      <c r="A56" s="269"/>
      <c r="B56" s="585" t="s">
        <v>168</v>
      </c>
      <c r="C56" s="586"/>
      <c r="D56" s="171">
        <v>4092.2</v>
      </c>
      <c r="E56" s="171">
        <v>3849.6</v>
      </c>
      <c r="F56" s="171">
        <v>4182.2</v>
      </c>
      <c r="G56" s="171">
        <v>4164.2</v>
      </c>
      <c r="H56" s="239">
        <f>SUM(D56:G56)</f>
        <v>16288.2</v>
      </c>
      <c r="I56" s="171">
        <v>4471</v>
      </c>
      <c r="J56" s="171">
        <v>3863.6</v>
      </c>
      <c r="K56" s="259">
        <v>2568.9</v>
      </c>
      <c r="L56" s="171">
        <v>3875.3</v>
      </c>
      <c r="M56" s="239">
        <f>SUM(I56:L56)</f>
        <v>14778.8</v>
      </c>
      <c r="N56" s="171">
        <v>4284.8</v>
      </c>
      <c r="O56" s="171">
        <v>4268.3999999999996</v>
      </c>
      <c r="P56" s="171">
        <v>4929.8</v>
      </c>
      <c r="Q56" s="171">
        <f t="shared" ref="Q56" si="100">+Q50*Q51+Q55</f>
        <v>5298.3939350192104</v>
      </c>
      <c r="R56" s="239">
        <f>SUM(N56:Q56)</f>
        <v>18781.393935019209</v>
      </c>
      <c r="S56" s="171">
        <f>+S50*S51+S55</f>
        <v>4805.3758119802142</v>
      </c>
      <c r="T56" s="171">
        <f>+T50*T51+T55</f>
        <v>4675.7767058733471</v>
      </c>
      <c r="U56" s="171">
        <f t="shared" ref="U56:V56" si="101">+U50*U51+U55</f>
        <v>5369.3749683159385</v>
      </c>
      <c r="V56" s="171">
        <f t="shared" si="101"/>
        <v>5211.695668855491</v>
      </c>
      <c r="W56" s="239">
        <f>SUM(S56:V56)</f>
        <v>20062.223155024993</v>
      </c>
      <c r="X56" s="171">
        <f>+X50*X51+X55</f>
        <v>5071.2628309058055</v>
      </c>
      <c r="Y56" s="171">
        <f>+Y50*Y51+Y55</f>
        <v>5061.909956982704</v>
      </c>
      <c r="Z56" s="171">
        <f t="shared" ref="Z56:AA56" si="102">+Z50*Z51+Z55</f>
        <v>5814.9564686582507</v>
      </c>
      <c r="AA56" s="171">
        <f t="shared" si="102"/>
        <v>5617.7267170186324</v>
      </c>
      <c r="AB56" s="239">
        <f>SUM(X56:AA56)</f>
        <v>21565.855973565394</v>
      </c>
      <c r="AC56" s="171">
        <f>+AC50*AC51+AC55</f>
        <v>5424.7123215119836</v>
      </c>
      <c r="AD56" s="171">
        <f>+AD50*AD51+AD55</f>
        <v>5426.3757923426419</v>
      </c>
      <c r="AE56" s="171">
        <f t="shared" ref="AE56:AF56" si="103">+AE50*AE51+AE55</f>
        <v>6242.6078230884004</v>
      </c>
      <c r="AF56" s="171">
        <f t="shared" si="103"/>
        <v>6030.0183307462476</v>
      </c>
      <c r="AG56" s="239">
        <f>SUM(AC56:AF56)</f>
        <v>23123.714267689273</v>
      </c>
      <c r="AH56" s="171">
        <f>+AH50*AH51+AH55</f>
        <v>5794.8735735328482</v>
      </c>
      <c r="AI56" s="171">
        <f>+AI50*AI51+AI55</f>
        <v>5795.9023008654276</v>
      </c>
      <c r="AJ56" s="171">
        <f t="shared" ref="AJ56:AK56" si="104">+AJ50*AJ51+AJ55</f>
        <v>6668.7359986845322</v>
      </c>
      <c r="AK56" s="171">
        <f t="shared" si="104"/>
        <v>6439.8586258577725</v>
      </c>
      <c r="AL56" s="239">
        <f>SUM(AH56:AK56)</f>
        <v>24699.370498940581</v>
      </c>
      <c r="AM56" s="171">
        <f>+AM50*AM51+AM55</f>
        <v>6186.957902993463</v>
      </c>
      <c r="AN56" s="171">
        <f>+AN50*AN51+AN55</f>
        <v>6186.8504059920642</v>
      </c>
      <c r="AO56" s="171">
        <f t="shared" ref="AO56:AP56" si="105">+AO50*AO51+AO55</f>
        <v>7119.2862558114139</v>
      </c>
      <c r="AP56" s="171">
        <f t="shared" si="105"/>
        <v>6873.1581152490262</v>
      </c>
      <c r="AQ56" s="239">
        <f>SUM(AM56:AP56)</f>
        <v>26366.252680045967</v>
      </c>
    </row>
    <row r="57" spans="1:43" s="20" customFormat="1" outlineLevel="1" x14ac:dyDescent="0.25">
      <c r="A57" s="269"/>
      <c r="B57" s="193" t="s">
        <v>163</v>
      </c>
      <c r="C57" s="391"/>
      <c r="D57" s="197">
        <f>+D56/D48</f>
        <v>0.41855374859363809</v>
      </c>
      <c r="E57" s="197">
        <f t="shared" ref="E57:G57" si="106">+E56/E48</f>
        <v>0.39378068739770866</v>
      </c>
      <c r="F57" s="197">
        <f t="shared" si="106"/>
        <v>0.42428730851171753</v>
      </c>
      <c r="G57" s="197">
        <f t="shared" si="106"/>
        <v>0.4175055143372769</v>
      </c>
      <c r="H57" s="183"/>
      <c r="I57" s="197">
        <f t="shared" ref="I57:L57" si="107">+I56/I48</f>
        <v>0.44620758483033934</v>
      </c>
      <c r="J57" s="197">
        <f t="shared" si="107"/>
        <v>0.38439956223261368</v>
      </c>
      <c r="K57" s="197">
        <f>+K56/K48</f>
        <v>0.25645402815214136</v>
      </c>
      <c r="L57" s="197">
        <f t="shared" si="107"/>
        <v>0.38335146898803046</v>
      </c>
      <c r="M57" s="183"/>
      <c r="N57" s="197">
        <f t="shared" ref="N57:Q57" si="108">+N56/N48</f>
        <v>0.42724100109681923</v>
      </c>
      <c r="O57" s="197">
        <f>+O56/O48</f>
        <v>0.43466395112016287</v>
      </c>
      <c r="P57" s="197">
        <f t="shared" si="108"/>
        <v>0.49997971602434077</v>
      </c>
      <c r="Q57" s="197">
        <f t="shared" si="108"/>
        <v>0.53063534652170363</v>
      </c>
      <c r="R57" s="183"/>
      <c r="S57" s="197">
        <f t="shared" ref="S57:V57" si="109">+S56/S48</f>
        <v>0.48275826923650939</v>
      </c>
      <c r="T57" s="197">
        <f t="shared" si="109"/>
        <v>0.47062496725028025</v>
      </c>
      <c r="U57" s="197">
        <f t="shared" si="109"/>
        <v>0.53887407554056777</v>
      </c>
      <c r="V57" s="197">
        <f t="shared" si="109"/>
        <v>0.52168717838285084</v>
      </c>
      <c r="W57" s="183"/>
      <c r="X57" s="197">
        <f t="shared" ref="X57:AA57" si="110">+X56/X48</f>
        <v>0.50386203895003967</v>
      </c>
      <c r="Y57" s="197">
        <f t="shared" si="110"/>
        <v>0.49922723309651984</v>
      </c>
      <c r="Z57" s="197">
        <f t="shared" si="110"/>
        <v>0.56930137105781875</v>
      </c>
      <c r="AA57" s="197">
        <f t="shared" si="110"/>
        <v>0.54599857867841151</v>
      </c>
      <c r="AB57" s="183"/>
      <c r="AC57" s="197">
        <f t="shared" ref="AC57:AF57" si="111">+AC56/AC48</f>
        <v>0.52335668207929009</v>
      </c>
      <c r="AD57" s="197">
        <f t="shared" si="111"/>
        <v>0.51969032973888019</v>
      </c>
      <c r="AE57" s="197">
        <f t="shared" si="111"/>
        <v>0.59352324922032029</v>
      </c>
      <c r="AF57" s="197">
        <f t="shared" si="111"/>
        <v>0.56918061572646561</v>
      </c>
      <c r="AG57" s="183"/>
      <c r="AH57" s="197">
        <f t="shared" ref="AH57:AK57" si="112">+AH56/AH48</f>
        <v>0.54307243844801012</v>
      </c>
      <c r="AI57" s="197">
        <f t="shared" si="112"/>
        <v>0.53931115439682253</v>
      </c>
      <c r="AJ57" s="197">
        <f t="shared" si="112"/>
        <v>0.61615266051531969</v>
      </c>
      <c r="AK57" s="197">
        <f t="shared" si="112"/>
        <v>0.59083905118806446</v>
      </c>
      <c r="AL57" s="183"/>
      <c r="AM57" s="197">
        <f t="shared" ref="AM57:AP57" si="113">+AM56/AM48</f>
        <v>0.56368875699053844</v>
      </c>
      <c r="AN57" s="197">
        <f t="shared" si="113"/>
        <v>0.55978619274907782</v>
      </c>
      <c r="AO57" s="197">
        <f t="shared" si="113"/>
        <v>0.63973497010611236</v>
      </c>
      <c r="AP57" s="197">
        <f t="shared" si="113"/>
        <v>0.61341087245673231</v>
      </c>
      <c r="AQ57" s="183"/>
    </row>
    <row r="58" spans="1:43" s="186" customFormat="1" outlineLevel="1" x14ac:dyDescent="0.25">
      <c r="A58" s="272"/>
      <c r="B58" s="193" t="s">
        <v>161</v>
      </c>
      <c r="C58" s="194"/>
      <c r="D58" s="189">
        <f>ROUND((+D56-D55-(D50*D51)),0)</f>
        <v>0</v>
      </c>
      <c r="E58" s="195">
        <f>ROUND((+E56-E55-(E50*E51)),0)</f>
        <v>0</v>
      </c>
      <c r="F58" s="275">
        <f>ROUND((+F56-F55-(F50*F51)),0)</f>
        <v>0</v>
      </c>
      <c r="G58" s="195">
        <f>ROUND((+G56-G55-(G50*G51)),0)</f>
        <v>0</v>
      </c>
      <c r="H58" s="196"/>
      <c r="I58" s="195">
        <f>ROUND((+I56-I55-(I50*I51)),0)</f>
        <v>0</v>
      </c>
      <c r="J58" s="195">
        <f>ROUND((+J56-J55-(J50*J51)),0)</f>
        <v>0</v>
      </c>
      <c r="K58" s="195">
        <f>ROUND((+K56-K55-(K50*K51)),0)</f>
        <v>0</v>
      </c>
      <c r="L58" s="195">
        <f>ROUND((+L56-L55-(L50*L51)),0)</f>
        <v>0</v>
      </c>
      <c r="M58" s="196"/>
      <c r="N58" s="195">
        <f>ROUND((+N56-N55-(N50*N51)),0)</f>
        <v>0</v>
      </c>
      <c r="O58" s="195">
        <f>ROUND((+O56-O55-(O50*O51)),0)</f>
        <v>0</v>
      </c>
      <c r="P58" s="195">
        <f>ROUND((+P56-P55-(P50*P51)),0)</f>
        <v>0</v>
      </c>
      <c r="Q58" s="195">
        <f>ROUND((+Q56-Q55-(Q50*Q51)),0)</f>
        <v>0</v>
      </c>
      <c r="R58" s="196"/>
      <c r="S58" s="195">
        <f>ROUND((+S56-S55-(S50*S51)),0)</f>
        <v>0</v>
      </c>
      <c r="T58" s="195">
        <f>ROUND((+T56-T55-(T50*T51)),0)</f>
        <v>0</v>
      </c>
      <c r="U58" s="195">
        <f>ROUND((+U56-U55-(U50*U51)),0)</f>
        <v>0</v>
      </c>
      <c r="V58" s="195">
        <f>ROUND((+V56-V55-(V50*V51)),0)</f>
        <v>0</v>
      </c>
      <c r="W58" s="196"/>
      <c r="X58" s="195">
        <f>ROUND((+X56-X55-(X50*X51)),0)</f>
        <v>0</v>
      </c>
      <c r="Y58" s="195">
        <f>ROUND((+Y56-Y55-(Y50*Y51)),0)</f>
        <v>0</v>
      </c>
      <c r="Z58" s="195">
        <f>ROUND((+Z56-Z55-(Z50*Z51)),0)</f>
        <v>0</v>
      </c>
      <c r="AA58" s="195">
        <f>ROUND((+AA56-AA55-(AA50*AA51)),0)</f>
        <v>0</v>
      </c>
      <c r="AB58" s="196"/>
      <c r="AC58" s="195">
        <f>ROUND((+AC56-AC55-(AC50*AC51)),0)</f>
        <v>0</v>
      </c>
      <c r="AD58" s="195">
        <f>ROUND((+AD56-AD55-(AD50*AD51)),0)</f>
        <v>0</v>
      </c>
      <c r="AE58" s="195">
        <f>ROUND((+AE56-AE55-(AE50*AE51)),0)</f>
        <v>0</v>
      </c>
      <c r="AF58" s="195">
        <f>ROUND((+AF56-AF55-(AF50*AF51)),0)</f>
        <v>0</v>
      </c>
      <c r="AG58" s="196"/>
      <c r="AH58" s="195">
        <f>ROUND((+AH56-AH55-(AH50*AH51)),0)</f>
        <v>0</v>
      </c>
      <c r="AI58" s="195">
        <f>ROUND((+AI56-AI55-(AI50*AI51)),0)</f>
        <v>0</v>
      </c>
      <c r="AJ58" s="195">
        <f>ROUND((+AJ56-AJ55-(AJ50*AJ51)),0)</f>
        <v>0</v>
      </c>
      <c r="AK58" s="195">
        <f>ROUND((+AK56-AK55-(AK50*AK51)),0)</f>
        <v>0</v>
      </c>
      <c r="AL58" s="196"/>
      <c r="AM58" s="195">
        <f>ROUND((+AM56-AM55-(AM50*AM51)),0)</f>
        <v>0</v>
      </c>
      <c r="AN58" s="195">
        <f>ROUND((+AN56-AN55-(AN50*AN51)),0)</f>
        <v>0</v>
      </c>
      <c r="AO58" s="195">
        <f>ROUND((+AO56-AO55-(AO50*AO51)),0)</f>
        <v>0</v>
      </c>
      <c r="AP58" s="195">
        <f>ROUND((+AP56-AP55-(AP50*AP51)),0)</f>
        <v>0</v>
      </c>
      <c r="AQ58" s="196"/>
    </row>
    <row r="59" spans="1:43" s="20" customFormat="1" outlineLevel="1" x14ac:dyDescent="0.25">
      <c r="A59" s="269"/>
      <c r="B59" s="603" t="s">
        <v>154</v>
      </c>
      <c r="C59" s="604"/>
      <c r="D59" s="198">
        <v>7876</v>
      </c>
      <c r="E59" s="198">
        <v>7943</v>
      </c>
      <c r="F59" s="284">
        <v>7996</v>
      </c>
      <c r="G59" s="198">
        <v>8093</v>
      </c>
      <c r="H59" s="199"/>
      <c r="I59" s="198">
        <v>8183</v>
      </c>
      <c r="J59" s="198">
        <v>8220</v>
      </c>
      <c r="K59" s="198">
        <v>8218</v>
      </c>
      <c r="L59" s="198">
        <v>8245</v>
      </c>
      <c r="M59" s="199"/>
      <c r="N59" s="198">
        <v>8279</v>
      </c>
      <c r="O59" s="198">
        <f>+N59+O60</f>
        <v>8300</v>
      </c>
      <c r="P59" s="198">
        <f t="shared" ref="P59:Q59" si="114">+O59+P60</f>
        <v>8315</v>
      </c>
      <c r="Q59" s="198">
        <f t="shared" si="114"/>
        <v>8369</v>
      </c>
      <c r="R59" s="480">
        <f>Q59</f>
        <v>8369</v>
      </c>
      <c r="S59" s="198">
        <f>+Q59+S60</f>
        <v>8400</v>
      </c>
      <c r="T59" s="198">
        <f>+S59+T60</f>
        <v>8430.25</v>
      </c>
      <c r="U59" s="198">
        <f t="shared" ref="U59:V59" si="115">+T59+U60</f>
        <v>8462.8125</v>
      </c>
      <c r="V59" s="198">
        <f t="shared" si="115"/>
        <v>8499.765625</v>
      </c>
      <c r="W59" s="480">
        <f>V59</f>
        <v>8499.765625</v>
      </c>
      <c r="X59" s="198">
        <f>+V59+X60</f>
        <v>8563.1271777343754</v>
      </c>
      <c r="Y59" s="198">
        <f>+X59+Y60</f>
        <v>8626.4887304687509</v>
      </c>
      <c r="Z59" s="198">
        <f t="shared" ref="Z59:AA59" si="116">+Y59+Z60</f>
        <v>8689.8502832031263</v>
      </c>
      <c r="AA59" s="198">
        <f t="shared" si="116"/>
        <v>8753.2118359375017</v>
      </c>
      <c r="AB59" s="480">
        <f>AA59</f>
        <v>8753.2118359375017</v>
      </c>
      <c r="AC59" s="198">
        <f>+AA59+AC60</f>
        <v>8818.1481072387705</v>
      </c>
      <c r="AD59" s="198">
        <f>+AC59+AD60</f>
        <v>8883.0843785400393</v>
      </c>
      <c r="AE59" s="198">
        <f t="shared" ref="AE59:AF59" si="117">+AD59+AE60</f>
        <v>8948.0206498413081</v>
      </c>
      <c r="AF59" s="198">
        <f t="shared" si="117"/>
        <v>9012.9569211425769</v>
      </c>
      <c r="AG59" s="480">
        <f>AF59</f>
        <v>9012.9569211425769</v>
      </c>
      <c r="AH59" s="198">
        <f>+AF59+AH60</f>
        <v>9077.8931924438457</v>
      </c>
      <c r="AI59" s="198">
        <f>+AH59+AI60</f>
        <v>9142.8294637451145</v>
      </c>
      <c r="AJ59" s="198">
        <f t="shared" ref="AJ59:AK59" si="118">+AI59+AJ60</f>
        <v>9207.7657350463833</v>
      </c>
      <c r="AK59" s="198">
        <f t="shared" si="118"/>
        <v>9272.7020063476521</v>
      </c>
      <c r="AL59" s="480">
        <f>AK59</f>
        <v>9272.7020063476521</v>
      </c>
      <c r="AM59" s="198">
        <f>+AK59+AM60</f>
        <v>9337.6382776489208</v>
      </c>
      <c r="AN59" s="198">
        <f>+AM59+AN60</f>
        <v>9402.5745489501896</v>
      </c>
      <c r="AO59" s="198">
        <f t="shared" ref="AO59" si="119">+AN59+AO60</f>
        <v>9467.5108202514584</v>
      </c>
      <c r="AP59" s="198">
        <f t="shared" ref="AP59" si="120">+AO59+AP60</f>
        <v>9532.4470915527272</v>
      </c>
      <c r="AQ59" s="480">
        <f>AP59</f>
        <v>9532.4470915527272</v>
      </c>
    </row>
    <row r="60" spans="1:43" outlineLevel="1" x14ac:dyDescent="0.25">
      <c r="A60" s="254"/>
      <c r="B60" s="466" t="s">
        <v>162</v>
      </c>
      <c r="C60" s="460"/>
      <c r="D60" s="256">
        <f>+D59-7770</f>
        <v>106</v>
      </c>
      <c r="E60" s="256">
        <f>E59-D59</f>
        <v>67</v>
      </c>
      <c r="F60" s="256">
        <f t="shared" ref="F60:G60" si="121">F59-E59</f>
        <v>53</v>
      </c>
      <c r="G60" s="256">
        <f t="shared" si="121"/>
        <v>97</v>
      </c>
      <c r="H60" s="291">
        <f>+SUM(D60:G60)</f>
        <v>323</v>
      </c>
      <c r="I60" s="256">
        <f>I59-G59</f>
        <v>90</v>
      </c>
      <c r="J60" s="256">
        <f t="shared" ref="J60:L60" si="122">J59-I59</f>
        <v>37</v>
      </c>
      <c r="K60" s="256">
        <f t="shared" si="122"/>
        <v>-2</v>
      </c>
      <c r="L60" s="256">
        <f t="shared" si="122"/>
        <v>27</v>
      </c>
      <c r="M60" s="291">
        <f>+SUM(I60:L60)</f>
        <v>152</v>
      </c>
      <c r="N60" s="256">
        <v>34</v>
      </c>
      <c r="O60" s="256">
        <v>21</v>
      </c>
      <c r="P60" s="256">
        <v>15</v>
      </c>
      <c r="Q60" s="63">
        <v>54</v>
      </c>
      <c r="R60" s="50">
        <f>+SUM(N60:Q60)</f>
        <v>124</v>
      </c>
      <c r="S60" s="63">
        <f>AVERAGE(N60,O60,P60,Q60)</f>
        <v>31</v>
      </c>
      <c r="T60" s="63">
        <f>AVERAGE(O60,P60,Q60,S60)</f>
        <v>30.25</v>
      </c>
      <c r="U60" s="63">
        <f>AVERAGE(P60,Q60,S60,T60)</f>
        <v>32.5625</v>
      </c>
      <c r="V60" s="63">
        <f>AVERAGE(Q60,S60,T60,U60)</f>
        <v>36.953125</v>
      </c>
      <c r="W60" s="50">
        <f>+SUM(S60:V60)</f>
        <v>130.765625</v>
      </c>
      <c r="X60" s="63">
        <f>0.03/4*AVERAGE(S59:V59)</f>
        <v>63.361552734374996</v>
      </c>
      <c r="Y60" s="63">
        <f>0.03/4*AVERAGE(S59:V59)</f>
        <v>63.361552734374996</v>
      </c>
      <c r="Z60" s="63">
        <f>0.03/4*AVERAGE(S59:V59)</f>
        <v>63.361552734374996</v>
      </c>
      <c r="AA60" s="63">
        <f>0.03/4*AVERAGE(S59:V59)</f>
        <v>63.361552734374996</v>
      </c>
      <c r="AB60" s="50">
        <f>+SUM(X60:AA60)</f>
        <v>253.44621093749998</v>
      </c>
      <c r="AC60" s="63">
        <f>0.03/4*AVERAGE(X59:AA59)</f>
        <v>64.936271301269542</v>
      </c>
      <c r="AD60" s="63">
        <f>0.03/4*AVERAGE(X59:AA59)</f>
        <v>64.936271301269542</v>
      </c>
      <c r="AE60" s="63">
        <f>0.03/4*AVERAGE(X59:AA59)</f>
        <v>64.936271301269542</v>
      </c>
      <c r="AF60" s="63">
        <f>0.03/4*AVERAGE(X59:AA59)</f>
        <v>64.936271301269542</v>
      </c>
      <c r="AG60" s="50">
        <f>+SUM(AC60:AF60)</f>
        <v>259.74508520507817</v>
      </c>
      <c r="AH60" s="63">
        <f>AVERAGE(AC60,AD60,AE60,AF60)</f>
        <v>64.936271301269542</v>
      </c>
      <c r="AI60" s="63">
        <f>AVERAGE(AD60,AE60,AF60,AH60)</f>
        <v>64.936271301269542</v>
      </c>
      <c r="AJ60" s="63">
        <f>AVERAGE(AE60,AF60,AH60,AI60)</f>
        <v>64.936271301269542</v>
      </c>
      <c r="AK60" s="63">
        <f>AVERAGE(AF60,AH60,AI60,AJ60)</f>
        <v>64.936271301269542</v>
      </c>
      <c r="AL60" s="50">
        <f>+SUM(AH60:AK60)</f>
        <v>259.74508520507817</v>
      </c>
      <c r="AM60" s="63">
        <f>AVERAGE(AH60,AI60,AJ60,AK60)</f>
        <v>64.936271301269542</v>
      </c>
      <c r="AN60" s="63">
        <f>AVERAGE(AI60,AJ60,AK60,AM60)</f>
        <v>64.936271301269542</v>
      </c>
      <c r="AO60" s="63">
        <f>AVERAGE(AJ60,AK60,AM60,AN60)</f>
        <v>64.936271301269542</v>
      </c>
      <c r="AP60" s="63">
        <f>AVERAGE(AK60,AM60,AN60,AO60)</f>
        <v>64.936271301269542</v>
      </c>
      <c r="AQ60" s="50">
        <f>+SUM(AM60:AP60)</f>
        <v>259.74508520507817</v>
      </c>
    </row>
    <row r="61" spans="1:43" outlineLevel="1" x14ac:dyDescent="0.25">
      <c r="A61" s="254"/>
      <c r="B61" s="408" t="s">
        <v>165</v>
      </c>
      <c r="C61" s="395"/>
      <c r="D61" s="34">
        <f>AVERAGE(D59,7770)</f>
        <v>7823</v>
      </c>
      <c r="E61" s="34">
        <f>AVERAGE(E59,D59)</f>
        <v>7909.5</v>
      </c>
      <c r="F61" s="34">
        <f t="shared" ref="F61:G61" si="123">AVERAGE(F59,E59)</f>
        <v>7969.5</v>
      </c>
      <c r="G61" s="34">
        <f t="shared" si="123"/>
        <v>8044.5</v>
      </c>
      <c r="H61" s="50"/>
      <c r="I61" s="34">
        <f>AVERAGE(I59,G59)</f>
        <v>8138</v>
      </c>
      <c r="J61" s="34">
        <f>AVERAGE(J59,I59)</f>
        <v>8201.5</v>
      </c>
      <c r="K61" s="34">
        <f t="shared" ref="K61:L61" si="124">AVERAGE(K59,J59)</f>
        <v>8219</v>
      </c>
      <c r="L61" s="34">
        <f t="shared" si="124"/>
        <v>8231.5</v>
      </c>
      <c r="M61" s="18"/>
      <c r="N61" s="34">
        <f>AVERAGE(N59,L59)</f>
        <v>8262</v>
      </c>
      <c r="O61" s="34">
        <f>AVERAGE(O59,N59)</f>
        <v>8289.5</v>
      </c>
      <c r="P61" s="34">
        <f t="shared" ref="P61:Q61" si="125">AVERAGE(P59,O59)</f>
        <v>8307.5</v>
      </c>
      <c r="Q61" s="34">
        <f t="shared" si="125"/>
        <v>8342</v>
      </c>
      <c r="R61" s="18"/>
      <c r="S61" s="34">
        <f>AVERAGE(S59,Q59)</f>
        <v>8384.5</v>
      </c>
      <c r="T61" s="34">
        <f>AVERAGE(T59,S59)</f>
        <v>8415.125</v>
      </c>
      <c r="U61" s="34">
        <f t="shared" ref="U61:V61" si="126">AVERAGE(U59,T59)</f>
        <v>8446.53125</v>
      </c>
      <c r="V61" s="34">
        <f t="shared" si="126"/>
        <v>8481.2890625</v>
      </c>
      <c r="W61" s="18"/>
      <c r="X61" s="34">
        <f>AVERAGE(X59,V59)</f>
        <v>8531.4464013671877</v>
      </c>
      <c r="Y61" s="34">
        <f>AVERAGE(Y59,X59)</f>
        <v>8594.8079541015632</v>
      </c>
      <c r="Z61" s="34">
        <f t="shared" ref="Z61:AA61" si="127">AVERAGE(Z59,Y59)</f>
        <v>8658.1695068359386</v>
      </c>
      <c r="AA61" s="34">
        <f t="shared" si="127"/>
        <v>8721.531059570314</v>
      </c>
      <c r="AB61" s="18"/>
      <c r="AC61" s="34">
        <f>AVERAGE(AC59,AA59)</f>
        <v>8785.6799715881352</v>
      </c>
      <c r="AD61" s="34">
        <f>AVERAGE(AD59,AC59)</f>
        <v>8850.6162428894058</v>
      </c>
      <c r="AE61" s="34">
        <f t="shared" ref="AE61:AF61" si="128">AVERAGE(AE59,AD59)</f>
        <v>8915.5525141906728</v>
      </c>
      <c r="AF61" s="34">
        <f t="shared" si="128"/>
        <v>8980.4887854919434</v>
      </c>
      <c r="AG61" s="18"/>
      <c r="AH61" s="34">
        <f>AVERAGE(AH59,AF59)</f>
        <v>9045.4250567932104</v>
      </c>
      <c r="AI61" s="34">
        <f>AVERAGE(AI59,AH59)</f>
        <v>9110.361328094481</v>
      </c>
      <c r="AJ61" s="34">
        <f t="shared" ref="AJ61:AK61" si="129">AVERAGE(AJ59,AI59)</f>
        <v>9175.297599395748</v>
      </c>
      <c r="AK61" s="34">
        <f t="shared" si="129"/>
        <v>9240.2338706970186</v>
      </c>
      <c r="AL61" s="18"/>
      <c r="AM61" s="34">
        <f>AVERAGE(AM59,AK59)</f>
        <v>9305.1701419982855</v>
      </c>
      <c r="AN61" s="34">
        <f>AVERAGE(AN59,AM59)</f>
        <v>9370.1064132995562</v>
      </c>
      <c r="AO61" s="34">
        <f t="shared" ref="AO61" si="130">AVERAGE(AO59,AN59)</f>
        <v>9435.0426846008231</v>
      </c>
      <c r="AP61" s="34">
        <f t="shared" ref="AP61" si="131">AVERAGE(AP59,AO59)</f>
        <v>9499.9789559020937</v>
      </c>
      <c r="AQ61" s="18"/>
    </row>
    <row r="62" spans="1:43" outlineLevel="1" x14ac:dyDescent="0.25">
      <c r="A62" s="254"/>
      <c r="B62" s="408" t="s">
        <v>164</v>
      </c>
      <c r="C62" s="395"/>
      <c r="D62" s="107">
        <f>+D63/D61</f>
        <v>6.5780391154288645E-2</v>
      </c>
      <c r="E62" s="107">
        <f>+E63/E61</f>
        <v>5.8549845122953414E-2</v>
      </c>
      <c r="F62" s="107">
        <f>+F63/F61</f>
        <v>6.2274923144488362E-2</v>
      </c>
      <c r="G62" s="278">
        <f t="shared" ref="G62:P62" si="132">+G63/G61</f>
        <v>6.016533034992852E-2</v>
      </c>
      <c r="H62" s="310"/>
      <c r="I62" s="278">
        <f t="shared" si="132"/>
        <v>6.6023593020398133E-2</v>
      </c>
      <c r="J62" s="278">
        <f t="shared" si="132"/>
        <v>5.6599402548314331E-2</v>
      </c>
      <c r="K62" s="278">
        <f t="shared" si="132"/>
        <v>2.8653120817617714E-2</v>
      </c>
      <c r="L62" s="278">
        <f t="shared" si="132"/>
        <v>4.3236348174694766E-2</v>
      </c>
      <c r="M62" s="18"/>
      <c r="N62" s="278">
        <f t="shared" si="132"/>
        <v>5.037521181312031E-2</v>
      </c>
      <c r="O62" s="278">
        <f t="shared" si="132"/>
        <v>4.7554134748778572E-2</v>
      </c>
      <c r="P62" s="278">
        <f t="shared" si="132"/>
        <v>5.6394823954258204E-2</v>
      </c>
      <c r="Q62" s="185">
        <v>7.0000000000000007E-2</v>
      </c>
      <c r="R62" s="18"/>
      <c r="S62" s="185">
        <v>6.5000000000000002E-2</v>
      </c>
      <c r="T62" s="185">
        <v>0.06</v>
      </c>
      <c r="U62" s="185">
        <v>0.06</v>
      </c>
      <c r="V62" s="185">
        <v>7.0000000000000007E-2</v>
      </c>
      <c r="W62" s="18"/>
      <c r="X62" s="185">
        <f>+S62*(1+2.25%)</f>
        <v>6.6462499999999994E-2</v>
      </c>
      <c r="Y62" s="185">
        <f>+T62*(1+2.25%)</f>
        <v>6.1349999999999995E-2</v>
      </c>
      <c r="Z62" s="185">
        <f>+U62*(1+2.25%)</f>
        <v>6.1349999999999995E-2</v>
      </c>
      <c r="AA62" s="185">
        <f>+V62*(1+2.25%)</f>
        <v>7.1575E-2</v>
      </c>
      <c r="AB62" s="18"/>
      <c r="AC62" s="185">
        <f>+X62*(1+2.25%)</f>
        <v>6.7957906249999991E-2</v>
      </c>
      <c r="AD62" s="185">
        <f>+Y62*(1+2.25%)</f>
        <v>6.2730374999999991E-2</v>
      </c>
      <c r="AE62" s="185">
        <f>+Z62*(1+2.25%)</f>
        <v>6.2730374999999991E-2</v>
      </c>
      <c r="AF62" s="185">
        <f>+AA62*(1+2.25%)</f>
        <v>7.3185437499999992E-2</v>
      </c>
      <c r="AG62" s="18"/>
      <c r="AH62" s="185">
        <f>+AC62*(1+2.25%)</f>
        <v>6.9486959140624985E-2</v>
      </c>
      <c r="AI62" s="185">
        <f>+AD62*(1+2.25%)</f>
        <v>6.4141808437499989E-2</v>
      </c>
      <c r="AJ62" s="185">
        <f>+AE62*(1+2.25%)</f>
        <v>6.4141808437499989E-2</v>
      </c>
      <c r="AK62" s="185">
        <f>+AF62*(1+2.25%)</f>
        <v>7.4832109843749994E-2</v>
      </c>
      <c r="AL62" s="18"/>
      <c r="AM62" s="185">
        <f>+AH62*(1+2.25%)</f>
        <v>7.1050415721289048E-2</v>
      </c>
      <c r="AN62" s="185">
        <f>+AI62*(1+2.25%)</f>
        <v>6.5584999127343738E-2</v>
      </c>
      <c r="AO62" s="185">
        <f>+AJ62*(1+2.25%)</f>
        <v>6.5584999127343738E-2</v>
      </c>
      <c r="AP62" s="185">
        <f>+AK62*(1+2.25%)</f>
        <v>7.6515832315234372E-2</v>
      </c>
      <c r="AQ62" s="18"/>
    </row>
    <row r="63" spans="1:43" s="20" customFormat="1" outlineLevel="1" x14ac:dyDescent="0.25">
      <c r="A63" s="269"/>
      <c r="B63" s="599" t="s">
        <v>167</v>
      </c>
      <c r="C63" s="600"/>
      <c r="D63" s="279">
        <v>514.6</v>
      </c>
      <c r="E63" s="279">
        <v>463.1</v>
      </c>
      <c r="F63" s="279">
        <v>496.3</v>
      </c>
      <c r="G63" s="279">
        <v>484</v>
      </c>
      <c r="H63" s="362"/>
      <c r="I63" s="279">
        <v>537.29999999999995</v>
      </c>
      <c r="J63" s="279">
        <v>464.2</v>
      </c>
      <c r="K63" s="279">
        <v>235.5</v>
      </c>
      <c r="L63" s="203">
        <v>355.9</v>
      </c>
      <c r="M63" s="204">
        <v>416.2</v>
      </c>
      <c r="N63" s="203">
        <v>416.2</v>
      </c>
      <c r="O63" s="203">
        <v>394.2</v>
      </c>
      <c r="P63" s="203">
        <v>468.5</v>
      </c>
      <c r="Q63" s="203">
        <f t="shared" ref="Q63" si="133">+Q61*Q62</f>
        <v>583.94000000000005</v>
      </c>
      <c r="R63" s="204">
        <f>SUM(N63:Q63)</f>
        <v>1862.8400000000001</v>
      </c>
      <c r="S63" s="203">
        <f>+S61*S62</f>
        <v>544.99250000000006</v>
      </c>
      <c r="T63" s="203">
        <f>+T61*T62</f>
        <v>504.90749999999997</v>
      </c>
      <c r="U63" s="203">
        <f t="shared" ref="U63:V63" si="134">+U61*U62</f>
        <v>506.791875</v>
      </c>
      <c r="V63" s="203">
        <f t="shared" si="134"/>
        <v>593.69023437500005</v>
      </c>
      <c r="W63" s="204">
        <f>SUM(S63:V63)</f>
        <v>2150.3821093750003</v>
      </c>
      <c r="X63" s="203">
        <f>+X61*X62</f>
        <v>567.02125645086664</v>
      </c>
      <c r="Y63" s="203">
        <f>+Y61*Y62</f>
        <v>527.2914679841308</v>
      </c>
      <c r="Z63" s="203">
        <f t="shared" ref="Z63:AA63" si="135">+Z61*Z62</f>
        <v>531.1786992443848</v>
      </c>
      <c r="AA63" s="203">
        <f t="shared" si="135"/>
        <v>624.24358558874519</v>
      </c>
      <c r="AB63" s="204">
        <f>SUM(X63:AA63)</f>
        <v>2249.7350092681277</v>
      </c>
      <c r="AC63" s="203">
        <f>+AC61*AC62</f>
        <v>597.05641585168905</v>
      </c>
      <c r="AD63" s="203">
        <f>+AD61*AD62</f>
        <v>555.20247589754342</v>
      </c>
      <c r="AE63" s="203">
        <f t="shared" ref="AE63:AF63" si="136">+AE61*AE62</f>
        <v>559.27595254737366</v>
      </c>
      <c r="AF63" s="203">
        <f t="shared" si="136"/>
        <v>657.24100073007151</v>
      </c>
      <c r="AG63" s="204">
        <f>SUM(AC63:AF63)</f>
        <v>2368.7758450266779</v>
      </c>
      <c r="AH63" s="203">
        <f>+AH61*AH62</f>
        <v>628.53908133097525</v>
      </c>
      <c r="AI63" s="203">
        <f>+AI61*AI62</f>
        <v>584.35505110304416</v>
      </c>
      <c r="AJ63" s="203">
        <f t="shared" ref="AJ63:AK63" si="137">+AJ61*AJ62</f>
        <v>588.52018097749556</v>
      </c>
      <c r="AK63" s="203">
        <f t="shared" si="137"/>
        <v>691.46619599393853</v>
      </c>
      <c r="AL63" s="204">
        <f>SUM(AH63:AK63)</f>
        <v>2492.8805094054533</v>
      </c>
      <c r="AM63" s="203">
        <f>+AM61*AM62</f>
        <v>661.13620694630447</v>
      </c>
      <c r="AN63" s="203">
        <f>+AN61*AN62</f>
        <v>614.5384209393693</v>
      </c>
      <c r="AO63" s="203">
        <f t="shared" ref="AO63:AP63" si="138">+AO61*AO62</f>
        <v>618.79726623599595</v>
      </c>
      <c r="AP63" s="203">
        <f t="shared" si="138"/>
        <v>726.89879678805994</v>
      </c>
      <c r="AQ63" s="204">
        <f>SUM(AM63:AP63)</f>
        <v>2621.3706909097295</v>
      </c>
    </row>
    <row r="64" spans="1:43" s="20" customFormat="1" outlineLevel="1" x14ac:dyDescent="0.25">
      <c r="A64" s="269"/>
      <c r="B64" s="585" t="s">
        <v>166</v>
      </c>
      <c r="C64" s="586"/>
      <c r="D64" s="259">
        <v>5.7</v>
      </c>
      <c r="E64" s="259">
        <v>1.4</v>
      </c>
      <c r="F64" s="259">
        <v>2.6</v>
      </c>
      <c r="G64" s="259">
        <v>3.2</v>
      </c>
      <c r="H64" s="363"/>
      <c r="I64" s="259">
        <v>2.6</v>
      </c>
      <c r="J64" s="259">
        <v>2.2000000000000002</v>
      </c>
      <c r="K64" s="259">
        <v>1.1000000000000001</v>
      </c>
      <c r="L64" s="171">
        <v>1.7</v>
      </c>
      <c r="M64" s="239">
        <v>2.2000000000000002</v>
      </c>
      <c r="N64" s="171">
        <v>2.2000000000000002</v>
      </c>
      <c r="O64" s="171">
        <v>2</v>
      </c>
      <c r="P64" s="171">
        <v>2</v>
      </c>
      <c r="Q64" s="171">
        <f>+L64*(1+Q65)</f>
        <v>2.5499999999999998</v>
      </c>
      <c r="R64" s="479">
        <f>SUM(N64:Q64)</f>
        <v>8.75</v>
      </c>
      <c r="S64" s="171">
        <f>+N64*(1+S65)</f>
        <v>2.4200000000000004</v>
      </c>
      <c r="T64" s="171">
        <f>+O64*(1+T65)</f>
        <v>2.2000000000000002</v>
      </c>
      <c r="U64" s="171">
        <f>+P64*(1+U65)</f>
        <v>2.2000000000000002</v>
      </c>
      <c r="V64" s="171">
        <f t="shared" ref="V64" si="139">+Q64*(1+V65)</f>
        <v>2.8050000000000002</v>
      </c>
      <c r="W64" s="479">
        <f>SUM(S64:V64)</f>
        <v>9.6250000000000018</v>
      </c>
      <c r="X64" s="171">
        <f>+S64*(1+X65)</f>
        <v>2.6620000000000008</v>
      </c>
      <c r="Y64" s="171">
        <f>+T64*(1+Y65)</f>
        <v>2.4200000000000004</v>
      </c>
      <c r="Z64" s="171">
        <f>+U64*(1+Z65)</f>
        <v>2.4200000000000004</v>
      </c>
      <c r="AA64" s="171">
        <f t="shared" ref="AA64" si="140">+V64*(1+AA65)</f>
        <v>3.0855000000000006</v>
      </c>
      <c r="AB64" s="479">
        <f>SUM(X64:AA64)</f>
        <v>10.587500000000002</v>
      </c>
      <c r="AC64" s="171">
        <f>+X64*(1+AC65)</f>
        <v>2.9282000000000012</v>
      </c>
      <c r="AD64" s="171">
        <f>+Y64*(1+AD65)</f>
        <v>2.6620000000000008</v>
      </c>
      <c r="AE64" s="171">
        <f>+Z64*(1+AE65)</f>
        <v>2.6620000000000008</v>
      </c>
      <c r="AF64" s="171">
        <f t="shared" ref="AF64" si="141">+AA64*(1+AF65)</f>
        <v>3.3940500000000009</v>
      </c>
      <c r="AG64" s="479">
        <f>SUM(AC64:AF64)</f>
        <v>11.646250000000002</v>
      </c>
      <c r="AH64" s="171">
        <f>+AC64*(1+AH65)</f>
        <v>3.2210200000000015</v>
      </c>
      <c r="AI64" s="171">
        <f>+AD64*(1+AI65)</f>
        <v>2.9282000000000012</v>
      </c>
      <c r="AJ64" s="171">
        <f>+AE64*(1+AJ65)</f>
        <v>2.9282000000000012</v>
      </c>
      <c r="AK64" s="171">
        <f t="shared" ref="AK64" si="142">+AF64*(1+AK65)</f>
        <v>3.7334550000000011</v>
      </c>
      <c r="AL64" s="479">
        <f>SUM(AH64:AK64)</f>
        <v>12.810875000000005</v>
      </c>
      <c r="AM64" s="171">
        <f>+AH64*(1+AM65)</f>
        <v>3.5431220000000021</v>
      </c>
      <c r="AN64" s="171">
        <f>+AI64*(1+AN65)</f>
        <v>3.2210200000000015</v>
      </c>
      <c r="AO64" s="171">
        <f>+AJ64*(1+AO65)</f>
        <v>3.2210200000000015</v>
      </c>
      <c r="AP64" s="171">
        <f t="shared" ref="AP64" si="143">+AK64*(1+AP65)</f>
        <v>4.1068005000000012</v>
      </c>
      <c r="AQ64" s="479">
        <f>SUM(AM64:AP64)</f>
        <v>14.091962500000005</v>
      </c>
    </row>
    <row r="65" spans="1:43" outlineLevel="1" x14ac:dyDescent="0.25">
      <c r="A65" s="254"/>
      <c r="B65" s="200" t="s">
        <v>169</v>
      </c>
      <c r="C65" s="201"/>
      <c r="D65" s="289"/>
      <c r="E65" s="289"/>
      <c r="F65" s="289"/>
      <c r="G65" s="289"/>
      <c r="H65" s="364"/>
      <c r="I65" s="289">
        <f>I64/D64-1</f>
        <v>-0.54385964912280704</v>
      </c>
      <c r="J65" s="289">
        <f t="shared" ref="J65" si="144">J64/E64-1</f>
        <v>0.57142857142857162</v>
      </c>
      <c r="K65" s="289">
        <f>K64/F64-1</f>
        <v>-0.57692307692307687</v>
      </c>
      <c r="L65" s="289">
        <f>L64/G64-1</f>
        <v>-0.46875</v>
      </c>
      <c r="M65" s="179"/>
      <c r="N65" s="289">
        <f>N64/I64-1</f>
        <v>-0.15384615384615385</v>
      </c>
      <c r="O65" s="289">
        <f t="shared" ref="O65" si="145">O64/J64-1</f>
        <v>-9.0909090909090939E-2</v>
      </c>
      <c r="P65" s="289">
        <f>P64/K64-1</f>
        <v>0.81818181818181812</v>
      </c>
      <c r="Q65" s="202">
        <v>0.5</v>
      </c>
      <c r="R65" s="179"/>
      <c r="S65" s="202">
        <v>0.1</v>
      </c>
      <c r="T65" s="202">
        <v>0.1</v>
      </c>
      <c r="U65" s="202">
        <v>0.1</v>
      </c>
      <c r="V65" s="202">
        <v>0.1</v>
      </c>
      <c r="W65" s="179"/>
      <c r="X65" s="202">
        <v>0.1</v>
      </c>
      <c r="Y65" s="202">
        <v>0.1</v>
      </c>
      <c r="Z65" s="202">
        <v>0.1</v>
      </c>
      <c r="AA65" s="202">
        <v>0.1</v>
      </c>
      <c r="AB65" s="179"/>
      <c r="AC65" s="202">
        <v>0.1</v>
      </c>
      <c r="AD65" s="202">
        <v>0.1</v>
      </c>
      <c r="AE65" s="202">
        <v>0.1</v>
      </c>
      <c r="AF65" s="202">
        <v>0.1</v>
      </c>
      <c r="AG65" s="179"/>
      <c r="AH65" s="202">
        <v>0.1</v>
      </c>
      <c r="AI65" s="202">
        <v>0.1</v>
      </c>
      <c r="AJ65" s="202">
        <v>0.1</v>
      </c>
      <c r="AK65" s="202">
        <v>0.1</v>
      </c>
      <c r="AL65" s="179"/>
      <c r="AM65" s="202">
        <v>0.1</v>
      </c>
      <c r="AN65" s="202">
        <v>0.1</v>
      </c>
      <c r="AO65" s="202">
        <v>0.1</v>
      </c>
      <c r="AP65" s="202">
        <v>0.1</v>
      </c>
      <c r="AQ65" s="179"/>
    </row>
    <row r="66" spans="1:43" outlineLevel="1" x14ac:dyDescent="0.25">
      <c r="A66" s="254"/>
      <c r="B66" s="408" t="s">
        <v>171</v>
      </c>
      <c r="C66" s="409"/>
      <c r="D66" s="256">
        <f t="shared" ref="D66:G67" si="146">+D59+D48</f>
        <v>17653</v>
      </c>
      <c r="E66" s="256">
        <f>+E59+E48</f>
        <v>17719</v>
      </c>
      <c r="F66" s="256">
        <f t="shared" si="146"/>
        <v>17853</v>
      </c>
      <c r="G66" s="256">
        <f t="shared" si="146"/>
        <v>18067</v>
      </c>
      <c r="H66" s="291"/>
      <c r="I66" s="256">
        <f>+I59+I48</f>
        <v>18203</v>
      </c>
      <c r="J66" s="256">
        <f t="shared" ref="J66:L67" si="147">+J59+J48</f>
        <v>18271</v>
      </c>
      <c r="K66" s="256">
        <f t="shared" si="147"/>
        <v>18235</v>
      </c>
      <c r="L66" s="34">
        <f t="shared" si="147"/>
        <v>18354</v>
      </c>
      <c r="M66" s="18"/>
      <c r="N66" s="34">
        <f>+N59+N48</f>
        <v>18308</v>
      </c>
      <c r="O66" s="34">
        <f t="shared" ref="O66:Q67" si="148">+O59+O48</f>
        <v>18120</v>
      </c>
      <c r="P66" s="34">
        <f t="shared" si="148"/>
        <v>18175</v>
      </c>
      <c r="Q66" s="34">
        <f t="shared" si="148"/>
        <v>18354</v>
      </c>
      <c r="R66" s="18"/>
      <c r="S66" s="34">
        <f>+S59+S48</f>
        <v>18354</v>
      </c>
      <c r="T66" s="34">
        <f t="shared" ref="T66:V67" si="149">+T59+T48</f>
        <v>18365.5</v>
      </c>
      <c r="U66" s="34">
        <f t="shared" si="149"/>
        <v>18426.875</v>
      </c>
      <c r="V66" s="34">
        <f t="shared" si="149"/>
        <v>18489.84375</v>
      </c>
      <c r="W66" s="499">
        <f>W67/(AVERAGE(N66:Q66))</f>
        <v>7.4478802582343025E-3</v>
      </c>
      <c r="X66" s="34">
        <f>+X59+X48</f>
        <v>18627.911660156249</v>
      </c>
      <c r="Y66" s="34">
        <f t="shared" ref="Y66:AA67" si="150">+Y59+Y48</f>
        <v>18765.979570312502</v>
      </c>
      <c r="Z66" s="34">
        <f t="shared" si="150"/>
        <v>18904.047480468755</v>
      </c>
      <c r="AA66" s="34">
        <f t="shared" si="150"/>
        <v>19042.115390625004</v>
      </c>
      <c r="AB66" s="500">
        <f>AB67/(AVERAGE(S66:V66))</f>
        <v>2.9999999999999995E-2</v>
      </c>
      <c r="AC66" s="34">
        <f>+AC59+AC48</f>
        <v>19183.377992065434</v>
      </c>
      <c r="AD66" s="34">
        <f t="shared" ref="AD66:AF67" si="151">+AD59+AD48</f>
        <v>19324.640593505861</v>
      </c>
      <c r="AE66" s="34">
        <f t="shared" si="151"/>
        <v>19465.903194946288</v>
      </c>
      <c r="AF66" s="34">
        <f t="shared" si="151"/>
        <v>19607.165796386718</v>
      </c>
      <c r="AG66" s="500">
        <f>AG67/(AVERAGE(X66:AA66))</f>
        <v>3.0000000000000002E-2</v>
      </c>
      <c r="AH66" s="34">
        <f>+AH59+AH48</f>
        <v>19748.428397827149</v>
      </c>
      <c r="AI66" s="34">
        <f t="shared" ref="AI66:AK67" si="152">+AI59+AI48</f>
        <v>19889.690999267576</v>
      </c>
      <c r="AJ66" s="34">
        <f t="shared" si="152"/>
        <v>20030.953600708002</v>
      </c>
      <c r="AK66" s="34">
        <f t="shared" si="152"/>
        <v>20172.216202148433</v>
      </c>
      <c r="AL66" s="499">
        <f>AL67/(AVERAGE(AC66:AF66))</f>
        <v>2.9133409876555168E-2</v>
      </c>
      <c r="AM66" s="34">
        <f>+AM59+AM48</f>
        <v>20313.478803588863</v>
      </c>
      <c r="AN66" s="34">
        <f t="shared" ref="AN66:AP66" si="153">+AN59+AN48</f>
        <v>20454.74140502929</v>
      </c>
      <c r="AO66" s="34">
        <f t="shared" si="153"/>
        <v>20596.004006469717</v>
      </c>
      <c r="AP66" s="34">
        <f t="shared" si="153"/>
        <v>20737.266607910147</v>
      </c>
      <c r="AQ66" s="499">
        <f>AQ67/(AVERAGE(AH66:AK66))</f>
        <v>2.8308681456614779E-2</v>
      </c>
    </row>
    <row r="67" spans="1:43" outlineLevel="1" x14ac:dyDescent="0.25">
      <c r="A67" s="254"/>
      <c r="B67" s="408" t="s">
        <v>172</v>
      </c>
      <c r="C67" s="409"/>
      <c r="D67" s="256">
        <f t="shared" si="146"/>
        <v>193</v>
      </c>
      <c r="E67" s="256">
        <f>+E60+E49</f>
        <v>66</v>
      </c>
      <c r="F67" s="256">
        <f t="shared" si="146"/>
        <v>134</v>
      </c>
      <c r="G67" s="256">
        <f t="shared" si="146"/>
        <v>214</v>
      </c>
      <c r="H67" s="291">
        <f>+H60+H49</f>
        <v>607</v>
      </c>
      <c r="I67" s="256">
        <f>+I60+I49</f>
        <v>136</v>
      </c>
      <c r="J67" s="256">
        <f t="shared" si="147"/>
        <v>68</v>
      </c>
      <c r="K67" s="256">
        <f t="shared" si="147"/>
        <v>-36</v>
      </c>
      <c r="L67" s="34">
        <f t="shared" si="147"/>
        <v>119</v>
      </c>
      <c r="M67" s="291">
        <f>+M60+M49</f>
        <v>287</v>
      </c>
      <c r="N67" s="34">
        <f>+N60+N49</f>
        <v>-46</v>
      </c>
      <c r="O67" s="34">
        <f t="shared" si="148"/>
        <v>-188</v>
      </c>
      <c r="P67" s="34">
        <f t="shared" si="148"/>
        <v>55</v>
      </c>
      <c r="Q67" s="34">
        <f t="shared" si="148"/>
        <v>179</v>
      </c>
      <c r="R67" s="349">
        <f>+R60+R49</f>
        <v>0</v>
      </c>
      <c r="S67" s="34">
        <f>+S60+S49</f>
        <v>0</v>
      </c>
      <c r="T67" s="34">
        <f t="shared" si="149"/>
        <v>11.5</v>
      </c>
      <c r="U67" s="34">
        <f t="shared" si="149"/>
        <v>61.375</v>
      </c>
      <c r="V67" s="34">
        <f t="shared" si="149"/>
        <v>62.96875</v>
      </c>
      <c r="W67" s="291">
        <f>+W60+W49</f>
        <v>135.84375</v>
      </c>
      <c r="X67" s="34">
        <f>+X60+X49</f>
        <v>138.06791015624998</v>
      </c>
      <c r="Y67" s="34">
        <f t="shared" si="150"/>
        <v>138.06791015624998</v>
      </c>
      <c r="Z67" s="34">
        <f t="shared" si="150"/>
        <v>138.06791015624998</v>
      </c>
      <c r="AA67" s="34">
        <f t="shared" si="150"/>
        <v>138.06791015624998</v>
      </c>
      <c r="AB67" s="291">
        <f>+AB60+AB49</f>
        <v>552.27164062499992</v>
      </c>
      <c r="AC67" s="34">
        <f>+AC60+AC49</f>
        <v>141.26260144042971</v>
      </c>
      <c r="AD67" s="34">
        <f t="shared" si="151"/>
        <v>141.26260144042971</v>
      </c>
      <c r="AE67" s="34">
        <f t="shared" si="151"/>
        <v>141.26260144042971</v>
      </c>
      <c r="AF67" s="34">
        <f t="shared" si="151"/>
        <v>141.26260144042971</v>
      </c>
      <c r="AG67" s="291">
        <f>+AG60+AG49</f>
        <v>565.05040576171882</v>
      </c>
      <c r="AH67" s="34">
        <f>+AH60+AH49</f>
        <v>141.26260144042971</v>
      </c>
      <c r="AI67" s="34">
        <f t="shared" si="152"/>
        <v>141.26260144042971</v>
      </c>
      <c r="AJ67" s="34">
        <f t="shared" si="152"/>
        <v>141.26260144042971</v>
      </c>
      <c r="AK67" s="34">
        <f t="shared" si="152"/>
        <v>141.26260144042971</v>
      </c>
      <c r="AL67" s="291">
        <f>+AL60+AL49</f>
        <v>565.05040576171882</v>
      </c>
      <c r="AM67" s="34">
        <f>+AM60+AM49</f>
        <v>141.26260144042971</v>
      </c>
      <c r="AN67" s="34">
        <f t="shared" ref="AN67:AP67" si="154">+AN60+AN49</f>
        <v>141.26260144042971</v>
      </c>
      <c r="AO67" s="34">
        <f t="shared" si="154"/>
        <v>141.26260144042971</v>
      </c>
      <c r="AP67" s="34">
        <f t="shared" si="154"/>
        <v>141.26260144042971</v>
      </c>
      <c r="AQ67" s="291">
        <f>+AQ60+AQ49</f>
        <v>565.05040576171882</v>
      </c>
    </row>
    <row r="68" spans="1:43" outlineLevel="1" x14ac:dyDescent="0.25">
      <c r="A68" s="254"/>
      <c r="B68" s="601" t="s">
        <v>170</v>
      </c>
      <c r="C68" s="602"/>
      <c r="D68" s="279">
        <f t="shared" ref="D68:G68" si="155">+D64+D63+D56</f>
        <v>4612.5</v>
      </c>
      <c r="E68" s="279">
        <f t="shared" si="155"/>
        <v>4314.1000000000004</v>
      </c>
      <c r="F68" s="279">
        <f t="shared" si="155"/>
        <v>4681.0999999999995</v>
      </c>
      <c r="G68" s="279">
        <f t="shared" si="155"/>
        <v>4651.3999999999996</v>
      </c>
      <c r="H68" s="320">
        <f>SUM(D68:G68)</f>
        <v>18259.099999999999</v>
      </c>
      <c r="I68" s="279">
        <f>+I64+I63+I56</f>
        <v>5010.8999999999996</v>
      </c>
      <c r="J68" s="279">
        <f t="shared" ref="J68:L68" si="156">+J64+J63+J56</f>
        <v>4330</v>
      </c>
      <c r="K68" s="279">
        <f t="shared" si="156"/>
        <v>2805.5</v>
      </c>
      <c r="L68" s="203">
        <f t="shared" si="156"/>
        <v>4232.9000000000005</v>
      </c>
      <c r="M68" s="239">
        <f>SUM(I68:L68)</f>
        <v>16379.3</v>
      </c>
      <c r="N68" s="203">
        <f>+N64+N63+N56</f>
        <v>4703.2</v>
      </c>
      <c r="O68" s="203">
        <f t="shared" ref="O68:Q68" si="157">+O64+O63+O56</f>
        <v>4664.5999999999995</v>
      </c>
      <c r="P68" s="203">
        <f t="shared" si="157"/>
        <v>5400.3</v>
      </c>
      <c r="Q68" s="203">
        <f t="shared" si="157"/>
        <v>5884.8839350192102</v>
      </c>
      <c r="R68" s="239">
        <f>SUM(N68:Q68)</f>
        <v>20652.983935019209</v>
      </c>
      <c r="S68" s="203">
        <f>+S64+S63+S56</f>
        <v>5352.7883119802145</v>
      </c>
      <c r="T68" s="203">
        <f t="shared" ref="T68:V68" si="158">+T64+T63+T56</f>
        <v>5182.8842058733471</v>
      </c>
      <c r="U68" s="203">
        <f t="shared" si="158"/>
        <v>5878.3668433159382</v>
      </c>
      <c r="V68" s="203">
        <f t="shared" si="158"/>
        <v>5808.1909032304911</v>
      </c>
      <c r="W68" s="239">
        <f>SUM(S68:V68)</f>
        <v>22222.23026439999</v>
      </c>
      <c r="X68" s="203">
        <f>+X64+X63+X56</f>
        <v>5640.9460873566723</v>
      </c>
      <c r="Y68" s="203">
        <f t="shared" ref="Y68:AA68" si="159">+Y64+Y63+Y56</f>
        <v>5591.6214249668346</v>
      </c>
      <c r="Z68" s="203">
        <f t="shared" si="159"/>
        <v>6348.5551679026357</v>
      </c>
      <c r="AA68" s="203">
        <f t="shared" si="159"/>
        <v>6245.0558026073777</v>
      </c>
      <c r="AB68" s="239">
        <f>SUM(X68:AA68)</f>
        <v>23826.178482833522</v>
      </c>
      <c r="AC68" s="203">
        <f>+AC64+AC63+AC56</f>
        <v>6024.696937363673</v>
      </c>
      <c r="AD68" s="203">
        <f t="shared" ref="AD68:AF68" si="160">+AD64+AD63+AD56</f>
        <v>5984.2402682401853</v>
      </c>
      <c r="AE68" s="203">
        <f t="shared" si="160"/>
        <v>6804.5457756357737</v>
      </c>
      <c r="AF68" s="203">
        <f t="shared" si="160"/>
        <v>6690.6533814763188</v>
      </c>
      <c r="AG68" s="239">
        <f>SUM(AC68:AF68)</f>
        <v>25504.136362715952</v>
      </c>
      <c r="AH68" s="203">
        <f>+AH64+AH63+AH56</f>
        <v>6426.6336748638232</v>
      </c>
      <c r="AI68" s="203">
        <f t="shared" ref="AI68:AK68" si="161">+AI64+AI63+AI56</f>
        <v>6383.1855519684714</v>
      </c>
      <c r="AJ68" s="203">
        <f t="shared" si="161"/>
        <v>7260.1843796620278</v>
      </c>
      <c r="AK68" s="203">
        <f t="shared" si="161"/>
        <v>7135.0582768517106</v>
      </c>
      <c r="AL68" s="239">
        <f>SUM(AH68:AK68)</f>
        <v>27205.061883346032</v>
      </c>
      <c r="AM68" s="203">
        <f>+AM64+AM63+AM56</f>
        <v>6851.6372319397678</v>
      </c>
      <c r="AN68" s="203">
        <f t="shared" ref="AN68:AP68" si="162">+AN64+AN63+AN56</f>
        <v>6804.6098469314338</v>
      </c>
      <c r="AO68" s="203">
        <f t="shared" si="162"/>
        <v>7741.30454204741</v>
      </c>
      <c r="AP68" s="203">
        <f t="shared" si="162"/>
        <v>7604.1637125370862</v>
      </c>
      <c r="AQ68" s="239">
        <f>SUM(AM68:AP68)</f>
        <v>29001.715333455697</v>
      </c>
    </row>
    <row r="69" spans="1:43" outlineLevel="1" x14ac:dyDescent="0.25">
      <c r="A69" s="254"/>
      <c r="B69" s="605" t="s">
        <v>262</v>
      </c>
      <c r="C69" s="606"/>
      <c r="D69" s="261">
        <v>1351.3</v>
      </c>
      <c r="E69" s="261">
        <v>1220.5</v>
      </c>
      <c r="F69" s="261">
        <v>1324</v>
      </c>
      <c r="G69" s="261">
        <v>1278.9000000000001</v>
      </c>
      <c r="H69" s="317"/>
      <c r="I69" s="261">
        <v>1388.4</v>
      </c>
      <c r="J69" s="261">
        <v>1248.2</v>
      </c>
      <c r="K69" s="261">
        <v>805.6</v>
      </c>
      <c r="L69" s="169">
        <v>1169.4000000000001</v>
      </c>
      <c r="M69" s="209"/>
      <c r="N69" s="169">
        <v>1276.2</v>
      </c>
      <c r="O69" s="169">
        <v>1227.5999999999999</v>
      </c>
      <c r="P69" s="169">
        <v>1416.2</v>
      </c>
      <c r="Q69" s="169">
        <f t="shared" ref="Q69:AK69" si="163">Q70*Q68</f>
        <v>1607.2085832296518</v>
      </c>
      <c r="R69" s="209">
        <f>SUM(N69:Q69)</f>
        <v>5527.2085832296516</v>
      </c>
      <c r="S69" s="169">
        <f>S70*S68</f>
        <v>1488.6529803617984</v>
      </c>
      <c r="T69" s="169">
        <f t="shared" si="163"/>
        <v>1493.2301398973111</v>
      </c>
      <c r="U69" s="169">
        <f t="shared" si="163"/>
        <v>1634.8205478958969</v>
      </c>
      <c r="V69" s="169">
        <f t="shared" si="163"/>
        <v>1615.3040611101071</v>
      </c>
      <c r="W69" s="209">
        <f>SUM(S69:V69)</f>
        <v>6232.0077292651131</v>
      </c>
      <c r="X69" s="169">
        <f t="shared" si="163"/>
        <v>1556.2330065351948</v>
      </c>
      <c r="Y69" s="169">
        <f t="shared" si="163"/>
        <v>1598.5414559775879</v>
      </c>
      <c r="Z69" s="169">
        <f t="shared" si="163"/>
        <v>1814.9348552353599</v>
      </c>
      <c r="AA69" s="169">
        <f t="shared" si="163"/>
        <v>1722.8957371982121</v>
      </c>
      <c r="AB69" s="209">
        <f>SUM(X69:AA69)</f>
        <v>6692.6050549463544</v>
      </c>
      <c r="AC69" s="169">
        <f t="shared" si="163"/>
        <v>1662.8223715035012</v>
      </c>
      <c r="AD69" s="169">
        <f t="shared" si="163"/>
        <v>1711.4986931042401</v>
      </c>
      <c r="AE69" s="169">
        <f t="shared" si="163"/>
        <v>1946.1068874484533</v>
      </c>
      <c r="AF69" s="169">
        <f t="shared" si="163"/>
        <v>1846.6270151611452</v>
      </c>
      <c r="AG69" s="209">
        <f>SUM(AC69:AF69)</f>
        <v>7167.0549672173402</v>
      </c>
      <c r="AH69" s="169">
        <f t="shared" si="163"/>
        <v>1774.8850509048855</v>
      </c>
      <c r="AI69" s="169">
        <f t="shared" si="163"/>
        <v>1826.7175568866533</v>
      </c>
      <c r="AJ69" s="169">
        <f t="shared" si="163"/>
        <v>2077.6939922219526</v>
      </c>
      <c r="AK69" s="169">
        <f t="shared" si="163"/>
        <v>1970.5352621001248</v>
      </c>
      <c r="AL69" s="209">
        <f>SUM(AH69:AK69)</f>
        <v>7649.8318621136159</v>
      </c>
      <c r="AM69" s="169">
        <f t="shared" ref="AM69:AP69" si="164">AM70*AM68</f>
        <v>1893.6702511913788</v>
      </c>
      <c r="AN69" s="169">
        <f t="shared" si="164"/>
        <v>1948.7188197321575</v>
      </c>
      <c r="AO69" s="169">
        <f t="shared" si="164"/>
        <v>2216.9714634217776</v>
      </c>
      <c r="AP69" s="169">
        <f t="shared" si="164"/>
        <v>2101.6551402479531</v>
      </c>
      <c r="AQ69" s="209">
        <f>SUM(AM69:AP69)</f>
        <v>8161.0156745932672</v>
      </c>
    </row>
    <row r="70" spans="1:43" s="473" customFormat="1" outlineLevel="1" x14ac:dyDescent="0.25">
      <c r="A70" s="471"/>
      <c r="B70" s="467" t="s">
        <v>341</v>
      </c>
      <c r="C70" s="472"/>
      <c r="D70" s="415">
        <f>D69/D68</f>
        <v>0.29296476964769647</v>
      </c>
      <c r="E70" s="415">
        <f t="shared" ref="E70:P70" si="165">E69/E68</f>
        <v>0.28290952921814511</v>
      </c>
      <c r="F70" s="415">
        <f t="shared" si="165"/>
        <v>0.28283950353549381</v>
      </c>
      <c r="G70" s="415">
        <f t="shared" si="165"/>
        <v>0.27494947757664362</v>
      </c>
      <c r="H70" s="474"/>
      <c r="I70" s="415">
        <f t="shared" si="165"/>
        <v>0.27707597437586068</v>
      </c>
      <c r="J70" s="415">
        <f t="shared" si="165"/>
        <v>0.28826789838337186</v>
      </c>
      <c r="K70" s="415">
        <f t="shared" si="165"/>
        <v>0.28715024059882377</v>
      </c>
      <c r="L70" s="475">
        <f t="shared" si="165"/>
        <v>0.27626449951569843</v>
      </c>
      <c r="M70" s="476"/>
      <c r="N70" s="475">
        <f t="shared" si="165"/>
        <v>0.27134716788569485</v>
      </c>
      <c r="O70" s="415">
        <f t="shared" si="165"/>
        <v>0.26317369120610556</v>
      </c>
      <c r="P70" s="415">
        <f t="shared" si="165"/>
        <v>0.26224469010980872</v>
      </c>
      <c r="Q70" s="477">
        <f>AVERAGE(D70:P70)-0.5%</f>
        <v>0.27310794927757659</v>
      </c>
      <c r="R70" s="476">
        <f t="shared" ref="R70" si="166">R69/R68</f>
        <v>0.26762276098310978</v>
      </c>
      <c r="S70" s="477">
        <f>AVERAGE(D70:P70)+0.5%-0.5%</f>
        <v>0.27810794927757659</v>
      </c>
      <c r="T70" s="477">
        <f>AVERAGE(D70:P70)+0.5%+0.5%</f>
        <v>0.2881079492775766</v>
      </c>
      <c r="U70" s="477">
        <f>AVERAGE(D70:P70)+0.5%+0.5%-1%</f>
        <v>0.27810794927757659</v>
      </c>
      <c r="V70" s="477">
        <f>AVERAGE(D70:P70)+0.5%-0.5%</f>
        <v>0.27810794927757659</v>
      </c>
      <c r="W70" s="476">
        <f t="shared" ref="W70" si="167">W69/W68</f>
        <v>0.28044024632616593</v>
      </c>
      <c r="X70" s="477">
        <f>AVERAGE(I70:U70)+0.5%-0.5%</f>
        <v>0.275881560014065</v>
      </c>
      <c r="Y70" s="477">
        <f>AVERAGE(I70:U70)+0.5%+0.5%</f>
        <v>0.28588156001406501</v>
      </c>
      <c r="Z70" s="477">
        <f>AVERAGE(I70:U70)+0.5%+0.5%</f>
        <v>0.28588156001406501</v>
      </c>
      <c r="AA70" s="477">
        <f>AVERAGE(I70:U70)+0.5%-0.5%</f>
        <v>0.275881560014065</v>
      </c>
      <c r="AB70" s="476">
        <f t="shared" ref="AB70" si="168">AB69/AB68</f>
        <v>0.28089292874928712</v>
      </c>
      <c r="AC70" s="477">
        <f>AVERAGE(N70:Z70)+0.5%-0.5%</f>
        <v>0.2760009986877664</v>
      </c>
      <c r="AD70" s="477">
        <f>AVERAGE(N70:Z70)+0.5%+0.5%</f>
        <v>0.28600099868776641</v>
      </c>
      <c r="AE70" s="477">
        <f>AVERAGE(N70:Z70)+0.5%+0.5%</f>
        <v>0.28600099868776641</v>
      </c>
      <c r="AF70" s="477">
        <f>AVERAGE(N70:Z70)+0.5%-0.5%</f>
        <v>0.2760009986877664</v>
      </c>
      <c r="AG70" s="476">
        <f t="shared" ref="AG70" si="169">AG69/AG68</f>
        <v>0.28101539551422455</v>
      </c>
      <c r="AH70" s="477">
        <f>AVERAGE(S70:AE70)-0.5%</f>
        <v>0.27617647756194758</v>
      </c>
      <c r="AI70" s="477">
        <f>AVERAGE(S70:AE70)+0.5%</f>
        <v>0.28617647756194758</v>
      </c>
      <c r="AJ70" s="477">
        <f>AVERAGE(S70:AE70)+0.5%</f>
        <v>0.28617647756194758</v>
      </c>
      <c r="AK70" s="477">
        <f>AVERAGE(S70:AE70)-0.5%</f>
        <v>0.27617647756194758</v>
      </c>
      <c r="AL70" s="476">
        <f t="shared" ref="AL70" si="170">AL69/AL68</f>
        <v>0.28119148910286323</v>
      </c>
      <c r="AM70" s="477">
        <f>AVERAGE(X70:AJ70)-0.5%</f>
        <v>0.27638215321205228</v>
      </c>
      <c r="AN70" s="477">
        <f>AVERAGE(X70:AJ70)+0.5%</f>
        <v>0.28638215321205229</v>
      </c>
      <c r="AO70" s="477">
        <f>AVERAGE(X70:AJ70)+0.5%</f>
        <v>0.28638215321205229</v>
      </c>
      <c r="AP70" s="477">
        <f>AVERAGE(X70:AJ70)-0.5%</f>
        <v>0.27638215321205228</v>
      </c>
      <c r="AQ70" s="476">
        <f t="shared" ref="AQ70" si="171">AQ69/AQ68</f>
        <v>0.28139768909388996</v>
      </c>
    </row>
    <row r="71" spans="1:43" outlineLevel="1" x14ac:dyDescent="0.25">
      <c r="A71" s="254"/>
      <c r="B71" s="408" t="s">
        <v>141</v>
      </c>
      <c r="C71" s="36"/>
      <c r="D71" s="169">
        <v>1983.1</v>
      </c>
      <c r="E71" s="169">
        <v>1935.7</v>
      </c>
      <c r="F71" s="169">
        <v>2034</v>
      </c>
      <c r="G71" s="169">
        <v>2112.1</v>
      </c>
      <c r="H71" s="170"/>
      <c r="I71" s="169">
        <v>2214.4</v>
      </c>
      <c r="J71" s="169">
        <v>2158.6</v>
      </c>
      <c r="K71" s="169">
        <v>2054.4</v>
      </c>
      <c r="L71" s="169">
        <v>2060.6</v>
      </c>
      <c r="M71" s="385"/>
      <c r="N71" s="169">
        <v>2238.8000000000002</v>
      </c>
      <c r="O71" s="169">
        <v>2203.1</v>
      </c>
      <c r="P71" s="169">
        <v>2346.8000000000002</v>
      </c>
      <c r="Q71" s="169">
        <f t="shared" ref="Q71" si="172">Q72*Q56</f>
        <v>2624.0130185946714</v>
      </c>
      <c r="R71" s="170">
        <f>SUM(N71:Q71)</f>
        <v>9412.7130185946717</v>
      </c>
      <c r="S71" s="169">
        <f>S72*S56</f>
        <v>2402.6879059901071</v>
      </c>
      <c r="T71" s="169">
        <f>T72*T56</f>
        <v>2337.8883529366735</v>
      </c>
      <c r="U71" s="169">
        <f t="shared" ref="U71" si="173">U72*U56</f>
        <v>2577.2999847916503</v>
      </c>
      <c r="V71" s="169">
        <f t="shared" ref="V71" si="174">V72*V56</f>
        <v>2553.7308777391904</v>
      </c>
      <c r="W71" s="170">
        <f>SUM(S71:V71)</f>
        <v>9871.6071214576205</v>
      </c>
      <c r="X71" s="169">
        <f>X72*X56</f>
        <v>2484.9187871438448</v>
      </c>
      <c r="Y71" s="169">
        <f>Y72*Y56</f>
        <v>2480.3358789215249</v>
      </c>
      <c r="Z71" s="169">
        <f t="shared" ref="Z71" si="175">Z72*Z56</f>
        <v>2849.328669642543</v>
      </c>
      <c r="AA71" s="169">
        <f t="shared" ref="AA71" si="176">AA72*AA56</f>
        <v>2752.6860913391297</v>
      </c>
      <c r="AB71" s="170">
        <f>SUM(X71:AA71)</f>
        <v>10567.269427047042</v>
      </c>
      <c r="AC71" s="169">
        <f>AC72*AC56</f>
        <v>2658.1090375408721</v>
      </c>
      <c r="AD71" s="169">
        <f>AD72*AD56</f>
        <v>2658.9241382478945</v>
      </c>
      <c r="AE71" s="169">
        <f t="shared" ref="AE71" si="177">AE72*AE56</f>
        <v>3058.8778333133159</v>
      </c>
      <c r="AF71" s="169">
        <f t="shared" ref="AF71" si="178">AF72*AF56</f>
        <v>2954.7089820656611</v>
      </c>
      <c r="AG71" s="170">
        <f>SUM(AC71:AF71)</f>
        <v>11330.619991167743</v>
      </c>
      <c r="AH71" s="169">
        <f>AH72*AH56</f>
        <v>2839.4880510310954</v>
      </c>
      <c r="AI71" s="169">
        <f>AI72*AI56</f>
        <v>2839.9921274240596</v>
      </c>
      <c r="AJ71" s="169">
        <f t="shared" ref="AJ71" si="179">AJ72*AJ56</f>
        <v>3267.6806393554207</v>
      </c>
      <c r="AK71" s="169">
        <f t="shared" ref="AK71" si="180">AK72*AK56</f>
        <v>3155.5307266703085</v>
      </c>
      <c r="AL71" s="170">
        <f>SUM(AH71:AK71)</f>
        <v>12102.691544480884</v>
      </c>
      <c r="AM71" s="169">
        <f>AM72*AM56</f>
        <v>3031.6093724667967</v>
      </c>
      <c r="AN71" s="169">
        <f>AN72*AN56</f>
        <v>3031.5566989361114</v>
      </c>
      <c r="AO71" s="169">
        <f t="shared" ref="AO71:AP71" si="181">AO72*AO56</f>
        <v>3488.4502653475929</v>
      </c>
      <c r="AP71" s="169">
        <f t="shared" si="181"/>
        <v>3367.8474764720227</v>
      </c>
      <c r="AQ71" s="170">
        <f>SUM(AM71:AP71)</f>
        <v>12919.463813222523</v>
      </c>
    </row>
    <row r="72" spans="1:43" s="473" customFormat="1" outlineLevel="1" x14ac:dyDescent="0.25">
      <c r="A72" s="471"/>
      <c r="B72" s="467" t="s">
        <v>340</v>
      </c>
      <c r="C72" s="478"/>
      <c r="D72" s="475">
        <f>D71/D56</f>
        <v>0.48460485802257952</v>
      </c>
      <c r="E72" s="475">
        <f t="shared" ref="E72:P72" si="182">E71/E56</f>
        <v>0.50283146300914383</v>
      </c>
      <c r="F72" s="475">
        <f t="shared" si="182"/>
        <v>0.48634689876141746</v>
      </c>
      <c r="G72" s="475">
        <f>G71/G56</f>
        <v>0.5072042649248355</v>
      </c>
      <c r="H72" s="476"/>
      <c r="I72" s="475">
        <f t="shared" si="182"/>
        <v>0.49528069783046302</v>
      </c>
      <c r="J72" s="475">
        <f t="shared" si="182"/>
        <v>0.55870172895744896</v>
      </c>
      <c r="K72" s="475">
        <f t="shared" si="182"/>
        <v>0.79971972439565575</v>
      </c>
      <c r="L72" s="475">
        <f t="shared" si="182"/>
        <v>0.53172657600701878</v>
      </c>
      <c r="M72" s="476"/>
      <c r="N72" s="475">
        <f t="shared" si="182"/>
        <v>0.52249813293502612</v>
      </c>
      <c r="O72" s="475">
        <f t="shared" si="182"/>
        <v>0.51614187986130633</v>
      </c>
      <c r="P72" s="475">
        <f t="shared" si="182"/>
        <v>0.47604365288652684</v>
      </c>
      <c r="Q72" s="477">
        <f>AVERAGE(D72:G72)</f>
        <v>0.49524687117949406</v>
      </c>
      <c r="R72" s="476">
        <f t="shared" ref="R72" si="183">R71/R56</f>
        <v>0.50117222668142947</v>
      </c>
      <c r="S72" s="477">
        <v>0.5</v>
      </c>
      <c r="T72" s="477">
        <v>0.5</v>
      </c>
      <c r="U72" s="477">
        <v>0.48</v>
      </c>
      <c r="V72" s="477">
        <v>0.49</v>
      </c>
      <c r="W72" s="476">
        <f t="shared" ref="W72" si="184">W71/W56</f>
        <v>0.49204951241832218</v>
      </c>
      <c r="X72" s="477">
        <f>V72</f>
        <v>0.49</v>
      </c>
      <c r="Y72" s="477">
        <f>X72</f>
        <v>0.49</v>
      </c>
      <c r="Z72" s="477">
        <f>Y72</f>
        <v>0.49</v>
      </c>
      <c r="AA72" s="477">
        <f>Z72</f>
        <v>0.49</v>
      </c>
      <c r="AB72" s="476">
        <f t="shared" ref="AB72" si="185">AB71/AB56</f>
        <v>0.48999999999999994</v>
      </c>
      <c r="AC72" s="477">
        <f>AA72</f>
        <v>0.49</v>
      </c>
      <c r="AD72" s="477">
        <f>AC72</f>
        <v>0.49</v>
      </c>
      <c r="AE72" s="477">
        <f>AD72</f>
        <v>0.49</v>
      </c>
      <c r="AF72" s="477">
        <f>AE72</f>
        <v>0.49</v>
      </c>
      <c r="AG72" s="476">
        <f t="shared" ref="AG72" si="186">AG71/AG56</f>
        <v>0.49</v>
      </c>
      <c r="AH72" s="477">
        <f>AF72</f>
        <v>0.49</v>
      </c>
      <c r="AI72" s="477">
        <f>AH72</f>
        <v>0.49</v>
      </c>
      <c r="AJ72" s="477">
        <f>AI72</f>
        <v>0.49</v>
      </c>
      <c r="AK72" s="477">
        <f>AJ72</f>
        <v>0.49</v>
      </c>
      <c r="AL72" s="476">
        <f t="shared" ref="AL72" si="187">AL71/AL56</f>
        <v>0.48999999999999994</v>
      </c>
      <c r="AM72" s="477">
        <f>AK72</f>
        <v>0.49</v>
      </c>
      <c r="AN72" s="477">
        <f>AM72</f>
        <v>0.49</v>
      </c>
      <c r="AO72" s="477">
        <f>AN72</f>
        <v>0.49</v>
      </c>
      <c r="AP72" s="477">
        <f>AO72</f>
        <v>0.49</v>
      </c>
      <c r="AQ72" s="476">
        <f t="shared" ref="AQ72" si="188">AQ71/AQ56</f>
        <v>0.48999999999999994</v>
      </c>
    </row>
    <row r="73" spans="1:43" outlineLevel="1" x14ac:dyDescent="0.25">
      <c r="A73" s="254"/>
      <c r="B73" s="408" t="s">
        <v>142</v>
      </c>
      <c r="C73" s="36"/>
      <c r="D73" s="169">
        <v>44.5</v>
      </c>
      <c r="E73" s="169">
        <v>39.4</v>
      </c>
      <c r="F73" s="169">
        <v>41.7</v>
      </c>
      <c r="G73" s="169">
        <v>34.200000000000003</v>
      </c>
      <c r="H73" s="170"/>
      <c r="I73" s="169">
        <v>42.5</v>
      </c>
      <c r="J73" s="169">
        <v>41.8</v>
      </c>
      <c r="K73" s="169">
        <v>40.700000000000003</v>
      </c>
      <c r="L73" s="169">
        <v>41.8</v>
      </c>
      <c r="M73" s="170"/>
      <c r="N73" s="169">
        <v>42.8</v>
      </c>
      <c r="O73" s="169">
        <v>41.9</v>
      </c>
      <c r="P73" s="169">
        <v>39.700000000000003</v>
      </c>
      <c r="Q73" s="169">
        <f t="shared" ref="Q73" si="189">Q68*Q74</f>
        <v>43.262391389415889</v>
      </c>
      <c r="R73" s="170">
        <f>SUM(N73:Q73)</f>
        <v>167.66239138941589</v>
      </c>
      <c r="S73" s="169">
        <f>S68*S74</f>
        <v>39.350720512863084</v>
      </c>
      <c r="T73" s="169">
        <f>T68*T74</f>
        <v>38.101680086878858</v>
      </c>
      <c r="U73" s="169">
        <f t="shared" ref="U73" si="190">U68*U74</f>
        <v>43.214481358376894</v>
      </c>
      <c r="V73" s="169">
        <f t="shared" ref="V73" si="191">V68*V74</f>
        <v>42.698586904107273</v>
      </c>
      <c r="W73" s="170">
        <f>SUM(S73:V73)</f>
        <v>163.36546886222612</v>
      </c>
      <c r="X73" s="169">
        <f>X68*X74</f>
        <v>41.469096099857396</v>
      </c>
      <c r="Y73" s="169">
        <f>Y68*Y74</f>
        <v>41.106488634183904</v>
      </c>
      <c r="Z73" s="169">
        <f t="shared" ref="Z73" si="192">Z68*Z74</f>
        <v>46.671044231937969</v>
      </c>
      <c r="AA73" s="169">
        <f t="shared" ref="AA73" si="193">AA68*AA74</f>
        <v>45.910174502067086</v>
      </c>
      <c r="AB73" s="170">
        <f>SUM(X73:AA73)</f>
        <v>175.15680346804635</v>
      </c>
      <c r="AC73" s="169">
        <f>AC68*AC74</f>
        <v>44.290218768093958</v>
      </c>
      <c r="AD73" s="169">
        <f>AD68*AD74</f>
        <v>43.992803853329512</v>
      </c>
      <c r="AE73" s="169">
        <f t="shared" ref="AE73" si="194">AE68*AE74</f>
        <v>50.023233393096717</v>
      </c>
      <c r="AF73" s="169">
        <f t="shared" ref="AF73" si="195">AF68*AF74</f>
        <v>49.185959899377785</v>
      </c>
      <c r="AG73" s="170">
        <f>SUM(AC73:AF73)</f>
        <v>187.49221591389798</v>
      </c>
      <c r="AH73" s="169">
        <f>AH68*AH74</f>
        <v>47.245033959612201</v>
      </c>
      <c r="AI73" s="169">
        <f>AI68*AI74</f>
        <v>46.925627541645518</v>
      </c>
      <c r="AJ73" s="169">
        <f t="shared" ref="AJ73" si="196">AJ68*AJ74</f>
        <v>53.372834818914228</v>
      </c>
      <c r="AK73" s="169">
        <f t="shared" ref="AK73" si="197">AK68*AK74</f>
        <v>52.452977351445831</v>
      </c>
      <c r="AL73" s="170">
        <f>SUM(AH73:AK73)</f>
        <v>199.99647367161776</v>
      </c>
      <c r="AM73" s="169">
        <f>AM68*AM74</f>
        <v>50.369423570544001</v>
      </c>
      <c r="AN73" s="169">
        <f>AN68*AN74</f>
        <v>50.023704409602786</v>
      </c>
      <c r="AO73" s="169">
        <f t="shared" ref="AO73:AP73" si="198">AO68*AO74</f>
        <v>56.909762479729309</v>
      </c>
      <c r="AP73" s="169">
        <f t="shared" si="198"/>
        <v>55.901579428498849</v>
      </c>
      <c r="AQ73" s="170">
        <f>SUM(AM73:AP73)</f>
        <v>213.20446988837494</v>
      </c>
    </row>
    <row r="74" spans="1:43" s="473" customFormat="1" outlineLevel="1" x14ac:dyDescent="0.25">
      <c r="A74" s="471"/>
      <c r="B74" s="467" t="s">
        <v>342</v>
      </c>
      <c r="C74" s="478"/>
      <c r="D74" s="475">
        <f>D73/D68</f>
        <v>9.6476964769647705E-3</v>
      </c>
      <c r="E74" s="475">
        <f t="shared" ref="E74:P74" si="199">E73/E68</f>
        <v>9.1328434667717479E-3</v>
      </c>
      <c r="F74" s="475">
        <f t="shared" si="199"/>
        <v>8.908162611352034E-3</v>
      </c>
      <c r="G74" s="475">
        <f t="shared" si="199"/>
        <v>7.352625016124179E-3</v>
      </c>
      <c r="H74" s="476"/>
      <c r="I74" s="475">
        <f t="shared" si="199"/>
        <v>8.4815103075295863E-3</v>
      </c>
      <c r="J74" s="475">
        <f t="shared" si="199"/>
        <v>9.6535796766743648E-3</v>
      </c>
      <c r="K74" s="475">
        <f t="shared" si="199"/>
        <v>1.4507217964712174E-2</v>
      </c>
      <c r="L74" s="475">
        <f t="shared" si="199"/>
        <v>9.8750265775236819E-3</v>
      </c>
      <c r="M74" s="476"/>
      <c r="N74" s="475">
        <f t="shared" si="199"/>
        <v>9.1001871066507915E-3</v>
      </c>
      <c r="O74" s="475">
        <f t="shared" si="199"/>
        <v>8.982549414740814E-3</v>
      </c>
      <c r="P74" s="475">
        <f t="shared" si="199"/>
        <v>7.3514434383275002E-3</v>
      </c>
      <c r="Q74" s="477">
        <f>P74</f>
        <v>7.3514434383275002E-3</v>
      </c>
      <c r="R74" s="476">
        <f t="shared" ref="R74" si="200">R73/R68</f>
        <v>8.1180710698722548E-3</v>
      </c>
      <c r="S74" s="477">
        <f>Q74</f>
        <v>7.3514434383275002E-3</v>
      </c>
      <c r="T74" s="477">
        <f>S74</f>
        <v>7.3514434383275002E-3</v>
      </c>
      <c r="U74" s="477">
        <f>T74</f>
        <v>7.3514434383275002E-3</v>
      </c>
      <c r="V74" s="477">
        <f>U74</f>
        <v>7.3514434383275002E-3</v>
      </c>
      <c r="W74" s="476">
        <f t="shared" ref="W74" si="201">W73/W68</f>
        <v>7.3514434383275011E-3</v>
      </c>
      <c r="X74" s="477">
        <f>V74</f>
        <v>7.3514434383275002E-3</v>
      </c>
      <c r="Y74" s="477">
        <f>X74</f>
        <v>7.3514434383275002E-3</v>
      </c>
      <c r="Z74" s="477">
        <f>Y74</f>
        <v>7.3514434383275002E-3</v>
      </c>
      <c r="AA74" s="477">
        <f>Z74</f>
        <v>7.3514434383275002E-3</v>
      </c>
      <c r="AB74" s="476">
        <f t="shared" ref="AB74" si="202">AB73/AB68</f>
        <v>7.3514434383274993E-3</v>
      </c>
      <c r="AC74" s="477">
        <f>AA74</f>
        <v>7.3514434383275002E-3</v>
      </c>
      <c r="AD74" s="477">
        <f>AC74</f>
        <v>7.3514434383275002E-3</v>
      </c>
      <c r="AE74" s="477">
        <f>AD74</f>
        <v>7.3514434383275002E-3</v>
      </c>
      <c r="AF74" s="477">
        <f>AE74</f>
        <v>7.3514434383275002E-3</v>
      </c>
      <c r="AG74" s="476">
        <f t="shared" ref="AG74" si="203">AG73/AG68</f>
        <v>7.3514434383275002E-3</v>
      </c>
      <c r="AH74" s="477">
        <f>AF74</f>
        <v>7.3514434383275002E-3</v>
      </c>
      <c r="AI74" s="477">
        <f>AH74</f>
        <v>7.3514434383275002E-3</v>
      </c>
      <c r="AJ74" s="477">
        <f>AI74</f>
        <v>7.3514434383275002E-3</v>
      </c>
      <c r="AK74" s="477">
        <f>AJ74</f>
        <v>7.3514434383275002E-3</v>
      </c>
      <c r="AL74" s="476">
        <f t="shared" ref="AL74" si="204">AL73/AL68</f>
        <v>7.3514434383275002E-3</v>
      </c>
      <c r="AM74" s="477">
        <f>AK74</f>
        <v>7.3514434383275002E-3</v>
      </c>
      <c r="AN74" s="477">
        <f>AM74</f>
        <v>7.3514434383275002E-3</v>
      </c>
      <c r="AO74" s="477">
        <f>AN74</f>
        <v>7.3514434383275002E-3</v>
      </c>
      <c r="AP74" s="477">
        <f>AO74</f>
        <v>7.3514434383275002E-3</v>
      </c>
      <c r="AQ74" s="476">
        <f t="shared" ref="AQ74" si="205">AQ73/AQ68</f>
        <v>7.3514434383275002E-3</v>
      </c>
    </row>
    <row r="75" spans="1:43" outlineLevel="1" x14ac:dyDescent="0.25">
      <c r="A75" s="254"/>
      <c r="B75" s="408" t="s">
        <v>143</v>
      </c>
      <c r="C75" s="36"/>
      <c r="D75" s="205">
        <v>166.9</v>
      </c>
      <c r="E75" s="205">
        <v>173</v>
      </c>
      <c r="F75" s="205">
        <v>175.6</v>
      </c>
      <c r="G75" s="205">
        <v>180.6</v>
      </c>
      <c r="H75" s="18"/>
      <c r="I75" s="205">
        <v>189.2</v>
      </c>
      <c r="J75" s="205">
        <v>191.5</v>
      </c>
      <c r="K75" s="205">
        <v>191.3</v>
      </c>
      <c r="L75" s="205">
        <v>190</v>
      </c>
      <c r="M75" s="386"/>
      <c r="N75" s="205">
        <v>188.9</v>
      </c>
      <c r="O75" s="205">
        <v>186</v>
      </c>
      <c r="P75" s="205">
        <v>188.9</v>
      </c>
      <c r="Q75" s="205">
        <f>(P75/(P75+P110+P125+P138))*Q245</f>
        <v>202.01447557891524</v>
      </c>
      <c r="R75" s="170">
        <f t="shared" ref="R75:R76" si="206">SUM(N75:Q75)</f>
        <v>765.81447557891522</v>
      </c>
      <c r="S75" s="205">
        <f>(Q75/(Q75+Q110+Q125+Q138))*S245</f>
        <v>213.98238429310106</v>
      </c>
      <c r="T75" s="205">
        <f>(S75/(S75+S110+S125+S138))*T245</f>
        <v>216.18971955029215</v>
      </c>
      <c r="U75" s="205">
        <f>(T75/(T75+T110+T125+T138))*U245</f>
        <v>217.55477985506809</v>
      </c>
      <c r="V75" s="205">
        <f>(U75/(U75+U110+U125+U138))*V245</f>
        <v>221.7752201952396</v>
      </c>
      <c r="W75" s="170">
        <f t="shared" ref="W75:W76" si="207">SUM(S75:V75)</f>
        <v>869.50210389370091</v>
      </c>
      <c r="X75" s="205">
        <f>(V75/(V75+V110+V125+V138))*X245</f>
        <v>224.84111269565557</v>
      </c>
      <c r="Y75" s="205">
        <f>(X75/(X75+X110+X125+X138))*Y245</f>
        <v>226.67009111254882</v>
      </c>
      <c r="Z75" s="205">
        <f>(Y75/(Y75+Y110+Y125+Y138))*Z245</f>
        <v>228.1623446874072</v>
      </c>
      <c r="AA75" s="205">
        <f>(Z75/(Z75+Z110+Z125+Z138))*AA245</f>
        <v>231.31611820315104</v>
      </c>
      <c r="AB75" s="170">
        <f t="shared" ref="AB75:AB76" si="208">SUM(X75:AA75)</f>
        <v>910.98966669876268</v>
      </c>
      <c r="AC75" s="205">
        <f>(AA75/(AA75+AA110+AA125+AA138))*AC245</f>
        <v>233.62934870485009</v>
      </c>
      <c r="AD75" s="205">
        <f>(AC75/(AC75+AC110+AC125+AC138))*AD245</f>
        <v>234.76283055189128</v>
      </c>
      <c r="AE75" s="205">
        <f>(AD75/(AD75+AD110+AD125+AD138))*AE245</f>
        <v>235.58907382788433</v>
      </c>
      <c r="AF75" s="205">
        <f>(AE75/(AE75+AE110+AE125+AE138))*AF245</f>
        <v>237.9711129823736</v>
      </c>
      <c r="AG75" s="170">
        <f t="shared" ref="AG75:AG76" si="209">SUM(AC75:AF75)</f>
        <v>941.95236606699928</v>
      </c>
      <c r="AH75" s="205">
        <f>(AF75/(AF75+AF110+AF125+AF138))*AH245</f>
        <v>240.61420812132494</v>
      </c>
      <c r="AI75" s="205">
        <f>(AH75/(AH75+AH110+AH125+AH138))*AI245</f>
        <v>242.65612849617486</v>
      </c>
      <c r="AJ75" s="205">
        <f>(AI75/(AI75+AI110+AI125+AI138))*AJ245</f>
        <v>244.28928532866314</v>
      </c>
      <c r="AK75" s="205">
        <f>(AJ75/(AJ75+AJ110+AJ125+AJ138))*AK245</f>
        <v>247.53959513843571</v>
      </c>
      <c r="AL75" s="170">
        <f t="shared" ref="AL75:AL76" si="210">SUM(AH75:AK75)</f>
        <v>975.09921708459865</v>
      </c>
      <c r="AM75" s="205">
        <f>(AK75/(AK75+AK110+AK125+AK138))*AM245</f>
        <v>250.87123636371686</v>
      </c>
      <c r="AN75" s="205">
        <f>(AM75/(AM75+AM110+AM125+AM138))*AN245</f>
        <v>253.66980201084948</v>
      </c>
      <c r="AO75" s="205">
        <f>(AN75/(AN75+AN110+AN125+AN138))*AO245</f>
        <v>255.9644839128357</v>
      </c>
      <c r="AP75" s="205">
        <f>(AO75/(AO75+AO110+AO125+AO138))*AP245</f>
        <v>259.92668411275667</v>
      </c>
      <c r="AQ75" s="170">
        <f t="shared" ref="AQ75:AQ76" si="211">SUM(AM75:AP75)</f>
        <v>1020.4322064001587</v>
      </c>
    </row>
    <row r="76" spans="1:43" outlineLevel="1" x14ac:dyDescent="0.25">
      <c r="A76" s="254"/>
      <c r="B76" s="408" t="s">
        <v>144</v>
      </c>
      <c r="C76" s="36"/>
      <c r="D76" s="169">
        <v>75.099999999999994</v>
      </c>
      <c r="E76" s="169">
        <v>70.900000000000006</v>
      </c>
      <c r="F76" s="169">
        <v>72</v>
      </c>
      <c r="G76" s="169">
        <v>106</v>
      </c>
      <c r="H76" s="170"/>
      <c r="I76" s="169">
        <v>72.400000000000006</v>
      </c>
      <c r="J76" s="169">
        <v>68.2</v>
      </c>
      <c r="K76" s="169">
        <v>62.2</v>
      </c>
      <c r="L76" s="169">
        <v>65.2</v>
      </c>
      <c r="M76" s="385"/>
      <c r="N76" s="169">
        <v>70.8</v>
      </c>
      <c r="O76" s="169">
        <v>77.7</v>
      </c>
      <c r="P76" s="169">
        <v>73.2</v>
      </c>
      <c r="Q76" s="169">
        <f t="shared" ref="Q76" si="212">Q77*Q68</f>
        <v>86.628107696432707</v>
      </c>
      <c r="R76" s="170">
        <f t="shared" si="206"/>
        <v>308.32810769643271</v>
      </c>
      <c r="S76" s="169">
        <f>S77*S68</f>
        <v>78.795423577867822</v>
      </c>
      <c r="T76" s="169">
        <f>T77*T68</f>
        <v>97.025896427217816</v>
      </c>
      <c r="U76" s="169">
        <f t="shared" ref="U76" si="213">U77*U68</f>
        <v>110.04564058259827</v>
      </c>
      <c r="V76" s="169">
        <f t="shared" ref="V76" si="214">V77*V68</f>
        <v>85.499152173992584</v>
      </c>
      <c r="W76" s="170">
        <f t="shared" si="207"/>
        <v>371.36611276167645</v>
      </c>
      <c r="X76" s="169">
        <f>X77*X68</f>
        <v>80.312730788205073</v>
      </c>
      <c r="Y76" s="169">
        <f>Y77*Y68</f>
        <v>101.97695869826423</v>
      </c>
      <c r="Z76" s="169">
        <f t="shared" ref="Z76" si="215">Z77*Z68</f>
        <v>115.78150574718119</v>
      </c>
      <c r="AA76" s="169">
        <f t="shared" ref="AA76" si="216">AA77*AA68</f>
        <v>88.913717249716228</v>
      </c>
      <c r="AB76" s="170">
        <f t="shared" si="208"/>
        <v>386.98491248336671</v>
      </c>
      <c r="AC76" s="169">
        <f>AC77*AC68</f>
        <v>84.911527382665867</v>
      </c>
      <c r="AD76" s="169">
        <f>AD77*AD68</f>
        <v>108.27829586273685</v>
      </c>
      <c r="AE76" s="169">
        <f t="shared" ref="AE76" si="217">AE77*AE68</f>
        <v>123.12082865658338</v>
      </c>
      <c r="AF76" s="169">
        <f t="shared" ref="AF76" si="218">AF77*AF68</f>
        <v>94.297456571774276</v>
      </c>
      <c r="AG76" s="170">
        <f t="shared" si="209"/>
        <v>410.60810847376035</v>
      </c>
      <c r="AH76" s="169">
        <f>AH77*AH68</f>
        <v>93.466393615427705</v>
      </c>
      <c r="AI76" s="169">
        <f>AI77*AI68</f>
        <v>118.3672436754308</v>
      </c>
      <c r="AJ76" s="169">
        <f t="shared" ref="AJ76" si="219">AJ77*AJ68</f>
        <v>134.62995969637706</v>
      </c>
      <c r="AK76" s="169">
        <f t="shared" ref="AK76" si="220">AK77*AK68</f>
        <v>103.76943810903744</v>
      </c>
      <c r="AL76" s="170">
        <f t="shared" si="210"/>
        <v>450.233035096273</v>
      </c>
      <c r="AM76" s="169">
        <f>AM77*AM68</f>
        <v>98.715194628075096</v>
      </c>
      <c r="AN76" s="169">
        <f>AN77*AN68</f>
        <v>125.25608537935139</v>
      </c>
      <c r="AO76" s="169">
        <f t="shared" ref="AO76:AP76" si="221">AO77*AO68</f>
        <v>142.49832458851651</v>
      </c>
      <c r="AP76" s="169">
        <f t="shared" si="221"/>
        <v>109.55724529133148</v>
      </c>
      <c r="AQ76" s="170">
        <f t="shared" si="211"/>
        <v>476.02684988727447</v>
      </c>
    </row>
    <row r="77" spans="1:43" s="473" customFormat="1" outlineLevel="1" x14ac:dyDescent="0.25">
      <c r="A77" s="471"/>
      <c r="B77" s="467" t="s">
        <v>343</v>
      </c>
      <c r="C77" s="478"/>
      <c r="D77" s="475">
        <f>D76/D68</f>
        <v>1.6281842818428184E-2</v>
      </c>
      <c r="E77" s="475">
        <f t="shared" ref="E77:P77" si="222">E76/E68</f>
        <v>1.6434482279038501E-2</v>
      </c>
      <c r="F77" s="475">
        <f t="shared" si="222"/>
        <v>1.5381000192262503E-2</v>
      </c>
      <c r="G77" s="475">
        <f t="shared" si="222"/>
        <v>2.2788837769273769E-2</v>
      </c>
      <c r="H77" s="476"/>
      <c r="I77" s="475">
        <f t="shared" si="222"/>
        <v>1.4448502265062167E-2</v>
      </c>
      <c r="J77" s="475">
        <f t="shared" si="222"/>
        <v>1.5750577367205542E-2</v>
      </c>
      <c r="K77" s="475">
        <f t="shared" si="222"/>
        <v>2.2170736054179293E-2</v>
      </c>
      <c r="L77" s="475">
        <f t="shared" si="222"/>
        <v>1.5403151503697228E-2</v>
      </c>
      <c r="M77" s="476"/>
      <c r="N77" s="475">
        <f t="shared" si="222"/>
        <v>1.5053580540908319E-2</v>
      </c>
      <c r="O77" s="475">
        <f t="shared" si="222"/>
        <v>1.6657376838314114E-2</v>
      </c>
      <c r="P77" s="475">
        <f t="shared" si="222"/>
        <v>1.3554802510971613E-2</v>
      </c>
      <c r="Q77" s="477">
        <f>AVERAGE(D77:P77)-0.2%</f>
        <v>1.4720444558121932E-2</v>
      </c>
      <c r="R77" s="476">
        <f t="shared" ref="R77" si="223">R76/R68</f>
        <v>1.4928985984133336E-2</v>
      </c>
      <c r="S77" s="477">
        <f>AVERAGE(D77:P77)-0.2%</f>
        <v>1.4720444558121932E-2</v>
      </c>
      <c r="T77" s="477">
        <f>AVERAGE(D77:P77)+0.2%</f>
        <v>1.8720444558121933E-2</v>
      </c>
      <c r="U77" s="477">
        <f>AVERAGE(D77:P77)+0.2%</f>
        <v>1.8720444558121933E-2</v>
      </c>
      <c r="V77" s="477">
        <f>AVERAGE(D77:P77)-0.2%</f>
        <v>1.4720444558121932E-2</v>
      </c>
      <c r="W77" s="476">
        <f t="shared" ref="W77" si="224">W76/W68</f>
        <v>1.6711469026428231E-2</v>
      </c>
      <c r="X77" s="477">
        <f>AVERAGE(I77:U77)-0.2%</f>
        <v>1.4237457608079948E-2</v>
      </c>
      <c r="Y77" s="477">
        <f>AVERAGE(I77:U77)+0.2%</f>
        <v>1.8237457608079946E-2</v>
      </c>
      <c r="Z77" s="477">
        <f>AVERAGE(I77:U77)+0.2%</f>
        <v>1.8237457608079946E-2</v>
      </c>
      <c r="AA77" s="477">
        <f>AVERAGE(I77:U77)-0.2%</f>
        <v>1.4237457608079948E-2</v>
      </c>
      <c r="AB77" s="476">
        <f t="shared" ref="AB77" si="225">AB76/AB68</f>
        <v>1.6242005102168808E-2</v>
      </c>
      <c r="AC77" s="477">
        <f>AVERAGE(N77:Z77)-0.2%</f>
        <v>1.4093908501200398E-2</v>
      </c>
      <c r="AD77" s="477">
        <f>AVERAGE(N77:Z77)+0.2%</f>
        <v>1.8093908501200399E-2</v>
      </c>
      <c r="AE77" s="477">
        <f>AVERAGE(N77:Z77)+0.2%</f>
        <v>1.8093908501200399E-2</v>
      </c>
      <c r="AF77" s="477">
        <f>AVERAGE(N77:Z77)-0.2%</f>
        <v>1.4093908501200398E-2</v>
      </c>
      <c r="AG77" s="476">
        <f t="shared" ref="AG77" si="226">AG76/AG68</f>
        <v>1.609966723178367E-2</v>
      </c>
      <c r="AH77" s="477">
        <f>AVERAGE(S77:AE77)-0.2%</f>
        <v>1.4543600638231213E-2</v>
      </c>
      <c r="AI77" s="477">
        <f>AVERAGE(S77:AE77)+0.2%</f>
        <v>1.8543600638231211E-2</v>
      </c>
      <c r="AJ77" s="477">
        <f>AVERAGE(S77:AE77)+0.2%</f>
        <v>1.8543600638231211E-2</v>
      </c>
      <c r="AK77" s="477">
        <f>AVERAGE(S77:AE77)-0.2%</f>
        <v>1.4543600638231213E-2</v>
      </c>
      <c r="AL77" s="476">
        <f t="shared" ref="AL77" si="227">AL76/AL68</f>
        <v>1.6549605254597477E-2</v>
      </c>
      <c r="AM77" s="477">
        <f>AVERAGE(X77:AJ77)-0.2%</f>
        <v>1.4407533745059037E-2</v>
      </c>
      <c r="AN77" s="477">
        <f>AVERAGE(X77:AJ77)+0.2%</f>
        <v>1.8407533745059039E-2</v>
      </c>
      <c r="AO77" s="477">
        <f>AVERAGE(X77:AJ77)+0.2%</f>
        <v>1.8407533745059039E-2</v>
      </c>
      <c r="AP77" s="477">
        <f>AVERAGE(X77:AJ77)-0.2%</f>
        <v>1.4407533745059037E-2</v>
      </c>
      <c r="AQ77" s="476">
        <f t="shared" ref="AQ77" si="228">AQ76/AQ68</f>
        <v>1.6413748097794102E-2</v>
      </c>
    </row>
    <row r="78" spans="1:43" ht="17.25" outlineLevel="1" x14ac:dyDescent="0.4">
      <c r="A78" s="254"/>
      <c r="B78" s="408" t="s">
        <v>152</v>
      </c>
      <c r="C78" s="36"/>
      <c r="D78" s="288">
        <v>22.9</v>
      </c>
      <c r="E78" s="288">
        <v>18.2</v>
      </c>
      <c r="F78" s="288">
        <v>15.1</v>
      </c>
      <c r="G78" s="288">
        <v>0.7</v>
      </c>
      <c r="H78" s="319"/>
      <c r="I78" s="288">
        <v>5.2</v>
      </c>
      <c r="J78" s="288">
        <v>0.5</v>
      </c>
      <c r="K78" s="288">
        <v>56.2</v>
      </c>
      <c r="L78" s="206">
        <v>195.6</v>
      </c>
      <c r="M78" s="384"/>
      <c r="N78" s="206">
        <v>72.2</v>
      </c>
      <c r="O78" s="288">
        <v>23</v>
      </c>
      <c r="P78" s="288">
        <v>19.8</v>
      </c>
      <c r="Q78" s="292">
        <v>5</v>
      </c>
      <c r="R78" s="174">
        <f>SUM(N78:Q78)</f>
        <v>120</v>
      </c>
      <c r="S78" s="292">
        <v>0</v>
      </c>
      <c r="T78" s="292">
        <v>0</v>
      </c>
      <c r="U78" s="292">
        <v>0</v>
      </c>
      <c r="V78" s="292">
        <v>0</v>
      </c>
      <c r="W78" s="174">
        <f>SUM(S78:V78)</f>
        <v>0</v>
      </c>
      <c r="X78" s="292">
        <v>0</v>
      </c>
      <c r="Y78" s="292">
        <v>0</v>
      </c>
      <c r="Z78" s="292">
        <v>0</v>
      </c>
      <c r="AA78" s="292">
        <v>0</v>
      </c>
      <c r="AB78" s="174">
        <f>SUM(X78:AA78)</f>
        <v>0</v>
      </c>
      <c r="AC78" s="292">
        <v>0</v>
      </c>
      <c r="AD78" s="292">
        <v>0</v>
      </c>
      <c r="AE78" s="292">
        <v>0</v>
      </c>
      <c r="AF78" s="292">
        <v>0</v>
      </c>
      <c r="AG78" s="174">
        <f>SUM(AC78:AF78)</f>
        <v>0</v>
      </c>
      <c r="AH78" s="292">
        <v>0</v>
      </c>
      <c r="AI78" s="292">
        <v>0</v>
      </c>
      <c r="AJ78" s="292">
        <v>0</v>
      </c>
      <c r="AK78" s="292">
        <v>0</v>
      </c>
      <c r="AL78" s="174">
        <f>SUM(AH78:AK78)</f>
        <v>0</v>
      </c>
      <c r="AM78" s="292">
        <v>0</v>
      </c>
      <c r="AN78" s="292">
        <v>0</v>
      </c>
      <c r="AO78" s="292">
        <v>0</v>
      </c>
      <c r="AP78" s="292">
        <v>0</v>
      </c>
      <c r="AQ78" s="174">
        <f>SUM(AM78:AP78)</f>
        <v>0</v>
      </c>
    </row>
    <row r="79" spans="1:43" outlineLevel="1" x14ac:dyDescent="0.25">
      <c r="A79" s="254"/>
      <c r="B79" s="167" t="s">
        <v>238</v>
      </c>
      <c r="C79" s="39"/>
      <c r="D79" s="259">
        <f>+D69+D71+D73+D75+D76+D78</f>
        <v>3643.7999999999997</v>
      </c>
      <c r="E79" s="259">
        <f t="shared" ref="E79:G79" si="229">+E69+E71+E73+E75+E76+E78</f>
        <v>3457.7</v>
      </c>
      <c r="F79" s="259">
        <f t="shared" si="229"/>
        <v>3662.3999999999996</v>
      </c>
      <c r="G79" s="259">
        <f t="shared" si="229"/>
        <v>3712.4999999999995</v>
      </c>
      <c r="H79" s="414">
        <f>+H69+H71+H73+H75+H76+H78</f>
        <v>0</v>
      </c>
      <c r="I79" s="259">
        <f t="shared" ref="I79:L79" si="230">+I69+I71+I73+I75+I76+I78</f>
        <v>3912.1</v>
      </c>
      <c r="J79" s="259">
        <f t="shared" si="230"/>
        <v>3708.8</v>
      </c>
      <c r="K79" s="259">
        <f t="shared" si="230"/>
        <v>3210.3999999999996</v>
      </c>
      <c r="L79" s="171">
        <f t="shared" si="230"/>
        <v>3722.6</v>
      </c>
      <c r="M79" s="479">
        <f>+M69+M71+M73+M75+M76+M78</f>
        <v>0</v>
      </c>
      <c r="N79" s="171">
        <f t="shared" ref="N79:Q79" si="231">+N69+N71+N73+N75+N76+N78</f>
        <v>3889.7000000000003</v>
      </c>
      <c r="O79" s="171">
        <f t="shared" si="231"/>
        <v>3759.2999999999997</v>
      </c>
      <c r="P79" s="171">
        <f t="shared" si="231"/>
        <v>4084.6</v>
      </c>
      <c r="Q79" s="171">
        <f t="shared" si="231"/>
        <v>4568.1265764890868</v>
      </c>
      <c r="R79" s="479">
        <f>+R69+R71+R73+R75+R76+R78</f>
        <v>16301.726576489087</v>
      </c>
      <c r="S79" s="171">
        <f t="shared" ref="S79:AK79" si="232">+S69+S71+S73+S75+S76+S78</f>
        <v>4223.4694147357377</v>
      </c>
      <c r="T79" s="171">
        <f t="shared" si="232"/>
        <v>4182.4357888983732</v>
      </c>
      <c r="U79" s="171">
        <f t="shared" si="232"/>
        <v>4582.9354344835901</v>
      </c>
      <c r="V79" s="171">
        <f t="shared" si="232"/>
        <v>4519.0078981226379</v>
      </c>
      <c r="W79" s="479">
        <f>+W69+W71+W73+W75+W76+W78</f>
        <v>17507.848536240337</v>
      </c>
      <c r="X79" s="171">
        <f t="shared" si="232"/>
        <v>4387.7747332627578</v>
      </c>
      <c r="Y79" s="171">
        <f t="shared" si="232"/>
        <v>4448.6308733441092</v>
      </c>
      <c r="Z79" s="171">
        <f t="shared" si="232"/>
        <v>5054.8784195444287</v>
      </c>
      <c r="AA79" s="171">
        <f t="shared" si="232"/>
        <v>4841.7218384922762</v>
      </c>
      <c r="AB79" s="479">
        <f>+AB69+AB71+AB73+AB75+AB76+AB78</f>
        <v>18733.005864643572</v>
      </c>
      <c r="AC79" s="171">
        <f t="shared" si="232"/>
        <v>4683.7625038999822</v>
      </c>
      <c r="AD79" s="171">
        <f t="shared" si="232"/>
        <v>4757.456761620092</v>
      </c>
      <c r="AE79" s="171">
        <f t="shared" si="232"/>
        <v>5413.7178566393341</v>
      </c>
      <c r="AF79" s="171">
        <f t="shared" si="232"/>
        <v>5182.7905266803318</v>
      </c>
      <c r="AG79" s="479">
        <f>+AG69+AG71+AG73+AG75+AG76+AG78</f>
        <v>20037.72764883974</v>
      </c>
      <c r="AH79" s="171">
        <f t="shared" si="232"/>
        <v>4995.6987376323459</v>
      </c>
      <c r="AI79" s="171">
        <f t="shared" si="232"/>
        <v>5074.6586840239634</v>
      </c>
      <c r="AJ79" s="171">
        <f t="shared" si="232"/>
        <v>5777.6667114213278</v>
      </c>
      <c r="AK79" s="171">
        <f t="shared" si="232"/>
        <v>5529.8279993693523</v>
      </c>
      <c r="AL79" s="479">
        <f>+AL69+AL71+AL73+AL75+AL76+AL78</f>
        <v>21377.852132446991</v>
      </c>
      <c r="AM79" s="171">
        <f t="shared" ref="AM79:AP79" si="233">+AM69+AM71+AM73+AM75+AM76+AM78</f>
        <v>5325.2354782205111</v>
      </c>
      <c r="AN79" s="171">
        <f t="shared" si="233"/>
        <v>5409.2251104680727</v>
      </c>
      <c r="AO79" s="171">
        <f t="shared" si="233"/>
        <v>6160.7942997504524</v>
      </c>
      <c r="AP79" s="171">
        <f t="shared" si="233"/>
        <v>5894.8881255525621</v>
      </c>
      <c r="AQ79" s="479">
        <f>+AQ69+AQ71+AQ73+AQ75+AQ76+AQ78</f>
        <v>22790.143013991601</v>
      </c>
    </row>
    <row r="80" spans="1:43" outlineLevel="1" x14ac:dyDescent="0.25">
      <c r="A80" s="254"/>
      <c r="B80" s="167" t="s">
        <v>239</v>
      </c>
      <c r="C80" s="144"/>
      <c r="D80" s="365">
        <f t="shared" ref="D80:G80" si="234">+D68-D79</f>
        <v>968.70000000000027</v>
      </c>
      <c r="E80" s="365">
        <f t="shared" si="234"/>
        <v>856.40000000000055</v>
      </c>
      <c r="F80" s="365">
        <f t="shared" si="234"/>
        <v>1018.6999999999998</v>
      </c>
      <c r="G80" s="365">
        <f t="shared" si="234"/>
        <v>938.90000000000009</v>
      </c>
      <c r="H80" s="320">
        <f>SUM(D80:G80)</f>
        <v>3782.7000000000007</v>
      </c>
      <c r="I80" s="365">
        <f t="shared" ref="I80:L80" si="235">+I68-I79</f>
        <v>1098.7999999999997</v>
      </c>
      <c r="J80" s="365">
        <f t="shared" si="235"/>
        <v>621.19999999999982</v>
      </c>
      <c r="K80" s="365">
        <f t="shared" si="235"/>
        <v>-404.89999999999964</v>
      </c>
      <c r="L80" s="207">
        <f t="shared" si="235"/>
        <v>510.30000000000064</v>
      </c>
      <c r="M80" s="239">
        <f>SUM(I80:L80)</f>
        <v>1825.4000000000005</v>
      </c>
      <c r="N80" s="207">
        <f>+N68-N79</f>
        <v>813.49999999999955</v>
      </c>
      <c r="O80" s="207">
        <f t="shared" ref="O80:Q80" si="236">+O68-O79</f>
        <v>905.29999999999973</v>
      </c>
      <c r="P80" s="207">
        <f t="shared" si="236"/>
        <v>1315.7000000000003</v>
      </c>
      <c r="Q80" s="207">
        <f t="shared" si="236"/>
        <v>1316.7573585301234</v>
      </c>
      <c r="R80" s="239">
        <f>SUM(N80:Q80)</f>
        <v>4351.2573585301234</v>
      </c>
      <c r="S80" s="207">
        <f t="shared" ref="S80:V80" si="237">+S68-S79</f>
        <v>1129.3188972444768</v>
      </c>
      <c r="T80" s="207">
        <f t="shared" si="237"/>
        <v>1000.448416974974</v>
      </c>
      <c r="U80" s="207">
        <f t="shared" si="237"/>
        <v>1295.4314088323481</v>
      </c>
      <c r="V80" s="207">
        <f t="shared" si="237"/>
        <v>1289.1830051078532</v>
      </c>
      <c r="W80" s="239">
        <f>SUM(S80:V80)</f>
        <v>4714.3817281596521</v>
      </c>
      <c r="X80" s="207">
        <f t="shared" ref="X80:AA80" si="238">+X68-X79</f>
        <v>1253.1713540939145</v>
      </c>
      <c r="Y80" s="207">
        <f t="shared" si="238"/>
        <v>1142.9905516227254</v>
      </c>
      <c r="Z80" s="207">
        <f t="shared" si="238"/>
        <v>1293.6767483582071</v>
      </c>
      <c r="AA80" s="207">
        <f t="shared" si="238"/>
        <v>1403.3339641151015</v>
      </c>
      <c r="AB80" s="239">
        <f>SUM(X80:AA80)</f>
        <v>5093.1726181899485</v>
      </c>
      <c r="AC80" s="207">
        <f t="shared" ref="AC80:AF80" si="239">+AC68-AC79</f>
        <v>1340.9344334636908</v>
      </c>
      <c r="AD80" s="207">
        <f t="shared" si="239"/>
        <v>1226.7835066200932</v>
      </c>
      <c r="AE80" s="207">
        <f t="shared" si="239"/>
        <v>1390.8279189964396</v>
      </c>
      <c r="AF80" s="207">
        <f t="shared" si="239"/>
        <v>1507.862854795987</v>
      </c>
      <c r="AG80" s="239">
        <f>SUM(AC80:AF80)</f>
        <v>5466.4087138762106</v>
      </c>
      <c r="AH80" s="207">
        <f t="shared" ref="AH80:AK80" si="240">+AH68-AH79</f>
        <v>1430.9349372314773</v>
      </c>
      <c r="AI80" s="207">
        <f t="shared" si="240"/>
        <v>1308.526867944508</v>
      </c>
      <c r="AJ80" s="207">
        <f t="shared" si="240"/>
        <v>1482.5176682407</v>
      </c>
      <c r="AK80" s="207">
        <f t="shared" si="240"/>
        <v>1605.2302774823584</v>
      </c>
      <c r="AL80" s="239">
        <f>SUM(AH80:AK80)</f>
        <v>5827.2097508990437</v>
      </c>
      <c r="AM80" s="207">
        <f t="shared" ref="AM80:AP80" si="241">+AM68-AM79</f>
        <v>1526.4017537192567</v>
      </c>
      <c r="AN80" s="207">
        <f t="shared" si="241"/>
        <v>1395.3847364633612</v>
      </c>
      <c r="AO80" s="207">
        <f t="shared" si="241"/>
        <v>1580.5102422969576</v>
      </c>
      <c r="AP80" s="207">
        <f t="shared" si="241"/>
        <v>1709.2755869845241</v>
      </c>
      <c r="AQ80" s="239">
        <f>SUM(AM80:AP80)</f>
        <v>6211.5723194640996</v>
      </c>
    </row>
    <row r="81" spans="1:43" outlineLevel="1" x14ac:dyDescent="0.25">
      <c r="A81" s="254"/>
      <c r="B81" s="167" t="s">
        <v>240</v>
      </c>
      <c r="C81" s="144"/>
      <c r="D81" s="366">
        <f t="shared" ref="D81:G81" si="242">+D80/D68</f>
        <v>0.21001626016260169</v>
      </c>
      <c r="E81" s="366">
        <f t="shared" si="242"/>
        <v>0.19851185647064287</v>
      </c>
      <c r="F81" s="366">
        <f t="shared" si="242"/>
        <v>0.21761979022024736</v>
      </c>
      <c r="G81" s="366">
        <f t="shared" si="242"/>
        <v>0.20185320548652022</v>
      </c>
      <c r="H81" s="321">
        <f>H80/H68</f>
        <v>0.20716793270205</v>
      </c>
      <c r="I81" s="366">
        <f t="shared" ref="I81:L81" si="243">+I80/I68</f>
        <v>0.21928196531561192</v>
      </c>
      <c r="J81" s="366">
        <f t="shared" si="243"/>
        <v>0.14346420323325632</v>
      </c>
      <c r="K81" s="366">
        <f t="shared" si="243"/>
        <v>-0.14432364997326666</v>
      </c>
      <c r="L81" s="208">
        <f t="shared" si="243"/>
        <v>0.12055564742847706</v>
      </c>
      <c r="M81" s="240">
        <f>M80/M68</f>
        <v>0.11144554407086998</v>
      </c>
      <c r="N81" s="208">
        <f>+N80/N68</f>
        <v>0.17296734138458913</v>
      </c>
      <c r="O81" s="208">
        <f t="shared" ref="O81:Q81" si="244">+O80/O68</f>
        <v>0.19407880632851687</v>
      </c>
      <c r="P81" s="208">
        <f t="shared" si="244"/>
        <v>0.24363461289187641</v>
      </c>
      <c r="Q81" s="208">
        <f t="shared" si="244"/>
        <v>0.22375247720596295</v>
      </c>
      <c r="R81" s="240">
        <f>R80/R68</f>
        <v>0.21068419809072381</v>
      </c>
      <c r="S81" s="208">
        <f t="shared" ref="S81:V81" si="245">+S80/S68</f>
        <v>0.21097768703404896</v>
      </c>
      <c r="T81" s="208">
        <f t="shared" si="245"/>
        <v>0.19302928200503611</v>
      </c>
      <c r="U81" s="208">
        <f t="shared" si="245"/>
        <v>0.22037267209774986</v>
      </c>
      <c r="V81" s="208">
        <f t="shared" si="245"/>
        <v>0.22195947526291104</v>
      </c>
      <c r="W81" s="240">
        <f>W80/W68</f>
        <v>0.21214710099157288</v>
      </c>
      <c r="X81" s="208">
        <f t="shared" ref="X81:AA81" si="246">+X80/X68</f>
        <v>0.22215623668212475</v>
      </c>
      <c r="Y81" s="208">
        <f t="shared" si="246"/>
        <v>0.20441129052822185</v>
      </c>
      <c r="Z81" s="208">
        <f t="shared" si="246"/>
        <v>0.20377498724416024</v>
      </c>
      <c r="AA81" s="208">
        <f t="shared" si="246"/>
        <v>0.22471119690062569</v>
      </c>
      <c r="AB81" s="240">
        <f>AB80/AB68</f>
        <v>0.21376372303512789</v>
      </c>
      <c r="AC81" s="208">
        <f t="shared" ref="AC81:AF81" si="247">+AC80/AC68</f>
        <v>0.22257292730320569</v>
      </c>
      <c r="AD81" s="208">
        <f t="shared" si="247"/>
        <v>0.20500238152718081</v>
      </c>
      <c r="AE81" s="208">
        <f t="shared" si="247"/>
        <v>0.20439687891826835</v>
      </c>
      <c r="AF81" s="208">
        <f t="shared" si="247"/>
        <v>0.22536855054704255</v>
      </c>
      <c r="AG81" s="240">
        <f>AG80/AG68</f>
        <v>0.21433420195586225</v>
      </c>
      <c r="AH81" s="208">
        <f t="shared" ref="AH81:AK81" si="248">+AH80/AH68</f>
        <v>0.2226569942562967</v>
      </c>
      <c r="AI81" s="208">
        <f t="shared" si="248"/>
        <v>0.20499590013343408</v>
      </c>
      <c r="AJ81" s="208">
        <f t="shared" si="248"/>
        <v>0.20419834961680591</v>
      </c>
      <c r="AK81" s="208">
        <f t="shared" si="248"/>
        <v>0.22497787897405286</v>
      </c>
      <c r="AL81" s="240">
        <f>AL80/AL68</f>
        <v>0.21419579105851083</v>
      </c>
      <c r="AM81" s="208">
        <f t="shared" ref="AM81:AP81" si="249">+AM80/AM68</f>
        <v>0.22277912592974758</v>
      </c>
      <c r="AN81" s="208">
        <f t="shared" si="249"/>
        <v>0.20506462058109262</v>
      </c>
      <c r="AO81" s="208">
        <f t="shared" si="249"/>
        <v>0.20416587846561404</v>
      </c>
      <c r="AP81" s="208">
        <f t="shared" si="249"/>
        <v>0.22478153438048928</v>
      </c>
      <c r="AQ81" s="240">
        <f>AQ80/AQ68</f>
        <v>0.21417948035296297</v>
      </c>
    </row>
    <row r="82" spans="1:43" ht="18" x14ac:dyDescent="0.4">
      <c r="A82" s="254"/>
      <c r="B82" s="565" t="s">
        <v>290</v>
      </c>
      <c r="C82" s="566"/>
      <c r="D82" s="32" t="s">
        <v>119</v>
      </c>
      <c r="E82" s="32" t="s">
        <v>243</v>
      </c>
      <c r="F82" s="32" t="s">
        <v>247</v>
      </c>
      <c r="G82" s="32" t="s">
        <v>257</v>
      </c>
      <c r="H82" s="86" t="s">
        <v>258</v>
      </c>
      <c r="I82" s="32" t="s">
        <v>259</v>
      </c>
      <c r="J82" s="32" t="s">
        <v>260</v>
      </c>
      <c r="K82" s="32" t="s">
        <v>261</v>
      </c>
      <c r="L82" s="32" t="s">
        <v>322</v>
      </c>
      <c r="M82" s="86" t="s">
        <v>333</v>
      </c>
      <c r="N82" s="32" t="s">
        <v>339</v>
      </c>
      <c r="O82" s="32" t="s">
        <v>347</v>
      </c>
      <c r="P82" s="32" t="s">
        <v>349</v>
      </c>
      <c r="Q82" s="30" t="s">
        <v>129</v>
      </c>
      <c r="R82" s="89" t="s">
        <v>130</v>
      </c>
      <c r="S82" s="30" t="s">
        <v>131</v>
      </c>
      <c r="T82" s="30" t="s">
        <v>132</v>
      </c>
      <c r="U82" s="30" t="s">
        <v>133</v>
      </c>
      <c r="V82" s="30" t="s">
        <v>134</v>
      </c>
      <c r="W82" s="89" t="s">
        <v>135</v>
      </c>
      <c r="X82" s="30" t="s">
        <v>136</v>
      </c>
      <c r="Y82" s="30" t="s">
        <v>137</v>
      </c>
      <c r="Z82" s="30" t="s">
        <v>138</v>
      </c>
      <c r="AA82" s="30" t="s">
        <v>139</v>
      </c>
      <c r="AB82" s="89" t="s">
        <v>140</v>
      </c>
      <c r="AC82" s="30" t="s">
        <v>252</v>
      </c>
      <c r="AD82" s="30" t="s">
        <v>253</v>
      </c>
      <c r="AE82" s="30" t="s">
        <v>254</v>
      </c>
      <c r="AF82" s="30" t="s">
        <v>255</v>
      </c>
      <c r="AG82" s="89" t="s">
        <v>256</v>
      </c>
      <c r="AH82" s="30" t="s">
        <v>285</v>
      </c>
      <c r="AI82" s="30" t="s">
        <v>286</v>
      </c>
      <c r="AJ82" s="30" t="s">
        <v>287</v>
      </c>
      <c r="AK82" s="30" t="s">
        <v>288</v>
      </c>
      <c r="AL82" s="89" t="s">
        <v>289</v>
      </c>
      <c r="AM82" s="30" t="s">
        <v>356</v>
      </c>
      <c r="AN82" s="30" t="s">
        <v>357</v>
      </c>
      <c r="AO82" s="30" t="s">
        <v>358</v>
      </c>
      <c r="AP82" s="30" t="s">
        <v>359</v>
      </c>
      <c r="AQ82" s="89" t="s">
        <v>360</v>
      </c>
    </row>
    <row r="83" spans="1:43" s="20" customFormat="1" outlineLevel="1" x14ac:dyDescent="0.25">
      <c r="A83" s="269"/>
      <c r="B83" s="589" t="s">
        <v>291</v>
      </c>
      <c r="C83" s="590"/>
      <c r="D83" s="41">
        <v>5839</v>
      </c>
      <c r="E83" s="41">
        <v>5879</v>
      </c>
      <c r="F83" s="283">
        <v>5646</v>
      </c>
      <c r="G83" s="41">
        <v>5860</v>
      </c>
      <c r="H83" s="479">
        <f>G83</f>
        <v>5860</v>
      </c>
      <c r="I83" s="41">
        <v>6059</v>
      </c>
      <c r="J83" s="41">
        <v>6137</v>
      </c>
      <c r="K83" s="41">
        <v>6254</v>
      </c>
      <c r="L83" s="41">
        <v>6528</v>
      </c>
      <c r="M83" s="479">
        <f>L83</f>
        <v>6528</v>
      </c>
      <c r="N83" s="41">
        <v>6713</v>
      </c>
      <c r="O83" s="41">
        <f>+N83+O84</f>
        <v>6836</v>
      </c>
      <c r="P83" s="41">
        <f t="shared" ref="P83:Q83" si="250">+O83+P84</f>
        <v>7013</v>
      </c>
      <c r="Q83" s="41">
        <f t="shared" si="250"/>
        <v>7158</v>
      </c>
      <c r="R83" s="479">
        <f>Q83</f>
        <v>7158</v>
      </c>
      <c r="S83" s="41">
        <f>+Q83+S84</f>
        <v>7233</v>
      </c>
      <c r="T83" s="41">
        <f>+S83+T84</f>
        <v>7308</v>
      </c>
      <c r="U83" s="41">
        <f t="shared" ref="U83:V83" si="251">+T83+U84</f>
        <v>7383</v>
      </c>
      <c r="V83" s="41">
        <f t="shared" si="251"/>
        <v>7458</v>
      </c>
      <c r="W83" s="479">
        <f>V83</f>
        <v>7458</v>
      </c>
      <c r="X83" s="41">
        <f>+V83+X84</f>
        <v>7623.2737500000003</v>
      </c>
      <c r="Y83" s="41">
        <f>+X83+Y84</f>
        <v>7788.5475000000006</v>
      </c>
      <c r="Z83" s="41">
        <f t="shared" ref="Z83:AA83" si="252">+Y83+Z84</f>
        <v>7953.8212500000009</v>
      </c>
      <c r="AA83" s="41">
        <f t="shared" si="252"/>
        <v>8119.0950000000012</v>
      </c>
      <c r="AB83" s="479">
        <f>AA83</f>
        <v>8119.0950000000012</v>
      </c>
      <c r="AC83" s="41">
        <f>+AA83+AC84</f>
        <v>8296.1966484375007</v>
      </c>
      <c r="AD83" s="41">
        <f>+AC83+AD84</f>
        <v>8473.2982968750002</v>
      </c>
      <c r="AE83" s="41">
        <f t="shared" ref="AE83:AF83" si="253">+AD83+AE84</f>
        <v>8650.3999453124998</v>
      </c>
      <c r="AF83" s="41">
        <f t="shared" si="253"/>
        <v>8827.5015937499993</v>
      </c>
      <c r="AG83" s="479">
        <f>AF83</f>
        <v>8827.5015937499993</v>
      </c>
      <c r="AH83" s="41">
        <f>+AF83+AH84</f>
        <v>9004.6032421874988</v>
      </c>
      <c r="AI83" s="41">
        <f>+AH83+AI84</f>
        <v>9181.7048906249984</v>
      </c>
      <c r="AJ83" s="41">
        <f t="shared" ref="AJ83:AK83" si="254">+AI83+AJ84</f>
        <v>9358.8065390624979</v>
      </c>
      <c r="AK83" s="41">
        <f t="shared" si="254"/>
        <v>9535.9081874999974</v>
      </c>
      <c r="AL83" s="479">
        <f>AK83</f>
        <v>9535.9081874999974</v>
      </c>
      <c r="AM83" s="41">
        <f>+AK83+AM84</f>
        <v>9713.009835937497</v>
      </c>
      <c r="AN83" s="41">
        <f>+AM83+AN84</f>
        <v>9890.1114843749965</v>
      </c>
      <c r="AO83" s="41">
        <f t="shared" ref="AO83" si="255">+AN83+AO84</f>
        <v>10067.213132812496</v>
      </c>
      <c r="AP83" s="41">
        <f t="shared" ref="AP83" si="256">+AO83+AP84</f>
        <v>10244.314781249996</v>
      </c>
      <c r="AQ83" s="479">
        <f>AP83</f>
        <v>10244.314781249996</v>
      </c>
    </row>
    <row r="84" spans="1:43" outlineLevel="1" x14ac:dyDescent="0.25">
      <c r="A84" s="254"/>
      <c r="B84" s="466" t="s">
        <v>158</v>
      </c>
      <c r="C84" s="460"/>
      <c r="D84" s="256">
        <f>+D83-5651</f>
        <v>188</v>
      </c>
      <c r="E84" s="256">
        <f>+E83-D83</f>
        <v>40</v>
      </c>
      <c r="F84" s="256">
        <f t="shared" ref="F84:G84" si="257">+F83-E83</f>
        <v>-233</v>
      </c>
      <c r="G84" s="256">
        <f t="shared" si="257"/>
        <v>214</v>
      </c>
      <c r="H84" s="50">
        <f>+SUM(D84:G84)</f>
        <v>209</v>
      </c>
      <c r="I84" s="256">
        <f>+I83-G83</f>
        <v>199</v>
      </c>
      <c r="J84" s="256">
        <f t="shared" ref="J84:L84" si="258">+J83-I83</f>
        <v>78</v>
      </c>
      <c r="K84" s="256">
        <f t="shared" si="258"/>
        <v>117</v>
      </c>
      <c r="L84" s="256">
        <f t="shared" si="258"/>
        <v>274</v>
      </c>
      <c r="M84" s="50">
        <f>+SUM(I84:L84)</f>
        <v>668</v>
      </c>
      <c r="N84" s="256">
        <v>185</v>
      </c>
      <c r="O84" s="256">
        <v>123</v>
      </c>
      <c r="P84" s="256">
        <v>177</v>
      </c>
      <c r="Q84" s="63">
        <v>145</v>
      </c>
      <c r="R84" s="50">
        <f>+SUM(N84:Q84)</f>
        <v>630</v>
      </c>
      <c r="S84" s="63">
        <v>75</v>
      </c>
      <c r="T84" s="63">
        <v>75</v>
      </c>
      <c r="U84" s="63">
        <v>75</v>
      </c>
      <c r="V84" s="63">
        <v>75</v>
      </c>
      <c r="W84" s="50">
        <f>+SUM(S84:V84)</f>
        <v>300</v>
      </c>
      <c r="X84" s="63">
        <f>0.09/4*AVERAGE(S83:V83)</f>
        <v>165.27375000000001</v>
      </c>
      <c r="Y84" s="63">
        <f>0.09/4*AVERAGE(S83:V83)</f>
        <v>165.27375000000001</v>
      </c>
      <c r="Z84" s="63">
        <f>0.09/4*AVERAGE(S83:V83)</f>
        <v>165.27375000000001</v>
      </c>
      <c r="AA84" s="63">
        <f>0.09/4*AVERAGE(S83:V83)</f>
        <v>165.27375000000001</v>
      </c>
      <c r="AB84" s="50">
        <f>+SUM(X84:AA84)</f>
        <v>661.09500000000003</v>
      </c>
      <c r="AC84" s="63">
        <f>0.09/4*AVERAGE(X83:AA83)</f>
        <v>177.10164843750002</v>
      </c>
      <c r="AD84" s="63">
        <f>0.09/4*AVERAGE(X83:AA83)</f>
        <v>177.10164843750002</v>
      </c>
      <c r="AE84" s="63">
        <f>0.09/4*AVERAGE(X83:AA83)</f>
        <v>177.10164843750002</v>
      </c>
      <c r="AF84" s="63">
        <f>0.09/4*AVERAGE(X83:AA83)</f>
        <v>177.10164843750002</v>
      </c>
      <c r="AG84" s="50">
        <f>+SUM(AC84:AF84)</f>
        <v>708.40659375000007</v>
      </c>
      <c r="AH84" s="63">
        <f>AVERAGE(AC84,AD84,AE84,AF84)</f>
        <v>177.10164843750002</v>
      </c>
      <c r="AI84" s="63">
        <f>AVERAGE(AD84,AE84,AF84,AH84)</f>
        <v>177.10164843750002</v>
      </c>
      <c r="AJ84" s="63">
        <f>AVERAGE(AE84,AF84,AH84,AI84)</f>
        <v>177.10164843750002</v>
      </c>
      <c r="AK84" s="63">
        <f>AVERAGE(AF84,AH84,AI84,AJ84)</f>
        <v>177.10164843750002</v>
      </c>
      <c r="AL84" s="50">
        <f>+SUM(AH84:AK84)</f>
        <v>708.40659375000007</v>
      </c>
      <c r="AM84" s="63">
        <f>AVERAGE(AH84,AI84,AJ84,AK84)</f>
        <v>177.10164843750002</v>
      </c>
      <c r="AN84" s="63">
        <f>AVERAGE(AI84,AJ84,AK84,AM84)</f>
        <v>177.10164843750002</v>
      </c>
      <c r="AO84" s="63">
        <f>AVERAGE(AJ84,AK84,AM84,AN84)</f>
        <v>177.10164843750002</v>
      </c>
      <c r="AP84" s="63">
        <f>AVERAGE(AK84,AM84,AN84,AO84)</f>
        <v>177.10164843750002</v>
      </c>
      <c r="AQ84" s="50">
        <f>+SUM(AM84:AP84)</f>
        <v>708.40659375000007</v>
      </c>
    </row>
    <row r="85" spans="1:43" s="186" customFormat="1" outlineLevel="1" x14ac:dyDescent="0.25">
      <c r="A85" s="272"/>
      <c r="B85" s="187" t="s">
        <v>159</v>
      </c>
      <c r="C85" s="188"/>
      <c r="D85" s="190">
        <v>5186</v>
      </c>
      <c r="E85" s="190">
        <v>5313</v>
      </c>
      <c r="F85" s="190">
        <v>5476</v>
      </c>
      <c r="G85" s="190">
        <v>5651</v>
      </c>
      <c r="H85" s="191"/>
      <c r="I85" s="190">
        <f>D83</f>
        <v>5839</v>
      </c>
      <c r="J85" s="190">
        <f>E83</f>
        <v>5879</v>
      </c>
      <c r="K85" s="190">
        <f>F83</f>
        <v>5646</v>
      </c>
      <c r="L85" s="190">
        <f>G83</f>
        <v>5860</v>
      </c>
      <c r="M85" s="191"/>
      <c r="N85" s="190">
        <f>I83</f>
        <v>6059</v>
      </c>
      <c r="O85" s="190">
        <f>J83</f>
        <v>6137</v>
      </c>
      <c r="P85" s="190">
        <f>K83</f>
        <v>6254</v>
      </c>
      <c r="Q85" s="190">
        <f>L83</f>
        <v>6528</v>
      </c>
      <c r="R85" s="191"/>
      <c r="S85" s="190">
        <f>N83</f>
        <v>6713</v>
      </c>
      <c r="T85" s="190">
        <f>O83</f>
        <v>6836</v>
      </c>
      <c r="U85" s="190">
        <f>P83</f>
        <v>7013</v>
      </c>
      <c r="V85" s="190">
        <f>Q83</f>
        <v>7158</v>
      </c>
      <c r="W85" s="191"/>
      <c r="X85" s="190">
        <f>S83</f>
        <v>7233</v>
      </c>
      <c r="Y85" s="190">
        <f>T83</f>
        <v>7308</v>
      </c>
      <c r="Z85" s="190">
        <f>U83</f>
        <v>7383</v>
      </c>
      <c r="AA85" s="190">
        <f>V83</f>
        <v>7458</v>
      </c>
      <c r="AB85" s="191"/>
      <c r="AC85" s="190">
        <f>X83</f>
        <v>7623.2737500000003</v>
      </c>
      <c r="AD85" s="190">
        <f>Y83</f>
        <v>7788.5475000000006</v>
      </c>
      <c r="AE85" s="190">
        <f>Z83</f>
        <v>7953.8212500000009</v>
      </c>
      <c r="AF85" s="190">
        <f>AA83</f>
        <v>8119.0950000000012</v>
      </c>
      <c r="AG85" s="191"/>
      <c r="AH85" s="190">
        <f>AC83</f>
        <v>8296.1966484375007</v>
      </c>
      <c r="AI85" s="190">
        <f>AD83</f>
        <v>8473.2982968750002</v>
      </c>
      <c r="AJ85" s="190">
        <f>AE83</f>
        <v>8650.3999453124998</v>
      </c>
      <c r="AK85" s="190">
        <f>AF83</f>
        <v>8827.5015937499993</v>
      </c>
      <c r="AL85" s="191"/>
      <c r="AM85" s="190">
        <f>AH83</f>
        <v>9004.6032421874988</v>
      </c>
      <c r="AN85" s="190">
        <f>AI83</f>
        <v>9181.7048906249984</v>
      </c>
      <c r="AO85" s="190">
        <f>AJ83</f>
        <v>9358.8065390624979</v>
      </c>
      <c r="AP85" s="190">
        <f>AK83</f>
        <v>9535.9081874999974</v>
      </c>
      <c r="AQ85" s="191"/>
    </row>
    <row r="86" spans="1:43" s="186" customFormat="1" outlineLevel="1" x14ac:dyDescent="0.25">
      <c r="A86" s="272"/>
      <c r="B86" s="187" t="s">
        <v>160</v>
      </c>
      <c r="C86" s="188"/>
      <c r="D86" s="192">
        <v>0.17928494231648628</v>
      </c>
      <c r="E86" s="192">
        <v>0.13619630348516218</v>
      </c>
      <c r="F86" s="192">
        <v>0.14772468750000003</v>
      </c>
      <c r="G86" s="192">
        <v>0.22237475090342945</v>
      </c>
      <c r="H86" s="191"/>
      <c r="I86" s="192">
        <v>0.20115786000293356</v>
      </c>
      <c r="J86" s="192">
        <v>0.15201018776253211</v>
      </c>
      <c r="K86" s="192">
        <v>0.14831357488131156</v>
      </c>
      <c r="L86" s="192">
        <f t="shared" ref="L86" si="259">+G86*(1+L89)</f>
        <v>0.20013727581308652</v>
      </c>
      <c r="M86" s="191"/>
      <c r="N86" s="192">
        <f>+I86*(1+N89)</f>
        <v>0.21725048880316827</v>
      </c>
      <c r="O86" s="192">
        <f>+J86*(1+O89)</f>
        <v>0.20521375347941836</v>
      </c>
      <c r="P86" s="192">
        <f t="shared" ref="P86:Q86" si="260">+K86*(1+P89)</f>
        <v>0.20912214058264927</v>
      </c>
      <c r="Q86" s="192">
        <f t="shared" si="260"/>
        <v>0.21814963063626433</v>
      </c>
      <c r="R86" s="191"/>
      <c r="S86" s="192">
        <f>+N86*(1+S89)</f>
        <v>0.23463052790742175</v>
      </c>
      <c r="T86" s="192">
        <f>+O86*(1+T89)</f>
        <v>0.21547444115338929</v>
      </c>
      <c r="U86" s="192">
        <f t="shared" ref="U86:V86" si="261">+P86*(1+U89)</f>
        <v>0.21957824761178174</v>
      </c>
      <c r="V86" s="192">
        <f t="shared" si="261"/>
        <v>0.23560160108716549</v>
      </c>
      <c r="W86" s="191"/>
      <c r="X86" s="192">
        <f>+S86*(1+X89)</f>
        <v>0.24518890166325572</v>
      </c>
      <c r="Y86" s="192">
        <f>+T86*(1+Y89)</f>
        <v>0.2251707910052918</v>
      </c>
      <c r="Z86" s="192">
        <f t="shared" ref="Z86:AA86" si="262">+U86*(1+Z89)</f>
        <v>0.22945926875431191</v>
      </c>
      <c r="AA86" s="192">
        <f t="shared" si="262"/>
        <v>0.24620367313608793</v>
      </c>
      <c r="AB86" s="191"/>
      <c r="AC86" s="192">
        <f>+X86*(1+AC89)</f>
        <v>0.25622240223810222</v>
      </c>
      <c r="AD86" s="192">
        <f>+Y86*(1+AD89)</f>
        <v>0.23530347660052991</v>
      </c>
      <c r="AE86" s="192">
        <f t="shared" ref="AE86:AF86" si="263">+Z86*(1+AE89)</f>
        <v>0.23978493584825594</v>
      </c>
      <c r="AF86" s="192">
        <f t="shared" si="263"/>
        <v>0.25728283842721189</v>
      </c>
      <c r="AG86" s="191"/>
      <c r="AH86" s="192">
        <f>+AC86*(1+AH89)</f>
        <v>0.26647129832762634</v>
      </c>
      <c r="AI86" s="192">
        <f>+AD86*(1+AI89)</f>
        <v>0.24471561566455113</v>
      </c>
      <c r="AJ86" s="192">
        <f t="shared" ref="AJ86:AK86" si="264">+AE86*(1+AJ89)</f>
        <v>0.2493763332821862</v>
      </c>
      <c r="AK86" s="192">
        <f t="shared" si="264"/>
        <v>0.2675741519643004</v>
      </c>
      <c r="AL86" s="191"/>
      <c r="AM86" s="192">
        <f>+AH86*(1+AM89)</f>
        <v>0.2771301502607314</v>
      </c>
      <c r="AN86" s="192">
        <f>+AI86*(1+AN89)</f>
        <v>0.25450424029113317</v>
      </c>
      <c r="AO86" s="192">
        <f t="shared" ref="AO86" si="265">+AJ86*(1+AO89)</f>
        <v>0.25935138661347368</v>
      </c>
      <c r="AP86" s="192">
        <f t="shared" ref="AP86" si="266">+AK86*(1+AP89)</f>
        <v>0.27827711804287242</v>
      </c>
      <c r="AQ86" s="191"/>
    </row>
    <row r="87" spans="1:43" outlineLevel="1" x14ac:dyDescent="0.25">
      <c r="A87" s="254"/>
      <c r="B87" s="408" t="s">
        <v>156</v>
      </c>
      <c r="C87" s="409"/>
      <c r="D87" s="285">
        <v>0.01</v>
      </c>
      <c r="E87" s="285">
        <v>0</v>
      </c>
      <c r="F87" s="285">
        <v>0.01</v>
      </c>
      <c r="G87" s="285">
        <v>0.01</v>
      </c>
      <c r="H87" s="54"/>
      <c r="I87" s="285">
        <v>-0.01</v>
      </c>
      <c r="J87" s="285">
        <v>-0.32</v>
      </c>
      <c r="K87" s="285">
        <v>-0.44</v>
      </c>
      <c r="L87" s="56">
        <v>-0.15</v>
      </c>
      <c r="M87" s="54"/>
      <c r="N87" s="285">
        <v>-0.03</v>
      </c>
      <c r="O87" s="56">
        <v>0.26</v>
      </c>
      <c r="P87" s="56">
        <v>0.55000000000000004</v>
      </c>
      <c r="Q87" s="56"/>
      <c r="R87" s="54"/>
      <c r="S87" s="56"/>
      <c r="T87" s="56"/>
      <c r="U87" s="56"/>
      <c r="V87" s="56"/>
      <c r="W87" s="54"/>
      <c r="X87" s="56"/>
      <c r="Y87" s="56"/>
      <c r="Z87" s="56"/>
      <c r="AA87" s="56"/>
      <c r="AB87" s="54"/>
      <c r="AC87" s="56"/>
      <c r="AD87" s="56"/>
      <c r="AE87" s="56"/>
      <c r="AF87" s="56"/>
      <c r="AG87" s="54"/>
      <c r="AH87" s="56"/>
      <c r="AI87" s="56"/>
      <c r="AJ87" s="56"/>
      <c r="AK87" s="56"/>
      <c r="AL87" s="54"/>
      <c r="AM87" s="56"/>
      <c r="AN87" s="56"/>
      <c r="AO87" s="56"/>
      <c r="AP87" s="56"/>
      <c r="AQ87" s="54"/>
    </row>
    <row r="88" spans="1:43" outlineLevel="1" x14ac:dyDescent="0.25">
      <c r="A88" s="254"/>
      <c r="B88" s="408" t="s">
        <v>155</v>
      </c>
      <c r="C88" s="409"/>
      <c r="D88" s="359">
        <v>0.01</v>
      </c>
      <c r="E88" s="359">
        <v>0.02</v>
      </c>
      <c r="F88" s="359">
        <v>0.03</v>
      </c>
      <c r="G88" s="359">
        <v>0.03</v>
      </c>
      <c r="H88" s="181"/>
      <c r="I88" s="359">
        <v>0.02</v>
      </c>
      <c r="J88" s="359">
        <v>0.01</v>
      </c>
      <c r="K88" s="359">
        <v>0.13</v>
      </c>
      <c r="L88" s="180">
        <v>7.0000000000000007E-2</v>
      </c>
      <c r="M88" s="181"/>
      <c r="N88" s="359">
        <v>-0.1</v>
      </c>
      <c r="O88" s="180">
        <v>7.0000000000000007E-2</v>
      </c>
      <c r="P88" s="180">
        <v>-0.09</v>
      </c>
      <c r="Q88" s="180"/>
      <c r="R88" s="181"/>
      <c r="S88" s="180"/>
      <c r="T88" s="180"/>
      <c r="U88" s="180"/>
      <c r="V88" s="180"/>
      <c r="W88" s="181"/>
      <c r="X88" s="180"/>
      <c r="Y88" s="180"/>
      <c r="Z88" s="180"/>
      <c r="AA88" s="180"/>
      <c r="AB88" s="181"/>
      <c r="AC88" s="180"/>
      <c r="AD88" s="180"/>
      <c r="AE88" s="180"/>
      <c r="AF88" s="180"/>
      <c r="AG88" s="181"/>
      <c r="AH88" s="180"/>
      <c r="AI88" s="180"/>
      <c r="AJ88" s="180"/>
      <c r="AK88" s="180"/>
      <c r="AL88" s="181"/>
      <c r="AM88" s="180"/>
      <c r="AN88" s="180"/>
      <c r="AO88" s="180"/>
      <c r="AP88" s="180"/>
      <c r="AQ88" s="181"/>
    </row>
    <row r="89" spans="1:43" s="20" customFormat="1" outlineLevel="1" x14ac:dyDescent="0.25">
      <c r="A89" s="269"/>
      <c r="B89" s="410" t="s">
        <v>157</v>
      </c>
      <c r="C89" s="391"/>
      <c r="D89" s="360">
        <v>0.02</v>
      </c>
      <c r="E89" s="360">
        <v>0.02</v>
      </c>
      <c r="F89" s="361">
        <v>0.05</v>
      </c>
      <c r="G89" s="360">
        <v>0.03</v>
      </c>
      <c r="H89" s="182"/>
      <c r="I89" s="360">
        <v>0.01</v>
      </c>
      <c r="J89" s="360">
        <v>-0.31</v>
      </c>
      <c r="K89" s="360">
        <v>-0.37</v>
      </c>
      <c r="L89" s="366">
        <v>-0.1</v>
      </c>
      <c r="M89" s="182"/>
      <c r="N89" s="360">
        <v>0.08</v>
      </c>
      <c r="O89" s="360">
        <v>0.35</v>
      </c>
      <c r="P89" s="360">
        <v>0.41</v>
      </c>
      <c r="Q89" s="488">
        <v>0.09</v>
      </c>
      <c r="R89" s="182"/>
      <c r="S89" s="184">
        <v>0.08</v>
      </c>
      <c r="T89" s="184">
        <v>0.05</v>
      </c>
      <c r="U89" s="184">
        <v>0.05</v>
      </c>
      <c r="V89" s="184">
        <v>0.08</v>
      </c>
      <c r="W89" s="182"/>
      <c r="X89" s="489">
        <v>4.4999999999999998E-2</v>
      </c>
      <c r="Y89" s="489">
        <v>4.4999999999999998E-2</v>
      </c>
      <c r="Z89" s="489">
        <v>4.4999999999999998E-2</v>
      </c>
      <c r="AA89" s="489">
        <v>4.4999999999999998E-2</v>
      </c>
      <c r="AB89" s="182"/>
      <c r="AC89" s="489">
        <v>4.4999999999999998E-2</v>
      </c>
      <c r="AD89" s="489">
        <v>4.4999999999999998E-2</v>
      </c>
      <c r="AE89" s="489">
        <v>4.4999999999999998E-2</v>
      </c>
      <c r="AF89" s="489">
        <v>4.4999999999999998E-2</v>
      </c>
      <c r="AG89" s="182"/>
      <c r="AH89" s="184">
        <v>0.04</v>
      </c>
      <c r="AI89" s="184">
        <v>0.04</v>
      </c>
      <c r="AJ89" s="184">
        <v>0.04</v>
      </c>
      <c r="AK89" s="184">
        <v>0.04</v>
      </c>
      <c r="AL89" s="182"/>
      <c r="AM89" s="184">
        <v>0.04</v>
      </c>
      <c r="AN89" s="184">
        <v>0.04</v>
      </c>
      <c r="AO89" s="184">
        <v>0.04</v>
      </c>
      <c r="AP89" s="184">
        <v>0.04</v>
      </c>
      <c r="AQ89" s="182"/>
    </row>
    <row r="90" spans="1:43" ht="17.25" outlineLevel="1" x14ac:dyDescent="0.4">
      <c r="A90" s="254"/>
      <c r="B90" s="166" t="s">
        <v>187</v>
      </c>
      <c r="C90" s="409"/>
      <c r="D90" s="61">
        <v>348</v>
      </c>
      <c r="E90" s="61">
        <v>586</v>
      </c>
      <c r="F90" s="61">
        <v>544</v>
      </c>
      <c r="G90" s="61">
        <v>59</v>
      </c>
      <c r="H90" s="18"/>
      <c r="I90" s="61">
        <v>135</v>
      </c>
      <c r="J90" s="61">
        <v>9</v>
      </c>
      <c r="K90" s="61">
        <v>38</v>
      </c>
      <c r="L90" s="61">
        <v>125</v>
      </c>
      <c r="M90" s="18"/>
      <c r="N90" s="61">
        <v>125</v>
      </c>
      <c r="O90" s="61">
        <v>125</v>
      </c>
      <c r="P90" s="61">
        <v>125</v>
      </c>
      <c r="Q90" s="490">
        <f>P90+(500*0.2)</f>
        <v>225</v>
      </c>
      <c r="R90" s="18"/>
      <c r="S90" s="61">
        <v>125</v>
      </c>
      <c r="T90" s="61">
        <v>125</v>
      </c>
      <c r="U90" s="61">
        <v>125</v>
      </c>
      <c r="V90" s="61">
        <v>125</v>
      </c>
      <c r="W90" s="18"/>
      <c r="X90" s="61">
        <v>200</v>
      </c>
      <c r="Y90" s="61">
        <v>200</v>
      </c>
      <c r="Z90" s="61">
        <v>200</v>
      </c>
      <c r="AA90" s="61">
        <v>200</v>
      </c>
      <c r="AB90" s="18"/>
      <c r="AC90" s="61">
        <f>AVERAGE(AA90,Z90,Y90,X90)</f>
        <v>200</v>
      </c>
      <c r="AD90" s="61">
        <f>AVERAGE(AC90,AA90,Z90,Y90)</f>
        <v>200</v>
      </c>
      <c r="AE90" s="61">
        <f>AVERAGE(AD90,AC90,AA90,Z90)</f>
        <v>200</v>
      </c>
      <c r="AF90" s="61">
        <f>AVERAGE(AE90,AD90,AC90,AA90)</f>
        <v>200</v>
      </c>
      <c r="AG90" s="18"/>
      <c r="AH90" s="61">
        <f>AVERAGE(AF90,AE90,AD90,AC90)</f>
        <v>200</v>
      </c>
      <c r="AI90" s="61">
        <f>AVERAGE(AH90,AF90,AE90,AD90)</f>
        <v>200</v>
      </c>
      <c r="AJ90" s="61">
        <f>AVERAGE(AI90,AH90,AF90,AE90)</f>
        <v>200</v>
      </c>
      <c r="AK90" s="61">
        <f>AVERAGE(AJ90,AI90,AH90,AF90)</f>
        <v>200</v>
      </c>
      <c r="AL90" s="18"/>
      <c r="AM90" s="61">
        <f>AVERAGE(AK90,AJ90,AI90,AH90)</f>
        <v>200</v>
      </c>
      <c r="AN90" s="61">
        <f>AVERAGE(AM90,AK90,AJ90,AI90)</f>
        <v>200</v>
      </c>
      <c r="AO90" s="61">
        <f>AVERAGE(AN90,AM90,AK90,AJ90)</f>
        <v>200</v>
      </c>
      <c r="AP90" s="61">
        <f>AVERAGE(AO90,AN90,AM90,AK90)</f>
        <v>200</v>
      </c>
      <c r="AQ90" s="18"/>
    </row>
    <row r="91" spans="1:43" s="20" customFormat="1" outlineLevel="1" x14ac:dyDescent="0.25">
      <c r="A91" s="269"/>
      <c r="B91" s="585" t="s">
        <v>292</v>
      </c>
      <c r="C91" s="586"/>
      <c r="D91" s="171">
        <v>1278.0999999999999</v>
      </c>
      <c r="E91" s="171">
        <v>1309.4000000000001</v>
      </c>
      <c r="F91" s="259">
        <v>1352.8</v>
      </c>
      <c r="G91" s="171">
        <v>1315.9</v>
      </c>
      <c r="H91" s="239">
        <f>SUM(D91:G91)</f>
        <v>5256.2000000000007</v>
      </c>
      <c r="I91" s="171">
        <v>1309.7</v>
      </c>
      <c r="J91" s="171">
        <v>902.4</v>
      </c>
      <c r="K91" s="259">
        <v>875.5</v>
      </c>
      <c r="L91" s="171">
        <v>1298.3</v>
      </c>
      <c r="M91" s="239">
        <f>SUM(I91:L91)</f>
        <v>4385.8999999999996</v>
      </c>
      <c r="N91" s="171">
        <v>1441.7</v>
      </c>
      <c r="O91" s="171">
        <v>1384.7</v>
      </c>
      <c r="P91" s="171">
        <v>1433.3</v>
      </c>
      <c r="Q91" s="171">
        <f t="shared" ref="Q91" si="267">+Q85*Q86+Q90</f>
        <v>1649.0807887935337</v>
      </c>
      <c r="R91" s="239">
        <f>SUM(N91:Q91)</f>
        <v>5908.7807887935332</v>
      </c>
      <c r="S91" s="171">
        <f>+S85*S86+S90</f>
        <v>1700.0747338425222</v>
      </c>
      <c r="T91" s="171">
        <f>+T85*T86+T90</f>
        <v>1597.9832797245692</v>
      </c>
      <c r="U91" s="171">
        <f t="shared" ref="U91:V91" si="268">+U85*U86+U90</f>
        <v>1664.9022505014254</v>
      </c>
      <c r="V91" s="171">
        <f t="shared" si="268"/>
        <v>1811.4362605819306</v>
      </c>
      <c r="W91" s="239">
        <f>SUM(S91:V91)</f>
        <v>6774.3965246504476</v>
      </c>
      <c r="X91" s="171">
        <f>+X85*X86+X90</f>
        <v>1973.4513257303286</v>
      </c>
      <c r="Y91" s="171">
        <f>+Y85*Y86+Y90</f>
        <v>1845.5481406666725</v>
      </c>
      <c r="Z91" s="171">
        <f t="shared" ref="Z91:AA91" si="269">+Z85*Z86+Z90</f>
        <v>1894.0977812130848</v>
      </c>
      <c r="AA91" s="171">
        <f t="shared" si="269"/>
        <v>2036.1869942489438</v>
      </c>
      <c r="AB91" s="239">
        <f>SUM(X91:AA91)</f>
        <v>7749.2842418590299</v>
      </c>
      <c r="AC91" s="171">
        <f>+AC85*AC86+AC90</f>
        <v>2153.2535131436662</v>
      </c>
      <c r="AD91" s="171">
        <f>+AD85*AD86+AD90</f>
        <v>2032.6723044183659</v>
      </c>
      <c r="AE91" s="171">
        <f t="shared" ref="AE91:AF91" si="270">+AE85*AE86+AE90</f>
        <v>2107.2065181797452</v>
      </c>
      <c r="AF91" s="171">
        <f t="shared" si="270"/>
        <v>2288.9038070601841</v>
      </c>
      <c r="AG91" s="239">
        <f>SUM(AC91:AF91)</f>
        <v>8582.0361428019623</v>
      </c>
      <c r="AH91" s="171">
        <f>+AH85*AH86+AH90</f>
        <v>2410.6982920904429</v>
      </c>
      <c r="AI91" s="171">
        <f>+AI85*AI86+AI90</f>
        <v>2273.5484094291583</v>
      </c>
      <c r="AJ91" s="171">
        <f t="shared" ref="AJ91:AK91" si="271">+AJ85*AJ86+AJ90</f>
        <v>2357.2050197864551</v>
      </c>
      <c r="AK91" s="171">
        <f t="shared" si="271"/>
        <v>2562.0112529111661</v>
      </c>
      <c r="AL91" s="239">
        <f>SUM(AH91:AK91)</f>
        <v>9603.4629742172237</v>
      </c>
      <c r="AM91" s="171">
        <f>+AM85*AM86+AM90</f>
        <v>2695.4470495456908</v>
      </c>
      <c r="AN91" s="171">
        <f>+AN85*AN86+AN90</f>
        <v>2536.7828277658973</v>
      </c>
      <c r="AO91" s="171">
        <f t="shared" ref="AO91:AP91" si="272">+AO85*AO86+AO90</f>
        <v>2627.2194529531034</v>
      </c>
      <c r="AP91" s="171">
        <f t="shared" si="272"/>
        <v>2853.6250483389304</v>
      </c>
      <c r="AQ91" s="239">
        <f>SUM(AM91:AP91)</f>
        <v>10713.074378603622</v>
      </c>
    </row>
    <row r="92" spans="1:43" s="20" customFormat="1" outlineLevel="1" x14ac:dyDescent="0.25">
      <c r="A92" s="269"/>
      <c r="B92" s="193" t="s">
        <v>163</v>
      </c>
      <c r="C92" s="391"/>
      <c r="D92" s="197">
        <f t="shared" ref="D92:G92" si="273">+D91/D83</f>
        <v>0.21889022092824112</v>
      </c>
      <c r="E92" s="197">
        <f t="shared" si="273"/>
        <v>0.22272495322333732</v>
      </c>
      <c r="F92" s="286">
        <f t="shared" si="273"/>
        <v>0.23960325894438539</v>
      </c>
      <c r="G92" s="197">
        <f t="shared" si="273"/>
        <v>0.22455631399317408</v>
      </c>
      <c r="H92" s="183"/>
      <c r="I92" s="197">
        <f t="shared" ref="I92:L92" si="274">+I91/I83</f>
        <v>0.21615778181218023</v>
      </c>
      <c r="J92" s="197">
        <f t="shared" si="274"/>
        <v>0.14704252892292652</v>
      </c>
      <c r="K92" s="197">
        <f t="shared" si="274"/>
        <v>0.13999040614007036</v>
      </c>
      <c r="L92" s="197">
        <f t="shared" si="274"/>
        <v>0.19888174019607843</v>
      </c>
      <c r="M92" s="183"/>
      <c r="N92" s="197">
        <f t="shared" ref="N92:Q92" si="275">+N91/N83</f>
        <v>0.21476240131088933</v>
      </c>
      <c r="O92" s="197">
        <f t="shared" si="275"/>
        <v>0.2025599765944997</v>
      </c>
      <c r="P92" s="197">
        <f t="shared" si="275"/>
        <v>0.20437758448595464</v>
      </c>
      <c r="Q92" s="197">
        <f t="shared" si="275"/>
        <v>0.23038289868588063</v>
      </c>
      <c r="R92" s="183"/>
      <c r="S92" s="197">
        <f t="shared" ref="S92:V92" si="276">+S91/S83</f>
        <v>0.23504420487246264</v>
      </c>
      <c r="T92" s="197">
        <f t="shared" si="276"/>
        <v>0.21866218934381079</v>
      </c>
      <c r="U92" s="197">
        <f t="shared" si="276"/>
        <v>0.2255048422729819</v>
      </c>
      <c r="V92" s="197">
        <f t="shared" si="276"/>
        <v>0.24288499069213335</v>
      </c>
      <c r="W92" s="183"/>
      <c r="X92" s="197">
        <f t="shared" ref="X92:AA92" si="277">+X91/X83</f>
        <v>0.25887189551999606</v>
      </c>
      <c r="Y92" s="197">
        <f t="shared" si="277"/>
        <v>0.23695665214427625</v>
      </c>
      <c r="Z92" s="197">
        <f t="shared" si="277"/>
        <v>0.2381368302956374</v>
      </c>
      <c r="AA92" s="197">
        <f t="shared" si="277"/>
        <v>0.25078989644152994</v>
      </c>
      <c r="AB92" s="183"/>
      <c r="AC92" s="197">
        <f t="shared" ref="AC92:AF92" si="278">+AC91/AC83</f>
        <v>0.2595470676974862</v>
      </c>
      <c r="AD92" s="197">
        <f t="shared" si="278"/>
        <v>0.23989150779313728</v>
      </c>
      <c r="AE92" s="197">
        <f t="shared" si="278"/>
        <v>0.24359642692839925</v>
      </c>
      <c r="AF92" s="197">
        <f t="shared" si="278"/>
        <v>0.2592923697324237</v>
      </c>
      <c r="AG92" s="183"/>
      <c r="AH92" s="197">
        <f t="shared" ref="AH92:AK92" si="279">+AH91/AH83</f>
        <v>0.26771843547709817</v>
      </c>
      <c r="AI92" s="197">
        <f t="shared" si="279"/>
        <v>0.24761723846630818</v>
      </c>
      <c r="AJ92" s="197">
        <f t="shared" si="279"/>
        <v>0.25187025823728415</v>
      </c>
      <c r="AK92" s="197">
        <f t="shared" si="279"/>
        <v>0.26866987417827076</v>
      </c>
      <c r="AL92" s="183"/>
      <c r="AM92" s="197">
        <f t="shared" ref="AM92:AP92" si="280">+AM91/AM83</f>
        <v>0.27750893853445036</v>
      </c>
      <c r="AN92" s="197">
        <f t="shared" si="280"/>
        <v>0.25649688901623224</v>
      </c>
      <c r="AO92" s="197">
        <f t="shared" si="280"/>
        <v>0.26096789829452355</v>
      </c>
      <c r="AP92" s="197">
        <f t="shared" si="280"/>
        <v>0.27855694687963656</v>
      </c>
      <c r="AQ92" s="183"/>
    </row>
    <row r="93" spans="1:43" s="186" customFormat="1" outlineLevel="1" x14ac:dyDescent="0.25">
      <c r="A93" s="272"/>
      <c r="B93" s="193" t="s">
        <v>161</v>
      </c>
      <c r="C93" s="194"/>
      <c r="D93" s="189">
        <f>ROUND((+D91-D90-(D85*D86)),0)</f>
        <v>0</v>
      </c>
      <c r="E93" s="195">
        <f>ROUND((+E91-E90-(E85*E86)),0)</f>
        <v>0</v>
      </c>
      <c r="F93" s="275">
        <f>ROUND((+F91-F90-(F85*F86)),0)</f>
        <v>0</v>
      </c>
      <c r="G93" s="195">
        <f>ROUND((+G91-G90-(G85*G86)),0)</f>
        <v>0</v>
      </c>
      <c r="H93" s="196"/>
      <c r="I93" s="195">
        <f>ROUND((+I91-I90-(I85*I86)),0)</f>
        <v>0</v>
      </c>
      <c r="J93" s="195">
        <f>ROUND((+J91-J90-(J85*J86)),0)</f>
        <v>0</v>
      </c>
      <c r="K93" s="195">
        <f>ROUND((+K91-K90-(K85*K86)),0)</f>
        <v>0</v>
      </c>
      <c r="L93" s="195">
        <f>ROUND((+L91-L90-(L85*L86)),0)</f>
        <v>0</v>
      </c>
      <c r="M93" s="196"/>
      <c r="N93" s="195">
        <f>ROUND((+N91-N90-(N85*N86)),0)</f>
        <v>0</v>
      </c>
      <c r="O93" s="195">
        <f>ROUND((+O91-O90-(O85*O86)),0)</f>
        <v>0</v>
      </c>
      <c r="P93" s="195">
        <f>ROUND((+P91-P90-(P85*P86)),0)</f>
        <v>0</v>
      </c>
      <c r="Q93" s="195">
        <f>ROUND((+Q91-Q90-(Q85*Q86)),0)</f>
        <v>0</v>
      </c>
      <c r="R93" s="196"/>
      <c r="S93" s="195">
        <f>ROUND((+S91-S90-(S85*S86)),0)</f>
        <v>0</v>
      </c>
      <c r="T93" s="195">
        <f>ROUND((+T91-T90-(T85*T86)),0)</f>
        <v>0</v>
      </c>
      <c r="U93" s="195">
        <f>ROUND((+U91-U90-(U85*U86)),0)</f>
        <v>0</v>
      </c>
      <c r="V93" s="195">
        <f>ROUND((+V91-V90-(V85*V86)),0)</f>
        <v>0</v>
      </c>
      <c r="W93" s="196"/>
      <c r="X93" s="195">
        <f>ROUND((+X91-X90-(X85*X86)),0)</f>
        <v>0</v>
      </c>
      <c r="Y93" s="195">
        <f>ROUND((+Y91-Y90-(Y85*Y86)),0)</f>
        <v>0</v>
      </c>
      <c r="Z93" s="195">
        <f>ROUND((+Z91-Z90-(Z85*Z86)),0)</f>
        <v>0</v>
      </c>
      <c r="AA93" s="195">
        <f>ROUND((+AA91-AA90-(AA85*AA86)),0)</f>
        <v>0</v>
      </c>
      <c r="AB93" s="196"/>
      <c r="AC93" s="195">
        <f>ROUND((+AC91-AC90-(AC85*AC86)),0)</f>
        <v>0</v>
      </c>
      <c r="AD93" s="195">
        <f>ROUND((+AD91-AD90-(AD85*AD86)),0)</f>
        <v>0</v>
      </c>
      <c r="AE93" s="195">
        <f>ROUND((+AE91-AE90-(AE85*AE86)),0)</f>
        <v>0</v>
      </c>
      <c r="AF93" s="195">
        <f>ROUND((+AF91-AF90-(AF85*AF86)),0)</f>
        <v>0</v>
      </c>
      <c r="AG93" s="196"/>
      <c r="AH93" s="195">
        <f>ROUND((+AH91-AH90-(AH85*AH86)),0)</f>
        <v>0</v>
      </c>
      <c r="AI93" s="195">
        <f>ROUND((+AI91-AI90-(AI85*AI86)),0)</f>
        <v>0</v>
      </c>
      <c r="AJ93" s="195">
        <f>ROUND((+AJ91-AJ90-(AJ85*AJ86)),0)</f>
        <v>0</v>
      </c>
      <c r="AK93" s="195">
        <f>ROUND((+AK91-AK90-(AK85*AK86)),0)</f>
        <v>0</v>
      </c>
      <c r="AL93" s="196"/>
      <c r="AM93" s="195">
        <f>ROUND((+AM91-AM90-(AM85*AM86)),0)</f>
        <v>0</v>
      </c>
      <c r="AN93" s="195">
        <f>ROUND((+AN91-AN90-(AN85*AN86)),0)</f>
        <v>0</v>
      </c>
      <c r="AO93" s="195">
        <f>ROUND((+AO91-AO90-(AO85*AO86)),0)</f>
        <v>0</v>
      </c>
      <c r="AP93" s="195">
        <f>ROUND((+AP91-AP90-(AP85*AP86)),0)</f>
        <v>0</v>
      </c>
      <c r="AQ93" s="196"/>
    </row>
    <row r="94" spans="1:43" s="20" customFormat="1" outlineLevel="1" x14ac:dyDescent="0.25">
      <c r="A94" s="269"/>
      <c r="B94" s="597" t="s">
        <v>293</v>
      </c>
      <c r="C94" s="598"/>
      <c r="D94" s="284">
        <v>6373</v>
      </c>
      <c r="E94" s="284">
        <v>6586</v>
      </c>
      <c r="F94" s="284">
        <v>7127</v>
      </c>
      <c r="G94" s="284">
        <v>7329</v>
      </c>
      <c r="H94" s="480">
        <f>G94</f>
        <v>7329</v>
      </c>
      <c r="I94" s="284">
        <v>7533</v>
      </c>
      <c r="J94" s="284">
        <v>7642</v>
      </c>
      <c r="K94" s="284">
        <v>7691</v>
      </c>
      <c r="L94" s="284">
        <v>7778</v>
      </c>
      <c r="M94" s="480">
        <f>L94</f>
        <v>7778</v>
      </c>
      <c r="N94" s="284">
        <v>7917</v>
      </c>
      <c r="O94" s="198">
        <f>+N94+O95</f>
        <v>7987</v>
      </c>
      <c r="P94" s="198">
        <f t="shared" ref="P94:Q94" si="281">+O94+P95</f>
        <v>8107</v>
      </c>
      <c r="Q94" s="198">
        <f t="shared" si="281"/>
        <v>8248</v>
      </c>
      <c r="R94" s="480">
        <f>Q94</f>
        <v>8248</v>
      </c>
      <c r="S94" s="198">
        <f>+Q94+S95</f>
        <v>8323</v>
      </c>
      <c r="T94" s="198">
        <f>+S94+T95</f>
        <v>8398</v>
      </c>
      <c r="U94" s="198">
        <f t="shared" ref="U94:V94" si="282">+T94+U95</f>
        <v>8473</v>
      </c>
      <c r="V94" s="198">
        <f t="shared" si="282"/>
        <v>8548</v>
      </c>
      <c r="W94" s="480">
        <f>V94</f>
        <v>8548</v>
      </c>
      <c r="X94" s="198">
        <f>+V94+X95</f>
        <v>8737.7987499999999</v>
      </c>
      <c r="Y94" s="198">
        <f>+X94+Y95</f>
        <v>8927.5974999999999</v>
      </c>
      <c r="Z94" s="198">
        <f t="shared" ref="Z94:AA94" si="283">+Y94+Z95</f>
        <v>9117.3962499999998</v>
      </c>
      <c r="AA94" s="198">
        <f t="shared" si="283"/>
        <v>9307.1949999999997</v>
      </c>
      <c r="AB94" s="480">
        <f>AA94</f>
        <v>9307.1949999999997</v>
      </c>
      <c r="AC94" s="198">
        <f>+AA94+AC95</f>
        <v>9510.2011796874995</v>
      </c>
      <c r="AD94" s="198">
        <f>+AC94+AD95</f>
        <v>9713.2073593749992</v>
      </c>
      <c r="AE94" s="198">
        <f t="shared" ref="AE94:AF94" si="284">+AD94+AE95</f>
        <v>9916.213539062499</v>
      </c>
      <c r="AF94" s="198">
        <f t="shared" si="284"/>
        <v>10119.219718749999</v>
      </c>
      <c r="AG94" s="480">
        <f>AF94</f>
        <v>10119.219718749999</v>
      </c>
      <c r="AH94" s="198">
        <f>+AF94+AH95</f>
        <v>10322.225898437498</v>
      </c>
      <c r="AI94" s="198">
        <f>+AH94+AI95</f>
        <v>10525.232078124998</v>
      </c>
      <c r="AJ94" s="198">
        <f t="shared" ref="AJ94:AK94" si="285">+AI94+AJ95</f>
        <v>10728.238257812498</v>
      </c>
      <c r="AK94" s="198">
        <f t="shared" si="285"/>
        <v>10931.244437499998</v>
      </c>
      <c r="AL94" s="480">
        <f>AK94</f>
        <v>10931.244437499998</v>
      </c>
      <c r="AM94" s="198">
        <f>+AK94+AM95</f>
        <v>11134.250617187497</v>
      </c>
      <c r="AN94" s="198">
        <f>+AM94+AN95</f>
        <v>11337.256796874997</v>
      </c>
      <c r="AO94" s="198">
        <f t="shared" ref="AO94" si="286">+AN94+AO95</f>
        <v>11540.262976562497</v>
      </c>
      <c r="AP94" s="198">
        <f t="shared" ref="AP94" si="287">+AO94+AP95</f>
        <v>11743.269156249997</v>
      </c>
      <c r="AQ94" s="480">
        <f>AP94</f>
        <v>11743.269156249997</v>
      </c>
    </row>
    <row r="95" spans="1:43" outlineLevel="1" x14ac:dyDescent="0.25">
      <c r="A95" s="254"/>
      <c r="B95" s="466" t="s">
        <v>162</v>
      </c>
      <c r="C95" s="460"/>
      <c r="D95" s="256">
        <f>+D94-6201</f>
        <v>172</v>
      </c>
      <c r="E95" s="256">
        <f>+E94-D94</f>
        <v>213</v>
      </c>
      <c r="F95" s="256">
        <f t="shared" ref="F95:G95" si="288">+F94-E94</f>
        <v>541</v>
      </c>
      <c r="G95" s="256">
        <f t="shared" si="288"/>
        <v>202</v>
      </c>
      <c r="H95" s="291">
        <f>+SUM(D95:G95)</f>
        <v>1128</v>
      </c>
      <c r="I95" s="256">
        <f>+I94-G94</f>
        <v>204</v>
      </c>
      <c r="J95" s="256">
        <f t="shared" ref="J95:L95" si="289">+J94-I94</f>
        <v>109</v>
      </c>
      <c r="K95" s="256">
        <f t="shared" si="289"/>
        <v>49</v>
      </c>
      <c r="L95" s="256">
        <f t="shared" si="289"/>
        <v>87</v>
      </c>
      <c r="M95" s="291">
        <f>+SUM(I95:L95)</f>
        <v>449</v>
      </c>
      <c r="N95" s="256">
        <v>139</v>
      </c>
      <c r="O95" s="256">
        <v>70</v>
      </c>
      <c r="P95" s="256">
        <v>120</v>
      </c>
      <c r="Q95" s="63">
        <v>141</v>
      </c>
      <c r="R95" s="291">
        <f>+SUM(N95:Q95)</f>
        <v>470</v>
      </c>
      <c r="S95" s="63">
        <v>75</v>
      </c>
      <c r="T95" s="63">
        <v>75</v>
      </c>
      <c r="U95" s="63">
        <v>75</v>
      </c>
      <c r="V95" s="63">
        <v>75</v>
      </c>
      <c r="W95" s="291">
        <f>+SUM(S95:V95)</f>
        <v>300</v>
      </c>
      <c r="X95" s="63">
        <f>0.09/4*AVERAGE(S94:V94)</f>
        <v>189.79874999999998</v>
      </c>
      <c r="Y95" s="63">
        <f>0.09/4*AVERAGE(S94:V94)</f>
        <v>189.79874999999998</v>
      </c>
      <c r="Z95" s="63">
        <f>0.09/4*AVERAGE(S94:V94)</f>
        <v>189.79874999999998</v>
      </c>
      <c r="AA95" s="63">
        <f>0.09/4*AVERAGE(S94:V94)</f>
        <v>189.79874999999998</v>
      </c>
      <c r="AB95" s="291">
        <f>+SUM(X95:AA95)</f>
        <v>759.19499999999994</v>
      </c>
      <c r="AC95" s="63">
        <f>0.09/4*AVERAGE(X94:AA94)</f>
        <v>203.00617968749998</v>
      </c>
      <c r="AD95" s="63">
        <f>0.09/4*AVERAGE(X94:AA94)</f>
        <v>203.00617968749998</v>
      </c>
      <c r="AE95" s="63">
        <f>0.09/4*AVERAGE(X94:AA94)</f>
        <v>203.00617968749998</v>
      </c>
      <c r="AF95" s="63">
        <f>0.09/4*AVERAGE(X94:AA94)</f>
        <v>203.00617968749998</v>
      </c>
      <c r="AG95" s="291">
        <f>+SUM(AC95:AF95)</f>
        <v>812.02471874999992</v>
      </c>
      <c r="AH95" s="63">
        <f>AVERAGE(AC95,AD95,AE95,AF95)</f>
        <v>203.00617968749998</v>
      </c>
      <c r="AI95" s="63">
        <f>AVERAGE(AD95,AE95,AF95,AH95)</f>
        <v>203.00617968749998</v>
      </c>
      <c r="AJ95" s="63">
        <f>AVERAGE(AE95,AF95,AH95,AI95)</f>
        <v>203.00617968749998</v>
      </c>
      <c r="AK95" s="63">
        <f>AVERAGE(AF95,AH95,AI95,AJ95)</f>
        <v>203.00617968749998</v>
      </c>
      <c r="AL95" s="291">
        <f>+SUM(AH95:AK95)</f>
        <v>812.02471874999992</v>
      </c>
      <c r="AM95" s="63">
        <f>AVERAGE(AH95,AI95,AJ95,AK95)</f>
        <v>203.00617968749998</v>
      </c>
      <c r="AN95" s="63">
        <f>AVERAGE(AI95,AJ95,AK95,AM95)</f>
        <v>203.00617968749998</v>
      </c>
      <c r="AO95" s="63">
        <f>AVERAGE(AJ95,AK95,AM95,AN95)</f>
        <v>203.00617968749998</v>
      </c>
      <c r="AP95" s="63">
        <f>AVERAGE(AK95,AM95,AN95,AO95)</f>
        <v>203.00617968749998</v>
      </c>
      <c r="AQ95" s="291">
        <f>+SUM(AM95:AP95)</f>
        <v>812.02471874999992</v>
      </c>
    </row>
    <row r="96" spans="1:43" outlineLevel="1" x14ac:dyDescent="0.25">
      <c r="A96" s="254"/>
      <c r="B96" s="408" t="s">
        <v>165</v>
      </c>
      <c r="C96" s="395"/>
      <c r="D96" s="34">
        <f>AVERAGE(D94,6201)</f>
        <v>6287</v>
      </c>
      <c r="E96" s="34">
        <f>AVERAGE(E94,D94)</f>
        <v>6479.5</v>
      </c>
      <c r="F96" s="34">
        <f t="shared" ref="F96:G96" si="290">AVERAGE(F94,E94)</f>
        <v>6856.5</v>
      </c>
      <c r="G96" s="34">
        <f t="shared" si="290"/>
        <v>7228</v>
      </c>
      <c r="H96" s="50"/>
      <c r="I96" s="34">
        <f>AVERAGE(I94,G94)</f>
        <v>7431</v>
      </c>
      <c r="J96" s="34">
        <f>AVERAGE(J94,I94)</f>
        <v>7587.5</v>
      </c>
      <c r="K96" s="34">
        <f t="shared" ref="K96:L96" si="291">AVERAGE(K94,J94)</f>
        <v>7666.5</v>
      </c>
      <c r="L96" s="34">
        <f t="shared" si="291"/>
        <v>7734.5</v>
      </c>
      <c r="M96" s="18"/>
      <c r="N96" s="34">
        <f>AVERAGE(N94,L94)</f>
        <v>7847.5</v>
      </c>
      <c r="O96" s="34">
        <f>AVERAGE(O94,N94)</f>
        <v>7952</v>
      </c>
      <c r="P96" s="34">
        <f t="shared" ref="P96:Q96" si="292">AVERAGE(P94,O94)</f>
        <v>8047</v>
      </c>
      <c r="Q96" s="34">
        <f t="shared" si="292"/>
        <v>8177.5</v>
      </c>
      <c r="R96" s="18"/>
      <c r="S96" s="34">
        <f>AVERAGE(S94,Q94)</f>
        <v>8285.5</v>
      </c>
      <c r="T96" s="34">
        <f>AVERAGE(T94,S94)</f>
        <v>8360.5</v>
      </c>
      <c r="U96" s="34">
        <f t="shared" ref="U96:V96" si="293">AVERAGE(U94,T94)</f>
        <v>8435.5</v>
      </c>
      <c r="V96" s="34">
        <f t="shared" si="293"/>
        <v>8510.5</v>
      </c>
      <c r="W96" s="18"/>
      <c r="X96" s="34">
        <f>AVERAGE(X94,V94)</f>
        <v>8642.8993750000009</v>
      </c>
      <c r="Y96" s="34">
        <f>AVERAGE(Y94,X94)</f>
        <v>8832.698124999999</v>
      </c>
      <c r="Z96" s="34">
        <f t="shared" ref="Z96:AA96" si="294">AVERAGE(Z94,Y94)</f>
        <v>9022.4968750000007</v>
      </c>
      <c r="AA96" s="34">
        <f t="shared" si="294"/>
        <v>9212.2956249999988</v>
      </c>
      <c r="AB96" s="18"/>
      <c r="AC96" s="34">
        <f>AVERAGE(AC94,AA94)</f>
        <v>9408.6980898437505</v>
      </c>
      <c r="AD96" s="34">
        <f>AVERAGE(AD94,AC94)</f>
        <v>9611.7042695312484</v>
      </c>
      <c r="AE96" s="34">
        <f t="shared" ref="AE96:AF96" si="295">AVERAGE(AE94,AD94)</f>
        <v>9814.71044921875</v>
      </c>
      <c r="AF96" s="34">
        <f t="shared" si="295"/>
        <v>10017.716628906248</v>
      </c>
      <c r="AG96" s="18"/>
      <c r="AH96" s="34">
        <f>AVERAGE(AH94,AF94)</f>
        <v>10220.72280859375</v>
      </c>
      <c r="AI96" s="34">
        <f>AVERAGE(AI94,AH94)</f>
        <v>10423.728988281247</v>
      </c>
      <c r="AJ96" s="34">
        <f t="shared" ref="AJ96:AK96" si="296">AVERAGE(AJ94,AI94)</f>
        <v>10626.735167968749</v>
      </c>
      <c r="AK96" s="34">
        <f t="shared" si="296"/>
        <v>10829.741347656247</v>
      </c>
      <c r="AL96" s="18"/>
      <c r="AM96" s="34">
        <f>AVERAGE(AM94,AK94)</f>
        <v>11032.747527343749</v>
      </c>
      <c r="AN96" s="34">
        <f>AVERAGE(AN94,AM94)</f>
        <v>11235.753707031246</v>
      </c>
      <c r="AO96" s="34">
        <f t="shared" ref="AO96" si="297">AVERAGE(AO94,AN94)</f>
        <v>11438.759886718748</v>
      </c>
      <c r="AP96" s="34">
        <f t="shared" ref="AP96" si="298">AVERAGE(AP94,AO94)</f>
        <v>11641.766066406246</v>
      </c>
      <c r="AQ96" s="18"/>
    </row>
    <row r="97" spans="1:43" outlineLevel="1" x14ac:dyDescent="0.25">
      <c r="A97" s="254"/>
      <c r="B97" s="408" t="s">
        <v>164</v>
      </c>
      <c r="C97" s="395"/>
      <c r="D97" s="107">
        <f>+D98/D96</f>
        <v>3.5390488309209482E-2</v>
      </c>
      <c r="E97" s="278">
        <f>+E98/E96</f>
        <v>3.3197005941816495E-2</v>
      </c>
      <c r="F97" s="278">
        <f>+F98/F96</f>
        <v>3.335521038430686E-2</v>
      </c>
      <c r="G97" s="278">
        <f>+G98/G96</f>
        <v>3.468456004427227E-2</v>
      </c>
      <c r="H97" s="50"/>
      <c r="I97" s="278">
        <f t="shared" ref="I97:P97" si="299">+I98/I96</f>
        <v>3.4275333064190554E-2</v>
      </c>
      <c r="J97" s="278">
        <f t="shared" si="299"/>
        <v>2.97331136738056E-2</v>
      </c>
      <c r="K97" s="278">
        <f t="shared" si="299"/>
        <v>8.4784451835909474E-3</v>
      </c>
      <c r="L97" s="278">
        <f t="shared" si="299"/>
        <v>2.4397181459693579E-2</v>
      </c>
      <c r="M97" s="18"/>
      <c r="N97" s="278">
        <f t="shared" si="299"/>
        <v>2.5179993628544121E-2</v>
      </c>
      <c r="O97" s="278">
        <f t="shared" si="299"/>
        <v>2.5251509054325959E-2</v>
      </c>
      <c r="P97" s="278">
        <f t="shared" si="299"/>
        <v>2.6307940847520812E-2</v>
      </c>
      <c r="Q97" s="185">
        <v>0.04</v>
      </c>
      <c r="R97" s="18"/>
      <c r="S97" s="185">
        <v>3.5000000000000003E-2</v>
      </c>
      <c r="T97" s="185">
        <v>3.2000000000000001E-2</v>
      </c>
      <c r="U97" s="185">
        <v>3.2000000000000001E-2</v>
      </c>
      <c r="V97" s="185">
        <v>4.2000000000000003E-2</v>
      </c>
      <c r="W97" s="18"/>
      <c r="X97" s="185">
        <f>+S97*(1+2.25%)</f>
        <v>3.57875E-2</v>
      </c>
      <c r="Y97" s="185">
        <f>+T97*(1+2.25%)</f>
        <v>3.2719999999999999E-2</v>
      </c>
      <c r="Z97" s="185">
        <f>+U97*(1+2.25%)</f>
        <v>3.2719999999999999E-2</v>
      </c>
      <c r="AA97" s="185">
        <f>+V97*(1+2.25%)</f>
        <v>4.2945000000000004E-2</v>
      </c>
      <c r="AB97" s="18"/>
      <c r="AC97" s="185">
        <f>+X97*(1+2.25%)</f>
        <v>3.6592718749999996E-2</v>
      </c>
      <c r="AD97" s="185">
        <f>+Y97*(1+2.25%)</f>
        <v>3.3456199999999998E-2</v>
      </c>
      <c r="AE97" s="185">
        <f>+Z97*(1+2.25%)</f>
        <v>3.3456199999999998E-2</v>
      </c>
      <c r="AF97" s="185">
        <f>+AA97*(1+2.25%)</f>
        <v>4.3911262499999999E-2</v>
      </c>
      <c r="AG97" s="18"/>
      <c r="AH97" s="185">
        <f>+AC97*(1+2.25%)</f>
        <v>3.7416054921874997E-2</v>
      </c>
      <c r="AI97" s="185">
        <f>+AD97*(1+2.25%)</f>
        <v>3.4208964499999994E-2</v>
      </c>
      <c r="AJ97" s="185">
        <f>+AE97*(1+2.25%)</f>
        <v>3.4208964499999994E-2</v>
      </c>
      <c r="AK97" s="185">
        <f>+AF97*(1+2.25%)</f>
        <v>4.4899265906249999E-2</v>
      </c>
      <c r="AL97" s="18"/>
      <c r="AM97" s="185">
        <f>+AH97*(1+2.25%)</f>
        <v>3.8257916157617186E-2</v>
      </c>
      <c r="AN97" s="185">
        <f>+AI97*(1+2.25%)</f>
        <v>3.4978666201249994E-2</v>
      </c>
      <c r="AO97" s="185">
        <f>+AJ97*(1+2.25%)</f>
        <v>3.4978666201249994E-2</v>
      </c>
      <c r="AP97" s="185">
        <f>+AK97*(1+2.25%)</f>
        <v>4.5909499389140622E-2</v>
      </c>
      <c r="AQ97" s="18"/>
    </row>
    <row r="98" spans="1:43" s="20" customFormat="1" outlineLevel="1" x14ac:dyDescent="0.25">
      <c r="A98" s="269"/>
      <c r="B98" s="599" t="s">
        <v>294</v>
      </c>
      <c r="C98" s="600"/>
      <c r="D98" s="279">
        <v>222.5</v>
      </c>
      <c r="E98" s="279">
        <v>215.1</v>
      </c>
      <c r="F98" s="279">
        <v>228.7</v>
      </c>
      <c r="G98" s="279">
        <v>250.7</v>
      </c>
      <c r="H98" s="204">
        <f>SUM(D98:G98)</f>
        <v>917</v>
      </c>
      <c r="I98" s="279">
        <v>254.7</v>
      </c>
      <c r="J98" s="279">
        <v>225.6</v>
      </c>
      <c r="K98" s="279">
        <v>65</v>
      </c>
      <c r="L98" s="203">
        <v>188.7</v>
      </c>
      <c r="M98" s="204">
        <f>SUM(I98:L98)</f>
        <v>734</v>
      </c>
      <c r="N98" s="203">
        <v>197.6</v>
      </c>
      <c r="O98" s="203">
        <v>200.8</v>
      </c>
      <c r="P98" s="203">
        <v>211.7</v>
      </c>
      <c r="Q98" s="203">
        <f t="shared" ref="Q98" si="300">+Q96*Q97</f>
        <v>327.10000000000002</v>
      </c>
      <c r="R98" s="204">
        <f>SUM(N98:Q98)</f>
        <v>937.19999999999993</v>
      </c>
      <c r="S98" s="203">
        <f>+S96*S97</f>
        <v>289.99250000000001</v>
      </c>
      <c r="T98" s="203">
        <f>+T96*T97</f>
        <v>267.536</v>
      </c>
      <c r="U98" s="203">
        <f t="shared" ref="U98:V98" si="301">+U96*U97</f>
        <v>269.93599999999998</v>
      </c>
      <c r="V98" s="203">
        <f t="shared" si="301"/>
        <v>357.44100000000003</v>
      </c>
      <c r="W98" s="204">
        <f>SUM(S98:V98)</f>
        <v>1184.9055000000001</v>
      </c>
      <c r="X98" s="203">
        <f>+X96*X97</f>
        <v>309.30776138281254</v>
      </c>
      <c r="Y98" s="203">
        <f>+Y96*Y97</f>
        <v>289.00588264999993</v>
      </c>
      <c r="Z98" s="203">
        <f t="shared" ref="Z98:AA98" si="302">+Z96*Z97</f>
        <v>295.21609775000002</v>
      </c>
      <c r="AA98" s="203">
        <f t="shared" si="302"/>
        <v>395.62203561562501</v>
      </c>
      <c r="AB98" s="204">
        <f>SUM(X98:AA98)</f>
        <v>1289.1517773984374</v>
      </c>
      <c r="AC98" s="203">
        <f>+AC96*AC97</f>
        <v>344.28984300531454</v>
      </c>
      <c r="AD98" s="203">
        <f>+AD96*AD97</f>
        <v>321.57110038229132</v>
      </c>
      <c r="AE98" s="203">
        <f t="shared" ref="AE98:AF98" si="303">+AE96*AE97</f>
        <v>328.36291573115233</v>
      </c>
      <c r="AF98" s="203">
        <f t="shared" si="303"/>
        <v>439.89058454251733</v>
      </c>
      <c r="AG98" s="204">
        <f>SUM(AC98:AF98)</f>
        <v>1434.1144436612753</v>
      </c>
      <c r="AH98" s="203">
        <f>+AH96*AH97</f>
        <v>382.41912594760419</v>
      </c>
      <c r="AI98" s="203">
        <f>+AI96*AI97</f>
        <v>356.58497491773403</v>
      </c>
      <c r="AJ98" s="203">
        <f t="shared" ref="AJ98:AK98" si="304">+AJ96*AJ97</f>
        <v>363.52960611194442</v>
      </c>
      <c r="AK98" s="203">
        <f t="shared" si="304"/>
        <v>486.24743646432808</v>
      </c>
      <c r="AL98" s="204">
        <f>SUM(AH98:AK98)</f>
        <v>1588.7811434416108</v>
      </c>
      <c r="AM98" s="203">
        <f>+AM96*AM97</f>
        <v>422.08992988927548</v>
      </c>
      <c r="AN98" s="203">
        <f>+AN96*AN97</f>
        <v>393.01167843770321</v>
      </c>
      <c r="AO98" s="203">
        <f t="shared" ref="AO98:AP98" si="305">+AO96*AO97</f>
        <v>400.11256383378327</v>
      </c>
      <c r="AP98" s="203">
        <f t="shared" si="305"/>
        <v>534.46765211419552</v>
      </c>
      <c r="AQ98" s="204">
        <f>SUM(AM98:AP98)</f>
        <v>1749.6818242749575</v>
      </c>
    </row>
    <row r="99" spans="1:43" s="20" customFormat="1" outlineLevel="1" x14ac:dyDescent="0.25">
      <c r="A99" s="269"/>
      <c r="B99" s="585" t="s">
        <v>295</v>
      </c>
      <c r="C99" s="586"/>
      <c r="D99" s="259">
        <v>3.4</v>
      </c>
      <c r="E99" s="259">
        <v>4.9000000000000004</v>
      </c>
      <c r="F99" s="259">
        <v>3.8</v>
      </c>
      <c r="G99" s="259">
        <v>5.5</v>
      </c>
      <c r="H99" s="239">
        <f>SUM(D99:G99)</f>
        <v>17.600000000000001</v>
      </c>
      <c r="I99" s="259">
        <v>6.7</v>
      </c>
      <c r="J99" s="259">
        <v>6.6</v>
      </c>
      <c r="K99" s="259">
        <v>9.1</v>
      </c>
      <c r="L99" s="171">
        <v>5.3</v>
      </c>
      <c r="M99" s="239">
        <f>SUM(I99:L99)</f>
        <v>27.7</v>
      </c>
      <c r="N99" s="171">
        <v>15</v>
      </c>
      <c r="O99" s="171">
        <v>25.4</v>
      </c>
      <c r="P99" s="171">
        <v>13.4</v>
      </c>
      <c r="Q99" s="171">
        <f t="shared" ref="Q99" si="306">+L99*(1+Q100)</f>
        <v>7.9499999999999993</v>
      </c>
      <c r="R99" s="239">
        <f>SUM(N99:Q99)</f>
        <v>61.75</v>
      </c>
      <c r="S99" s="171">
        <f>+N99*(1+S100)</f>
        <v>22.5</v>
      </c>
      <c r="T99" s="171">
        <f>+O99*(1+T100)</f>
        <v>38.099999999999994</v>
      </c>
      <c r="U99" s="171">
        <f>+P99*(1+U100)</f>
        <v>16.75</v>
      </c>
      <c r="V99" s="171">
        <f t="shared" ref="V99" si="307">+Q99*(1+V100)</f>
        <v>9.9375</v>
      </c>
      <c r="W99" s="239">
        <f>SUM(S99:V99)</f>
        <v>87.287499999999994</v>
      </c>
      <c r="X99" s="171">
        <f>+S99*(1+X100)</f>
        <v>28.125</v>
      </c>
      <c r="Y99" s="171">
        <f>+T99*(1+Y100)</f>
        <v>47.624999999999993</v>
      </c>
      <c r="Z99" s="171">
        <f>+U99*(1+Z100)</f>
        <v>20.9375</v>
      </c>
      <c r="AA99" s="171">
        <f t="shared" ref="AA99" si="308">+V99*(1+AA100)</f>
        <v>12.421875</v>
      </c>
      <c r="AB99" s="239">
        <f>SUM(X99:AA99)</f>
        <v>109.109375</v>
      </c>
      <c r="AC99" s="171">
        <f>+X99*(1+AC100)</f>
        <v>35.15625</v>
      </c>
      <c r="AD99" s="171">
        <f>+Y99*(1+AD100)</f>
        <v>59.531249999999993</v>
      </c>
      <c r="AE99" s="171">
        <f>+Z99*(1+AE100)</f>
        <v>26.171875</v>
      </c>
      <c r="AF99" s="171">
        <f t="shared" ref="AF99" si="309">+AA99*(1+AF100)</f>
        <v>15.52734375</v>
      </c>
      <c r="AG99" s="239">
        <f>SUM(AC99:AF99)</f>
        <v>136.38671875</v>
      </c>
      <c r="AH99" s="171">
        <f>+AC99*(1+AH100)</f>
        <v>43.9453125</v>
      </c>
      <c r="AI99" s="171">
        <f>+AD99*(1+AI100)</f>
        <v>74.414062499999986</v>
      </c>
      <c r="AJ99" s="171">
        <f>+AE99*(1+AJ100)</f>
        <v>32.71484375</v>
      </c>
      <c r="AK99" s="171">
        <f t="shared" ref="AK99" si="310">+AF99*(1+AK100)</f>
        <v>19.4091796875</v>
      </c>
      <c r="AL99" s="239">
        <f>SUM(AH99:AK99)</f>
        <v>170.4833984375</v>
      </c>
      <c r="AM99" s="171">
        <f>+AH99*(1+AM100)</f>
        <v>54.931640625</v>
      </c>
      <c r="AN99" s="171">
        <f>+AI99*(1+AN100)</f>
        <v>93.017578124999986</v>
      </c>
      <c r="AO99" s="171">
        <f>+AJ99*(1+AO100)</f>
        <v>40.8935546875</v>
      </c>
      <c r="AP99" s="171">
        <f t="shared" ref="AP99" si="311">+AK99*(1+AP100)</f>
        <v>24.261474609375</v>
      </c>
      <c r="AQ99" s="239">
        <f>SUM(AM99:AP99)</f>
        <v>213.104248046875</v>
      </c>
    </row>
    <row r="100" spans="1:43" outlineLevel="1" x14ac:dyDescent="0.25">
      <c r="A100" s="254"/>
      <c r="B100" s="200" t="s">
        <v>169</v>
      </c>
      <c r="C100" s="201"/>
      <c r="D100" s="289"/>
      <c r="E100" s="289"/>
      <c r="F100" s="289"/>
      <c r="G100" s="289"/>
      <c r="H100" s="179"/>
      <c r="I100" s="289">
        <f>I99/D99-1</f>
        <v>0.97058823529411775</v>
      </c>
      <c r="J100" s="289">
        <f t="shared" ref="J100:L100" si="312">J99/E99-1</f>
        <v>0.3469387755102038</v>
      </c>
      <c r="K100" s="289">
        <f t="shared" si="312"/>
        <v>1.3947368421052633</v>
      </c>
      <c r="L100" s="289">
        <f t="shared" si="312"/>
        <v>-3.6363636363636376E-2</v>
      </c>
      <c r="M100" s="179"/>
      <c r="N100" s="289">
        <f>N99/I99-1</f>
        <v>1.2388059701492535</v>
      </c>
      <c r="O100" s="289">
        <f t="shared" ref="O100" si="313">O99/J99-1</f>
        <v>2.8484848484848486</v>
      </c>
      <c r="P100" s="289">
        <f t="shared" ref="P100" si="314">P99/K99-1</f>
        <v>0.47252747252747263</v>
      </c>
      <c r="Q100" s="202">
        <v>0.5</v>
      </c>
      <c r="R100" s="179"/>
      <c r="S100" s="202">
        <v>0.5</v>
      </c>
      <c r="T100" s="202">
        <v>0.5</v>
      </c>
      <c r="U100" s="202">
        <v>0.25</v>
      </c>
      <c r="V100" s="202">
        <v>0.25</v>
      </c>
      <c r="W100" s="179"/>
      <c r="X100" s="202">
        <v>0.25</v>
      </c>
      <c r="Y100" s="202">
        <v>0.25</v>
      </c>
      <c r="Z100" s="202">
        <v>0.25</v>
      </c>
      <c r="AA100" s="202">
        <v>0.25</v>
      </c>
      <c r="AB100" s="179"/>
      <c r="AC100" s="202">
        <v>0.25</v>
      </c>
      <c r="AD100" s="202">
        <v>0.25</v>
      </c>
      <c r="AE100" s="202">
        <v>0.25</v>
      </c>
      <c r="AF100" s="202">
        <v>0.25</v>
      </c>
      <c r="AG100" s="179"/>
      <c r="AH100" s="202">
        <v>0.25</v>
      </c>
      <c r="AI100" s="202">
        <v>0.25</v>
      </c>
      <c r="AJ100" s="202">
        <v>0.25</v>
      </c>
      <c r="AK100" s="202">
        <v>0.25</v>
      </c>
      <c r="AL100" s="179"/>
      <c r="AM100" s="202">
        <v>0.25</v>
      </c>
      <c r="AN100" s="202">
        <v>0.25</v>
      </c>
      <c r="AO100" s="202">
        <v>0.25</v>
      </c>
      <c r="AP100" s="202">
        <v>0.25</v>
      </c>
      <c r="AQ100" s="179"/>
    </row>
    <row r="101" spans="1:43" outlineLevel="1" x14ac:dyDescent="0.25">
      <c r="A101" s="254"/>
      <c r="B101" s="408" t="s">
        <v>296</v>
      </c>
      <c r="C101" s="409"/>
      <c r="D101" s="256">
        <f t="shared" ref="D101:G102" si="315">+D94+D83</f>
        <v>12212</v>
      </c>
      <c r="E101" s="256">
        <f t="shared" si="315"/>
        <v>12465</v>
      </c>
      <c r="F101" s="256">
        <f t="shared" si="315"/>
        <v>12773</v>
      </c>
      <c r="G101" s="256">
        <f t="shared" si="315"/>
        <v>13189</v>
      </c>
      <c r="H101" s="18"/>
      <c r="I101" s="256">
        <f>+I94+I83</f>
        <v>13592</v>
      </c>
      <c r="J101" s="256">
        <f t="shared" ref="J101:L102" si="316">+J94+J83</f>
        <v>13779</v>
      </c>
      <c r="K101" s="256">
        <f t="shared" si="316"/>
        <v>13945</v>
      </c>
      <c r="L101" s="34">
        <f t="shared" si="316"/>
        <v>14306</v>
      </c>
      <c r="M101" s="18"/>
      <c r="N101" s="34">
        <f>+N94+N83</f>
        <v>14630</v>
      </c>
      <c r="O101" s="34">
        <f t="shared" ref="O101:Q102" si="317">+O94+O83</f>
        <v>14823</v>
      </c>
      <c r="P101" s="34">
        <f t="shared" si="317"/>
        <v>15120</v>
      </c>
      <c r="Q101" s="34">
        <f t="shared" si="317"/>
        <v>15406</v>
      </c>
      <c r="R101" s="18"/>
      <c r="S101" s="34">
        <f>+S94+S83</f>
        <v>15556</v>
      </c>
      <c r="T101" s="34">
        <f t="shared" ref="T101:V102" si="318">+T94+T83</f>
        <v>15706</v>
      </c>
      <c r="U101" s="34">
        <f t="shared" si="318"/>
        <v>15856</v>
      </c>
      <c r="V101" s="34">
        <f t="shared" si="318"/>
        <v>16006</v>
      </c>
      <c r="W101" s="499">
        <f>W102/(AVERAGE(N101:Q101))</f>
        <v>4.0014004901715604E-2</v>
      </c>
      <c r="X101" s="34">
        <f>+X94+X83</f>
        <v>16361.0725</v>
      </c>
      <c r="Y101" s="34">
        <f t="shared" ref="Y101:AA102" si="319">+Y94+Y83</f>
        <v>16716.145</v>
      </c>
      <c r="Z101" s="34">
        <f t="shared" si="319"/>
        <v>17071.217499999999</v>
      </c>
      <c r="AA101" s="34">
        <f t="shared" si="319"/>
        <v>17426.29</v>
      </c>
      <c r="AB101" s="500">
        <f>AB102/(AVERAGE(S101:V101))</f>
        <v>0.09</v>
      </c>
      <c r="AC101" s="34">
        <f>+AC94+AC83</f>
        <v>17806.397828125002</v>
      </c>
      <c r="AD101" s="34">
        <f t="shared" ref="AD101:AF102" si="320">+AD94+AD83</f>
        <v>18186.505656249999</v>
      </c>
      <c r="AE101" s="34">
        <f t="shared" si="320"/>
        <v>18566.613484374997</v>
      </c>
      <c r="AF101" s="34">
        <f t="shared" si="320"/>
        <v>18946.721312499998</v>
      </c>
      <c r="AG101" s="500">
        <f>AG102/(AVERAGE(X101:AA101))</f>
        <v>8.9999999999999983E-2</v>
      </c>
      <c r="AH101" s="34">
        <f>+AH94+AH83</f>
        <v>19326.829140624999</v>
      </c>
      <c r="AI101" s="34">
        <f t="shared" ref="AI101:AK102" si="321">+AI94+AI83</f>
        <v>19706.936968749997</v>
      </c>
      <c r="AJ101" s="34">
        <f t="shared" si="321"/>
        <v>20087.044796874994</v>
      </c>
      <c r="AK101" s="34">
        <f t="shared" si="321"/>
        <v>20467.152624999995</v>
      </c>
      <c r="AL101" s="499">
        <f>AL102/(AVERAGE(AC101:AF101))</f>
        <v>8.2737538911052233E-2</v>
      </c>
      <c r="AM101" s="34">
        <f>+AM94+AM83</f>
        <v>20847.260453124996</v>
      </c>
      <c r="AN101" s="34">
        <f t="shared" ref="AN101:AP101" si="322">+AN94+AN83</f>
        <v>21227.368281249994</v>
      </c>
      <c r="AO101" s="34">
        <f t="shared" si="322"/>
        <v>21607.476109374991</v>
      </c>
      <c r="AP101" s="34">
        <f t="shared" si="322"/>
        <v>21987.583937499992</v>
      </c>
      <c r="AQ101" s="499">
        <f>AQ102/(AVERAGE(AH101:AK101))</f>
        <v>7.6415138422432777E-2</v>
      </c>
    </row>
    <row r="102" spans="1:43" outlineLevel="1" x14ac:dyDescent="0.25">
      <c r="A102" s="254"/>
      <c r="B102" s="408" t="s">
        <v>297</v>
      </c>
      <c r="C102" s="409"/>
      <c r="D102" s="256">
        <f t="shared" si="315"/>
        <v>360</v>
      </c>
      <c r="E102" s="256">
        <f t="shared" si="315"/>
        <v>253</v>
      </c>
      <c r="F102" s="256">
        <f t="shared" si="315"/>
        <v>308</v>
      </c>
      <c r="G102" s="256">
        <f t="shared" si="315"/>
        <v>416</v>
      </c>
      <c r="H102" s="50">
        <f>+H95+H84</f>
        <v>1337</v>
      </c>
      <c r="I102" s="256">
        <f>+I95+I84</f>
        <v>403</v>
      </c>
      <c r="J102" s="256">
        <f t="shared" si="316"/>
        <v>187</v>
      </c>
      <c r="K102" s="256">
        <f t="shared" si="316"/>
        <v>166</v>
      </c>
      <c r="L102" s="34">
        <f t="shared" si="316"/>
        <v>361</v>
      </c>
      <c r="M102" s="50">
        <f>+M95+M84</f>
        <v>1117</v>
      </c>
      <c r="N102" s="34">
        <f>+N95+N84</f>
        <v>324</v>
      </c>
      <c r="O102" s="34">
        <f t="shared" si="317"/>
        <v>193</v>
      </c>
      <c r="P102" s="34">
        <f t="shared" si="317"/>
        <v>297</v>
      </c>
      <c r="Q102" s="34">
        <f t="shared" si="317"/>
        <v>286</v>
      </c>
      <c r="R102" s="349">
        <f>+R95+R84</f>
        <v>1100</v>
      </c>
      <c r="S102" s="34">
        <f>+S95+S84</f>
        <v>150</v>
      </c>
      <c r="T102" s="34">
        <f t="shared" si="318"/>
        <v>150</v>
      </c>
      <c r="U102" s="34">
        <f t="shared" si="318"/>
        <v>150</v>
      </c>
      <c r="V102" s="34">
        <f t="shared" si="318"/>
        <v>150</v>
      </c>
      <c r="W102" s="50">
        <f>+W95+W84</f>
        <v>600</v>
      </c>
      <c r="X102" s="34">
        <f>+X95+X84</f>
        <v>355.07249999999999</v>
      </c>
      <c r="Y102" s="34">
        <f t="shared" si="319"/>
        <v>355.07249999999999</v>
      </c>
      <c r="Z102" s="34">
        <f t="shared" si="319"/>
        <v>355.07249999999999</v>
      </c>
      <c r="AA102" s="34">
        <f t="shared" si="319"/>
        <v>355.07249999999999</v>
      </c>
      <c r="AB102" s="50">
        <f>+AB95+AB84</f>
        <v>1420.29</v>
      </c>
      <c r="AC102" s="34">
        <f>+AC95+AC84</f>
        <v>380.10782812499997</v>
      </c>
      <c r="AD102" s="34">
        <f t="shared" si="320"/>
        <v>380.10782812499997</v>
      </c>
      <c r="AE102" s="34">
        <f t="shared" si="320"/>
        <v>380.10782812499997</v>
      </c>
      <c r="AF102" s="34">
        <f t="shared" si="320"/>
        <v>380.10782812499997</v>
      </c>
      <c r="AG102" s="50">
        <f>+AG95+AG84</f>
        <v>1520.4313124999999</v>
      </c>
      <c r="AH102" s="34">
        <f>+AH95+AH84</f>
        <v>380.10782812499997</v>
      </c>
      <c r="AI102" s="34">
        <f t="shared" si="321"/>
        <v>380.10782812499997</v>
      </c>
      <c r="AJ102" s="34">
        <f t="shared" si="321"/>
        <v>380.10782812499997</v>
      </c>
      <c r="AK102" s="34">
        <f t="shared" si="321"/>
        <v>380.10782812499997</v>
      </c>
      <c r="AL102" s="50">
        <f>+AL95+AL84</f>
        <v>1520.4313124999999</v>
      </c>
      <c r="AM102" s="34">
        <f>+AM95+AM84</f>
        <v>380.10782812499997</v>
      </c>
      <c r="AN102" s="34">
        <f t="shared" ref="AN102:AP102" si="323">+AN95+AN84</f>
        <v>380.10782812499997</v>
      </c>
      <c r="AO102" s="34">
        <f t="shared" si="323"/>
        <v>380.10782812499997</v>
      </c>
      <c r="AP102" s="34">
        <f t="shared" si="323"/>
        <v>380.10782812499997</v>
      </c>
      <c r="AQ102" s="50">
        <f>+AQ95+AQ84</f>
        <v>1520.4313124999999</v>
      </c>
    </row>
    <row r="103" spans="1:43" outlineLevel="1" x14ac:dyDescent="0.25">
      <c r="A103" s="254"/>
      <c r="B103" s="601" t="s">
        <v>298</v>
      </c>
      <c r="C103" s="602"/>
      <c r="D103" s="279">
        <f t="shared" ref="D103:G103" si="324">+D99+D98+D91</f>
        <v>1504</v>
      </c>
      <c r="E103" s="279">
        <f>+E99+E98+E91</f>
        <v>1529.4</v>
      </c>
      <c r="F103" s="279">
        <f t="shared" si="324"/>
        <v>1585.3</v>
      </c>
      <c r="G103" s="279">
        <f t="shared" si="324"/>
        <v>1572.1000000000001</v>
      </c>
      <c r="H103" s="204">
        <f>SUM(D103:G103)</f>
        <v>6190.8</v>
      </c>
      <c r="I103" s="279">
        <f>+I99+I98+I91</f>
        <v>1571.1</v>
      </c>
      <c r="J103" s="279">
        <f t="shared" ref="J103:L103" si="325">+J99+J98+J91</f>
        <v>1134.5999999999999</v>
      </c>
      <c r="K103" s="279">
        <f t="shared" si="325"/>
        <v>949.6</v>
      </c>
      <c r="L103" s="203">
        <f t="shared" si="325"/>
        <v>1492.3</v>
      </c>
      <c r="M103" s="204">
        <f>SUM(I103:L103)</f>
        <v>5147.5999999999995</v>
      </c>
      <c r="N103" s="203">
        <f>+N99+N98+N91</f>
        <v>1654.3</v>
      </c>
      <c r="O103" s="203">
        <f t="shared" ref="O103:Q103" si="326">+O99+O98+O91</f>
        <v>1610.9</v>
      </c>
      <c r="P103" s="203">
        <f t="shared" si="326"/>
        <v>1658.3999999999999</v>
      </c>
      <c r="Q103" s="203">
        <f t="shared" si="326"/>
        <v>1984.1307887935336</v>
      </c>
      <c r="R103" s="204">
        <f>SUM(N103:Q103)</f>
        <v>6907.7307887935331</v>
      </c>
      <c r="S103" s="203">
        <f>+S99+S98+S91</f>
        <v>2012.5672338425222</v>
      </c>
      <c r="T103" s="203">
        <f t="shared" ref="T103:V103" si="327">+T99+T98+T91</f>
        <v>1903.6192797245692</v>
      </c>
      <c r="U103" s="203">
        <f t="shared" si="327"/>
        <v>1951.5882505014254</v>
      </c>
      <c r="V103" s="203">
        <f t="shared" si="327"/>
        <v>2178.8147605819304</v>
      </c>
      <c r="W103" s="204">
        <f>SUM(S103:V103)</f>
        <v>8046.5895246504469</v>
      </c>
      <c r="X103" s="203">
        <f>+X99+X98+X91</f>
        <v>2310.884087113141</v>
      </c>
      <c r="Y103" s="203">
        <f t="shared" ref="Y103:AA103" si="328">+Y99+Y98+Y91</f>
        <v>2182.1790233166726</v>
      </c>
      <c r="Z103" s="203">
        <f t="shared" si="328"/>
        <v>2210.2513789630848</v>
      </c>
      <c r="AA103" s="203">
        <f t="shared" si="328"/>
        <v>2444.2309048645689</v>
      </c>
      <c r="AB103" s="204">
        <f>SUM(X103:AA103)</f>
        <v>9147.5453942574677</v>
      </c>
      <c r="AC103" s="203">
        <f>+AC99+AC98+AC91</f>
        <v>2532.6996061489808</v>
      </c>
      <c r="AD103" s="203">
        <f t="shared" ref="AD103:AF103" si="329">+AD99+AD98+AD91</f>
        <v>2413.7746548006571</v>
      </c>
      <c r="AE103" s="203">
        <f t="shared" si="329"/>
        <v>2461.7413089108977</v>
      </c>
      <c r="AF103" s="203">
        <f t="shared" si="329"/>
        <v>2744.3217353527016</v>
      </c>
      <c r="AG103" s="204">
        <f>SUM(AC103:AF103)</f>
        <v>10152.537305213238</v>
      </c>
      <c r="AH103" s="203">
        <f>+AH99+AH98+AH91</f>
        <v>2837.0627305380472</v>
      </c>
      <c r="AI103" s="203">
        <f t="shared" ref="AI103:AK103" si="330">+AI99+AI98+AI91</f>
        <v>2704.5474468468924</v>
      </c>
      <c r="AJ103" s="203">
        <f t="shared" si="330"/>
        <v>2753.4494696483994</v>
      </c>
      <c r="AK103" s="203">
        <f t="shared" si="330"/>
        <v>3067.6678690629942</v>
      </c>
      <c r="AL103" s="204">
        <f>SUM(AH103:AK103)</f>
        <v>11362.727516096333</v>
      </c>
      <c r="AM103" s="203">
        <f>+AM99+AM98+AM91</f>
        <v>3172.4686200599663</v>
      </c>
      <c r="AN103" s="203">
        <f t="shared" ref="AN103:AP103" si="331">+AN99+AN98+AN91</f>
        <v>3022.8120843286006</v>
      </c>
      <c r="AO103" s="203">
        <f t="shared" si="331"/>
        <v>3068.2255714743869</v>
      </c>
      <c r="AP103" s="203">
        <f t="shared" si="331"/>
        <v>3412.3541750625009</v>
      </c>
      <c r="AQ103" s="204">
        <f>SUM(AM103:AP103)</f>
        <v>12675.860450925455</v>
      </c>
    </row>
    <row r="104" spans="1:43" outlineLevel="1" x14ac:dyDescent="0.25">
      <c r="A104" s="254"/>
      <c r="B104" s="605" t="s">
        <v>262</v>
      </c>
      <c r="C104" s="606"/>
      <c r="D104" s="261">
        <v>462.7</v>
      </c>
      <c r="E104" s="261">
        <v>470.2</v>
      </c>
      <c r="F104" s="261">
        <v>476.1</v>
      </c>
      <c r="G104" s="261">
        <v>486.1</v>
      </c>
      <c r="H104" s="209">
        <f>SUM(D104:G104)</f>
        <v>1895.1</v>
      </c>
      <c r="I104" s="261">
        <v>488.5</v>
      </c>
      <c r="J104" s="261">
        <v>387.7</v>
      </c>
      <c r="K104" s="261">
        <v>337.7</v>
      </c>
      <c r="L104" s="169">
        <v>468</v>
      </c>
      <c r="M104" s="209">
        <f>SUM(I104:L104)</f>
        <v>1681.9</v>
      </c>
      <c r="N104" s="169">
        <v>520.4</v>
      </c>
      <c r="O104" s="169">
        <v>513.5</v>
      </c>
      <c r="P104" s="169">
        <v>501.7</v>
      </c>
      <c r="Q104" s="169">
        <f t="shared" ref="Q104" si="332">Q105*Q103</f>
        <v>618.95657647228018</v>
      </c>
      <c r="R104" s="209">
        <f>SUM(N104:Q104)</f>
        <v>2154.5565764722805</v>
      </c>
      <c r="S104" s="169">
        <f>S105*S103</f>
        <v>632.85884358255305</v>
      </c>
      <c r="T104" s="169">
        <f>T105*T103</f>
        <v>598.599776310484</v>
      </c>
      <c r="U104" s="169">
        <f t="shared" ref="U104" si="333">U105*U103</f>
        <v>613.68378784719471</v>
      </c>
      <c r="V104" s="169">
        <f t="shared" ref="V104" si="334">V105*V103</f>
        <v>674.24188914816523</v>
      </c>
      <c r="W104" s="209">
        <f>SUM(S104:V104)</f>
        <v>2519.3842968883969</v>
      </c>
      <c r="X104" s="169">
        <f>X105*X103</f>
        <v>720.88841686366243</v>
      </c>
      <c r="Y104" s="169">
        <f>Y105*Y103</f>
        <v>680.73841963966481</v>
      </c>
      <c r="Z104" s="169">
        <f t="shared" ref="Z104" si="335">Z105*Z103</f>
        <v>689.49568969593008</v>
      </c>
      <c r="AA104" s="169">
        <f t="shared" ref="AA104" si="336">AA105*AA103</f>
        <v>762.48642555596416</v>
      </c>
      <c r="AB104" s="209">
        <f>SUM(X104:AA104)</f>
        <v>2853.6089517552214</v>
      </c>
      <c r="AC104" s="169">
        <f>AC105*AC103</f>
        <v>796.41629702436535</v>
      </c>
      <c r="AD104" s="169">
        <f>AD105*AD103</f>
        <v>759.01992789054259</v>
      </c>
      <c r="AE104" s="169">
        <f t="shared" ref="AE104" si="337">AE105*AE103</f>
        <v>774.10321094328981</v>
      </c>
      <c r="AF104" s="169">
        <f t="shared" ref="AF104" si="338">AF105*AF103</f>
        <v>862.96161969099865</v>
      </c>
      <c r="AG104" s="209">
        <f>SUM(AC104:AF104)</f>
        <v>3192.5010555491967</v>
      </c>
      <c r="AH104" s="169">
        <f>AH105*AH103</f>
        <v>892.12435173728886</v>
      </c>
      <c r="AI104" s="169">
        <f>AI105*AI103</f>
        <v>850.45445480983039</v>
      </c>
      <c r="AJ104" s="169">
        <f t="shared" ref="AJ104" si="339">AJ105*AJ103</f>
        <v>865.83186783663461</v>
      </c>
      <c r="AK104" s="169">
        <f t="shared" ref="AK104" si="340">AK105*AK103</f>
        <v>964.63894843598075</v>
      </c>
      <c r="AL104" s="209">
        <f>SUM(AH104:AK104)</f>
        <v>3573.0496228197344</v>
      </c>
      <c r="AM104" s="169">
        <f>AM105*AM103</f>
        <v>997.593913103619</v>
      </c>
      <c r="AN104" s="169">
        <f>AN105*AN103</f>
        <v>950.53388919738961</v>
      </c>
      <c r="AO104" s="169">
        <f t="shared" ref="AO104:AP104" si="341">AO105*AO103</f>
        <v>964.81431992032287</v>
      </c>
      <c r="AP104" s="169">
        <f t="shared" si="341"/>
        <v>1073.0267693969267</v>
      </c>
      <c r="AQ104" s="209">
        <f>SUM(AM104:AP104)</f>
        <v>3985.9688916182581</v>
      </c>
    </row>
    <row r="105" spans="1:43" s="469" customFormat="1" outlineLevel="1" x14ac:dyDescent="0.25">
      <c r="A105" s="470"/>
      <c r="B105" s="467" t="s">
        <v>341</v>
      </c>
      <c r="C105" s="468"/>
      <c r="D105" s="415">
        <f>D104/D103</f>
        <v>0.30764627659574467</v>
      </c>
      <c r="E105" s="415">
        <f t="shared" ref="E105:P105" si="342">E104/E103</f>
        <v>0.30744082646789589</v>
      </c>
      <c r="F105" s="415">
        <f t="shared" si="342"/>
        <v>0.30032170567085098</v>
      </c>
      <c r="G105" s="415">
        <f t="shared" si="342"/>
        <v>0.30920424909356908</v>
      </c>
      <c r="H105" s="476">
        <f>H104/H103</f>
        <v>0.30611552626477995</v>
      </c>
      <c r="I105" s="415">
        <f t="shared" si="342"/>
        <v>0.31092864871745912</v>
      </c>
      <c r="J105" s="415">
        <f t="shared" si="342"/>
        <v>0.34170632822139962</v>
      </c>
      <c r="K105" s="415">
        <f t="shared" si="342"/>
        <v>0.35562342038753159</v>
      </c>
      <c r="L105" s="475">
        <f t="shared" si="342"/>
        <v>0.31360986396837098</v>
      </c>
      <c r="M105" s="476">
        <f>M104/M103</f>
        <v>0.32673478902789654</v>
      </c>
      <c r="N105" s="475">
        <f t="shared" si="342"/>
        <v>0.31457414011968809</v>
      </c>
      <c r="O105" s="415">
        <f t="shared" si="342"/>
        <v>0.31876590725681292</v>
      </c>
      <c r="P105" s="415">
        <f t="shared" si="342"/>
        <v>0.30252050168837435</v>
      </c>
      <c r="Q105" s="477">
        <f>AVERAGE(N105:P105)</f>
        <v>0.31195351635495844</v>
      </c>
      <c r="R105" s="476">
        <f>R104/R103</f>
        <v>0.31190511650622443</v>
      </c>
      <c r="S105" s="477">
        <f>Q105+0.25%</f>
        <v>0.31445351635495844</v>
      </c>
      <c r="T105" s="477">
        <f>S105</f>
        <v>0.31445351635495844</v>
      </c>
      <c r="U105" s="477">
        <f>T105</f>
        <v>0.31445351635495844</v>
      </c>
      <c r="V105" s="477">
        <f>U105-0.5%</f>
        <v>0.30945351635495844</v>
      </c>
      <c r="W105" s="476">
        <f>W104/W103</f>
        <v>0.31309964167680615</v>
      </c>
      <c r="X105" s="477">
        <f>V105+0.25%</f>
        <v>0.31195351635495844</v>
      </c>
      <c r="Y105" s="477">
        <f>X105</f>
        <v>0.31195351635495844</v>
      </c>
      <c r="Z105" s="477">
        <f>Y105</f>
        <v>0.31195351635495844</v>
      </c>
      <c r="AA105" s="477">
        <f>Z105</f>
        <v>0.31195351635495844</v>
      </c>
      <c r="AB105" s="476">
        <f>AB104/AB103</f>
        <v>0.31195351635495838</v>
      </c>
      <c r="AC105" s="477">
        <f>AA105+0.25%</f>
        <v>0.31445351635495844</v>
      </c>
      <c r="AD105" s="477">
        <f>AC105</f>
        <v>0.31445351635495844</v>
      </c>
      <c r="AE105" s="477">
        <f>AD105</f>
        <v>0.31445351635495844</v>
      </c>
      <c r="AF105" s="477">
        <f>AE105</f>
        <v>0.31445351635495844</v>
      </c>
      <c r="AG105" s="476">
        <f>AG104/AG103</f>
        <v>0.31445351635495844</v>
      </c>
      <c r="AH105" s="477">
        <f>AF105</f>
        <v>0.31445351635495844</v>
      </c>
      <c r="AI105" s="477">
        <f>AH105</f>
        <v>0.31445351635495844</v>
      </c>
      <c r="AJ105" s="477">
        <f>AI105</f>
        <v>0.31445351635495844</v>
      </c>
      <c r="AK105" s="477">
        <f>AJ105</f>
        <v>0.31445351635495844</v>
      </c>
      <c r="AL105" s="476">
        <f>AL104/AL103</f>
        <v>0.31445351635495844</v>
      </c>
      <c r="AM105" s="477">
        <f>AK105</f>
        <v>0.31445351635495844</v>
      </c>
      <c r="AN105" s="477">
        <f>AM105</f>
        <v>0.31445351635495844</v>
      </c>
      <c r="AO105" s="477">
        <f>AN105</f>
        <v>0.31445351635495844</v>
      </c>
      <c r="AP105" s="477">
        <f>AO105</f>
        <v>0.31445351635495844</v>
      </c>
      <c r="AQ105" s="476">
        <f>AQ104/AQ103</f>
        <v>0.31445351635495844</v>
      </c>
    </row>
    <row r="106" spans="1:43" outlineLevel="1" x14ac:dyDescent="0.25">
      <c r="A106" s="254"/>
      <c r="B106" s="408" t="s">
        <v>141</v>
      </c>
      <c r="C106" s="36"/>
      <c r="D106" s="261">
        <v>603.70000000000005</v>
      </c>
      <c r="E106" s="261">
        <v>618.4</v>
      </c>
      <c r="F106" s="261">
        <v>609.20000000000005</v>
      </c>
      <c r="G106" s="261">
        <v>597.29999999999995</v>
      </c>
      <c r="H106" s="170">
        <f>SUM(D106:G106)</f>
        <v>2428.6</v>
      </c>
      <c r="I106" s="261">
        <v>607.1</v>
      </c>
      <c r="J106" s="261">
        <v>562.79999999999995</v>
      </c>
      <c r="K106" s="261">
        <v>483.4</v>
      </c>
      <c r="L106" s="169">
        <v>622.79999999999995</v>
      </c>
      <c r="M106" s="170">
        <f>SUM(I106:L106)</f>
        <v>2276.1000000000004</v>
      </c>
      <c r="N106" s="169">
        <v>628.5</v>
      </c>
      <c r="O106" s="169">
        <v>620.20000000000005</v>
      </c>
      <c r="P106" s="169">
        <v>620.1</v>
      </c>
      <c r="Q106" s="169">
        <f t="shared" ref="Q106" si="343">Q107*Q91</f>
        <v>723.65869992254272</v>
      </c>
      <c r="R106" s="170">
        <f>SUM(N106:Q106)</f>
        <v>2592.458699922543</v>
      </c>
      <c r="S106" s="169">
        <f>S107*S91</f>
        <v>750.28633013581464</v>
      </c>
      <c r="T106" s="169">
        <f>T107*T91</f>
        <v>705.23076821045106</v>
      </c>
      <c r="U106" s="169">
        <f t="shared" ref="U106" si="344">U107*U91</f>
        <v>734.7638163766054</v>
      </c>
      <c r="V106" s="169">
        <f t="shared" ref="V106" si="345">V107*V91</f>
        <v>790.37583018307419</v>
      </c>
      <c r="W106" s="170">
        <f>SUM(S106:V106)</f>
        <v>2980.6567449059457</v>
      </c>
      <c r="X106" s="169">
        <f>X107*X91</f>
        <v>866.00076263287781</v>
      </c>
      <c r="Y106" s="169">
        <f>Y107*Y91</f>
        <v>809.87358363224598</v>
      </c>
      <c r="Z106" s="169">
        <f t="shared" ref="Z106" si="346">Z107*Z91</f>
        <v>831.17840386802538</v>
      </c>
      <c r="AA106" s="169">
        <f t="shared" ref="AA106" si="347">AA107*AA91</f>
        <v>893.53077367143146</v>
      </c>
      <c r="AB106" s="170">
        <f>SUM(X106:AA106)</f>
        <v>3400.5835238045802</v>
      </c>
      <c r="AC106" s="169">
        <f>AC107*AC91</f>
        <v>950.28568101657368</v>
      </c>
      <c r="AD106" s="169">
        <f>AD107*AD91</f>
        <v>897.07011891398054</v>
      </c>
      <c r="AE106" s="169">
        <f t="shared" ref="AE106" si="348">AE107*AE91</f>
        <v>929.96396798977287</v>
      </c>
      <c r="AF106" s="169">
        <f t="shared" ref="AF106" si="349">AF107*AF91</f>
        <v>1010.1516146596393</v>
      </c>
      <c r="AG106" s="170">
        <f>SUM(AC106:AF106)</f>
        <v>3787.4713825799663</v>
      </c>
      <c r="AH106" s="169">
        <f>AH107*AH91</f>
        <v>1063.9026265328614</v>
      </c>
      <c r="AI106" s="169">
        <f>AI107*AI91</f>
        <v>1003.3748861388178</v>
      </c>
      <c r="AJ106" s="169">
        <f t="shared" ref="AJ106" si="350">AJ107*AJ91</f>
        <v>1040.2946814437648</v>
      </c>
      <c r="AK106" s="169">
        <f t="shared" ref="AK106" si="351">AK107*AK91</f>
        <v>1130.6808944620411</v>
      </c>
      <c r="AL106" s="170">
        <f>SUM(AH106:AK106)</f>
        <v>4238.253088577485</v>
      </c>
      <c r="AM106" s="169">
        <f>AM107*AM91</f>
        <v>1189.569513987246</v>
      </c>
      <c r="AN106" s="169">
        <f>AN107*AN91</f>
        <v>1119.5469471475208</v>
      </c>
      <c r="AO106" s="169">
        <f t="shared" ref="AO106:AP106" si="352">AO107*AO91</f>
        <v>1159.4589358800479</v>
      </c>
      <c r="AP106" s="169">
        <f t="shared" si="352"/>
        <v>1259.3774982248378</v>
      </c>
      <c r="AQ106" s="170">
        <f>SUM(AM106:AP106)</f>
        <v>4727.9528952396522</v>
      </c>
    </row>
    <row r="107" spans="1:43" s="473" customFormat="1" outlineLevel="1" x14ac:dyDescent="0.25">
      <c r="A107" s="471"/>
      <c r="B107" s="467" t="s">
        <v>340</v>
      </c>
      <c r="C107" s="478"/>
      <c r="D107" s="475">
        <f>D106/D91</f>
        <v>0.47234175729598632</v>
      </c>
      <c r="E107" s="475">
        <f t="shared" ref="E107" si="353">E106/E91</f>
        <v>0.4722773789521918</v>
      </c>
      <c r="F107" s="475">
        <f t="shared" ref="F107" si="354">F106/F91</f>
        <v>0.45032525133057366</v>
      </c>
      <c r="G107" s="475">
        <f t="shared" ref="G107" si="355">G106/G91</f>
        <v>0.45390987157078799</v>
      </c>
      <c r="H107" s="476">
        <f>H106/H91</f>
        <v>0.46204482325634483</v>
      </c>
      <c r="I107" s="475">
        <f t="shared" ref="I107" si="356">I106/I91</f>
        <v>0.46354126899289916</v>
      </c>
      <c r="J107" s="475">
        <f t="shared" ref="J107" si="357">J106/J91</f>
        <v>0.62367021276595747</v>
      </c>
      <c r="K107" s="475">
        <f t="shared" ref="K107" si="358">K106/K91</f>
        <v>0.5521416333523701</v>
      </c>
      <c r="L107" s="475">
        <f t="shared" ref="L107" si="359">L106/L91</f>
        <v>0.47970422860663942</v>
      </c>
      <c r="M107" s="476">
        <f>M106/M91</f>
        <v>0.51895848058551275</v>
      </c>
      <c r="N107" s="475">
        <f>N106/N91</f>
        <v>0.43594367760282998</v>
      </c>
      <c r="O107" s="475">
        <f t="shared" ref="O107:P107" si="360">O106/O91</f>
        <v>0.44789485087022463</v>
      </c>
      <c r="P107" s="475">
        <f t="shared" si="360"/>
        <v>0.4326379683248448</v>
      </c>
      <c r="Q107" s="477">
        <f>AVERAGE(N107:P107)</f>
        <v>0.43882549893263317</v>
      </c>
      <c r="R107" s="476">
        <f>R106/R91</f>
        <v>0.43874680625135809</v>
      </c>
      <c r="S107" s="477">
        <f>Q107+0.25%</f>
        <v>0.44132549893263318</v>
      </c>
      <c r="T107" s="477">
        <f>S107</f>
        <v>0.44132549893263318</v>
      </c>
      <c r="U107" s="477">
        <f>T107</f>
        <v>0.44132549893263318</v>
      </c>
      <c r="V107" s="477">
        <f>U107-0.5%</f>
        <v>0.43632549893263317</v>
      </c>
      <c r="W107" s="476">
        <f>W106/W91</f>
        <v>0.43998852651450671</v>
      </c>
      <c r="X107" s="477">
        <f>V107+0.25%</f>
        <v>0.43882549893263317</v>
      </c>
      <c r="Y107" s="477">
        <f>X107</f>
        <v>0.43882549893263317</v>
      </c>
      <c r="Z107" s="477">
        <f>Y107</f>
        <v>0.43882549893263317</v>
      </c>
      <c r="AA107" s="477">
        <f>Z107</f>
        <v>0.43882549893263317</v>
      </c>
      <c r="AB107" s="476">
        <f>AB106/AB91</f>
        <v>0.43882549893263312</v>
      </c>
      <c r="AC107" s="477">
        <f>AA107+0.25%</f>
        <v>0.44132549893263318</v>
      </c>
      <c r="AD107" s="477">
        <f>AC107</f>
        <v>0.44132549893263318</v>
      </c>
      <c r="AE107" s="477">
        <f>AD107</f>
        <v>0.44132549893263318</v>
      </c>
      <c r="AF107" s="477">
        <f>AE107</f>
        <v>0.44132549893263318</v>
      </c>
      <c r="AG107" s="476">
        <f>AG106/AG91</f>
        <v>0.44132549893263312</v>
      </c>
      <c r="AH107" s="477">
        <f>AF107</f>
        <v>0.44132549893263318</v>
      </c>
      <c r="AI107" s="477">
        <f>AH107</f>
        <v>0.44132549893263318</v>
      </c>
      <c r="AJ107" s="477">
        <f>AI107</f>
        <v>0.44132549893263318</v>
      </c>
      <c r="AK107" s="477">
        <f>AJ107</f>
        <v>0.44132549893263318</v>
      </c>
      <c r="AL107" s="476">
        <f>AL106/AL91</f>
        <v>0.44132549893263312</v>
      </c>
      <c r="AM107" s="477">
        <f>AK107</f>
        <v>0.44132549893263318</v>
      </c>
      <c r="AN107" s="477">
        <f>AM107</f>
        <v>0.44132549893263318</v>
      </c>
      <c r="AO107" s="477">
        <f>AN107</f>
        <v>0.44132549893263318</v>
      </c>
      <c r="AP107" s="477">
        <f>AO107</f>
        <v>0.44132549893263318</v>
      </c>
      <c r="AQ107" s="476">
        <f>AQ106/AQ91</f>
        <v>0.44132549893263312</v>
      </c>
    </row>
    <row r="108" spans="1:43" outlineLevel="1" x14ac:dyDescent="0.25">
      <c r="A108" s="254"/>
      <c r="B108" s="408" t="s">
        <v>142</v>
      </c>
      <c r="C108" s="36"/>
      <c r="D108" s="261">
        <v>31.3</v>
      </c>
      <c r="E108" s="261">
        <v>26.3</v>
      </c>
      <c r="F108" s="261">
        <v>26.7</v>
      </c>
      <c r="G108" s="261">
        <v>31.9</v>
      </c>
      <c r="H108" s="170">
        <f>SUM(D108:G108)</f>
        <v>116.19999999999999</v>
      </c>
      <c r="I108" s="261">
        <v>35.9</v>
      </c>
      <c r="J108" s="261">
        <v>31.8</v>
      </c>
      <c r="K108" s="261">
        <v>37.5</v>
      </c>
      <c r="L108" s="169">
        <v>36.200000000000003</v>
      </c>
      <c r="M108" s="170">
        <f>SUM(I108:L108)</f>
        <v>141.4</v>
      </c>
      <c r="N108" s="169">
        <v>34.299999999999997</v>
      </c>
      <c r="O108" s="169">
        <v>29.3</v>
      </c>
      <c r="P108" s="169">
        <v>38.299999999999997</v>
      </c>
      <c r="Q108" s="169">
        <f t="shared" ref="Q108" si="361">Q109*Q103</f>
        <v>41.016602674325377</v>
      </c>
      <c r="R108" s="170">
        <f>SUM(N108:Q108)</f>
        <v>142.91660267432536</v>
      </c>
      <c r="S108" s="169">
        <f>S109*S103</f>
        <v>41.604450196591728</v>
      </c>
      <c r="T108" s="169">
        <f>T109*T103</f>
        <v>39.352242342413966</v>
      </c>
      <c r="U108" s="169">
        <f t="shared" ref="U108" si="362">U109*U103</f>
        <v>40.343872645296877</v>
      </c>
      <c r="V108" s="169">
        <f t="shared" ref="V108" si="363">V109*V103</f>
        <v>45.041173616425297</v>
      </c>
      <c r="W108" s="170">
        <f>SUM(S108:V108)</f>
        <v>166.34173880072785</v>
      </c>
      <c r="X108" s="169">
        <f>X109*X103</f>
        <v>47.771354067427865</v>
      </c>
      <c r="Y108" s="169">
        <f>Y109*Y103</f>
        <v>45.110720759518045</v>
      </c>
      <c r="Z108" s="169">
        <f t="shared" ref="Z108" si="364">Z109*Z103</f>
        <v>45.691041706193836</v>
      </c>
      <c r="AA108" s="169">
        <f t="shared" ref="AA108" si="365">AA109*AA103</f>
        <v>50.527943236089335</v>
      </c>
      <c r="AB108" s="170">
        <f>SUM(X108:AA108)</f>
        <v>189.10105976922907</v>
      </c>
      <c r="AC108" s="169">
        <f>AC109*AC103</f>
        <v>52.356797256293696</v>
      </c>
      <c r="AD108" s="169">
        <f>AD109*AD103</f>
        <v>49.898341641841121</v>
      </c>
      <c r="AE108" s="169">
        <f t="shared" ref="AE108" si="366">AE109*AE103</f>
        <v>50.889924053831642</v>
      </c>
      <c r="AF108" s="169">
        <f t="shared" ref="AF108" si="367">AF109*AF103</f>
        <v>56.731519346021315</v>
      </c>
      <c r="AG108" s="170">
        <f>SUM(AC108:AF108)</f>
        <v>209.87658229798777</v>
      </c>
      <c r="AH108" s="169">
        <f>AH109*AH103</f>
        <v>58.648691627517863</v>
      </c>
      <c r="AI108" s="169">
        <f>AI109*AI103</f>
        <v>55.909292203783004</v>
      </c>
      <c r="AJ108" s="169">
        <f t="shared" ref="AJ108" si="368">AJ109*AJ103</f>
        <v>56.920210864260952</v>
      </c>
      <c r="AK108" s="169">
        <f t="shared" ref="AK108" si="369">AK109*AK103</f>
        <v>63.415836714403454</v>
      </c>
      <c r="AL108" s="170">
        <f>SUM(AH108:AK108)</f>
        <v>234.89403140996529</v>
      </c>
      <c r="AM108" s="169">
        <f>AM109*AM103</f>
        <v>65.582312224935436</v>
      </c>
      <c r="AN108" s="169">
        <f>AN109*AN103</f>
        <v>62.488563214850323</v>
      </c>
      <c r="AO108" s="169">
        <f t="shared" ref="AO108:AP108" si="370">AO109*AO103</f>
        <v>63.427365721638161</v>
      </c>
      <c r="AP108" s="169">
        <f t="shared" si="370"/>
        <v>70.541305126220863</v>
      </c>
      <c r="AQ108" s="170">
        <f>SUM(AM108:AP108)</f>
        <v>262.03954628764478</v>
      </c>
    </row>
    <row r="109" spans="1:43" s="473" customFormat="1" outlineLevel="1" x14ac:dyDescent="0.25">
      <c r="A109" s="471"/>
      <c r="B109" s="467" t="s">
        <v>342</v>
      </c>
      <c r="C109" s="478"/>
      <c r="D109" s="475">
        <f>D108/D103</f>
        <v>2.0811170212765958E-2</v>
      </c>
      <c r="E109" s="475">
        <f t="shared" ref="E109" si="371">E108/E103</f>
        <v>1.7196286125277887E-2</v>
      </c>
      <c r="F109" s="475">
        <f t="shared" ref="F109" si="372">F108/F103</f>
        <v>1.6842238062196431E-2</v>
      </c>
      <c r="G109" s="475">
        <f t="shared" ref="G109:H109" si="373">G108/G103</f>
        <v>2.0291330068061827E-2</v>
      </c>
      <c r="H109" s="476">
        <f t="shared" si="373"/>
        <v>1.8769787426503842E-2</v>
      </c>
      <c r="I109" s="475">
        <f t="shared" ref="I109" si="374">I108/I103</f>
        <v>2.2850232321303544E-2</v>
      </c>
      <c r="J109" s="475">
        <f t="shared" ref="J109" si="375">J108/J103</f>
        <v>2.8027498677948178E-2</v>
      </c>
      <c r="K109" s="475">
        <f t="shared" ref="K109" si="376">K108/K103</f>
        <v>3.9490311710193765E-2</v>
      </c>
      <c r="L109" s="475">
        <f t="shared" ref="L109:M109" si="377">L108/L103</f>
        <v>2.4257856999262885E-2</v>
      </c>
      <c r="M109" s="476">
        <f t="shared" si="377"/>
        <v>2.7469111819100167E-2</v>
      </c>
      <c r="N109" s="475">
        <f t="shared" ref="N109:P109" si="378">N108/N103</f>
        <v>2.0733845130871061E-2</v>
      </c>
      <c r="O109" s="475">
        <f t="shared" si="378"/>
        <v>1.8188590229064498E-2</v>
      </c>
      <c r="P109" s="475">
        <f t="shared" si="378"/>
        <v>2.3094548962855763E-2</v>
      </c>
      <c r="Q109" s="477">
        <f>AVERAGE(N109:P109)</f>
        <v>2.0672328107597105E-2</v>
      </c>
      <c r="R109" s="476">
        <f t="shared" ref="R109" si="379">R108/R103</f>
        <v>2.0689370655002957E-2</v>
      </c>
      <c r="S109" s="477">
        <f>Q109</f>
        <v>2.0672328107597105E-2</v>
      </c>
      <c r="T109" s="477">
        <f>S109</f>
        <v>2.0672328107597105E-2</v>
      </c>
      <c r="U109" s="477">
        <f>T109</f>
        <v>2.0672328107597105E-2</v>
      </c>
      <c r="V109" s="477">
        <f>U109</f>
        <v>2.0672328107597105E-2</v>
      </c>
      <c r="W109" s="476">
        <f t="shared" ref="W109" si="380">W108/W103</f>
        <v>2.0672328107597105E-2</v>
      </c>
      <c r="X109" s="477">
        <f>V109</f>
        <v>2.0672328107597105E-2</v>
      </c>
      <c r="Y109" s="477">
        <f>X109</f>
        <v>2.0672328107597105E-2</v>
      </c>
      <c r="Z109" s="477">
        <f>Y109</f>
        <v>2.0672328107597105E-2</v>
      </c>
      <c r="AA109" s="477">
        <f>Z109</f>
        <v>2.0672328107597105E-2</v>
      </c>
      <c r="AB109" s="476">
        <f t="shared" ref="AB109" si="381">AB108/AB103</f>
        <v>2.0672328107597102E-2</v>
      </c>
      <c r="AC109" s="477">
        <f>AA109</f>
        <v>2.0672328107597105E-2</v>
      </c>
      <c r="AD109" s="477">
        <f>AC109</f>
        <v>2.0672328107597105E-2</v>
      </c>
      <c r="AE109" s="477">
        <f>AD109</f>
        <v>2.0672328107597105E-2</v>
      </c>
      <c r="AF109" s="477">
        <f>AE109</f>
        <v>2.0672328107597105E-2</v>
      </c>
      <c r="AG109" s="476">
        <f t="shared" ref="AG109" si="382">AG108/AG103</f>
        <v>2.0672328107597102E-2</v>
      </c>
      <c r="AH109" s="477">
        <f>AF109</f>
        <v>2.0672328107597105E-2</v>
      </c>
      <c r="AI109" s="477">
        <f>AH109</f>
        <v>2.0672328107597105E-2</v>
      </c>
      <c r="AJ109" s="477">
        <f>AI109</f>
        <v>2.0672328107597105E-2</v>
      </c>
      <c r="AK109" s="477">
        <f>AJ109</f>
        <v>2.0672328107597105E-2</v>
      </c>
      <c r="AL109" s="476">
        <f t="shared" ref="AL109" si="383">AL108/AL103</f>
        <v>2.0672328107597109E-2</v>
      </c>
      <c r="AM109" s="477">
        <f>AK109</f>
        <v>2.0672328107597105E-2</v>
      </c>
      <c r="AN109" s="477">
        <f>AM109</f>
        <v>2.0672328107597105E-2</v>
      </c>
      <c r="AO109" s="477">
        <f>AN109</f>
        <v>2.0672328107597105E-2</v>
      </c>
      <c r="AP109" s="477">
        <f>AO109</f>
        <v>2.0672328107597105E-2</v>
      </c>
      <c r="AQ109" s="476">
        <f t="shared" ref="AQ109" si="384">AQ108/AQ103</f>
        <v>2.0672328107597105E-2</v>
      </c>
    </row>
    <row r="110" spans="1:43" outlineLevel="1" x14ac:dyDescent="0.25">
      <c r="A110" s="254"/>
      <c r="B110" s="408" t="s">
        <v>143</v>
      </c>
      <c r="C110" s="36"/>
      <c r="D110" s="287">
        <v>127</v>
      </c>
      <c r="E110" s="287">
        <v>130.4</v>
      </c>
      <c r="F110" s="287">
        <v>127.7</v>
      </c>
      <c r="G110" s="287">
        <v>126.5</v>
      </c>
      <c r="H110" s="59">
        <f>SUM(D110:G110)</f>
        <v>511.59999999999997</v>
      </c>
      <c r="I110" s="287">
        <v>126.6</v>
      </c>
      <c r="J110" s="287">
        <v>130</v>
      </c>
      <c r="K110" s="287">
        <v>128.5</v>
      </c>
      <c r="L110" s="205">
        <v>133.1</v>
      </c>
      <c r="M110" s="59">
        <f>SUM(I110:L110)</f>
        <v>518.20000000000005</v>
      </c>
      <c r="N110" s="205">
        <v>140</v>
      </c>
      <c r="O110" s="205">
        <v>143.4</v>
      </c>
      <c r="P110" s="205">
        <v>129.69999999999999</v>
      </c>
      <c r="Q110" s="205">
        <f>(P110/(P75+P110+P125+P138))*Q245</f>
        <v>138.70448640860403</v>
      </c>
      <c r="R110" s="59">
        <f>SUM(N110:Q110)</f>
        <v>551.80448640860402</v>
      </c>
      <c r="S110" s="205">
        <f>(Q110/(Q75+Q110+Q125+Q138))*S245</f>
        <v>146.92173236005931</v>
      </c>
      <c r="T110" s="205">
        <f>(S110/(S75+S110+S125+S138))*T245</f>
        <v>148.43730347100524</v>
      </c>
      <c r="U110" s="205">
        <f>(T110/(T75+T110+T125+T138))*U245</f>
        <v>149.37456298148402</v>
      </c>
      <c r="V110" s="205">
        <f>(U110/(U75+U110+U125+U138))*V245</f>
        <v>152.27234547020947</v>
      </c>
      <c r="W110" s="59">
        <f>SUM(S110:V110)</f>
        <v>597.00594428275804</v>
      </c>
      <c r="X110" s="205">
        <f>(V110/(V75+V110+V125+V138))*X245</f>
        <v>154.37740771109856</v>
      </c>
      <c r="Y110" s="205">
        <f>(X110/(X75+X110+X125+X138))*Y245</f>
        <v>155.63319649178175</v>
      </c>
      <c r="Z110" s="205">
        <f>(Y110/(Y75+Y110+Y125+Y138))*Z245</f>
        <v>156.65778774990312</v>
      </c>
      <c r="AA110" s="205">
        <f>(Z110/(Z75+Z110+Z125+Z138))*AA245</f>
        <v>158.82318968209989</v>
      </c>
      <c r="AB110" s="59">
        <f>SUM(X110:AA110)</f>
        <v>625.49158163488323</v>
      </c>
      <c r="AC110" s="205">
        <f>(AA110/(AA75+AA110+AA125+AA138))*AC245</f>
        <v>160.41146917426698</v>
      </c>
      <c r="AD110" s="205">
        <f>(AC110/(AC75+AC110+AC125+AC138))*AD245</f>
        <v>161.18972537099143</v>
      </c>
      <c r="AE110" s="205">
        <f>(AD110/(AD75+AD110+AD125+AD138))*AE245</f>
        <v>161.75702951549272</v>
      </c>
      <c r="AF110" s="205">
        <f>(AE110/(AE75+AE110+AE125+AE138))*AF245</f>
        <v>163.39255348763277</v>
      </c>
      <c r="AG110" s="59">
        <f>SUM(AC110:AF110)</f>
        <v>646.75077754838389</v>
      </c>
      <c r="AH110" s="205">
        <f>(AF110/(AF75+AF110+AF125+AF138))*AH245</f>
        <v>165.20732023999904</v>
      </c>
      <c r="AI110" s="205">
        <f>(AH110/(AH75+AH110+AH125+AH138))*AI245</f>
        <v>166.60931638937984</v>
      </c>
      <c r="AJ110" s="205">
        <f>(AI110/(AI75+AI110+AI125+AI138))*AJ245</f>
        <v>167.73065276404225</v>
      </c>
      <c r="AK110" s="205">
        <f>(AJ110/(AJ75+AJ110+AJ125+AJ138))*AK245</f>
        <v>169.96233715963515</v>
      </c>
      <c r="AL110" s="59">
        <f>SUM(AH110:AK110)</f>
        <v>669.50962655305625</v>
      </c>
      <c r="AM110" s="205">
        <f>(AK110/(AK75+AK110+AK125+AK138))*AM245</f>
        <v>172.24986424761272</v>
      </c>
      <c r="AN110" s="205">
        <f>(AM110/(AM75+AM110+AM125+AM138))*AN245</f>
        <v>174.171378087915</v>
      </c>
      <c r="AO110" s="205">
        <f>(AN110/(AN75+AN110+AN125+AN138))*AO245</f>
        <v>175.7469219877965</v>
      </c>
      <c r="AP110" s="205">
        <f>(AO110/(AO75+AO110+AO125+AO138))*AP245</f>
        <v>178.46739507371367</v>
      </c>
      <c r="AQ110" s="59">
        <f>SUM(AM110:AP110)</f>
        <v>700.63555939703781</v>
      </c>
    </row>
    <row r="111" spans="1:43" outlineLevel="1" x14ac:dyDescent="0.25">
      <c r="A111" s="254"/>
      <c r="B111" s="408" t="s">
        <v>144</v>
      </c>
      <c r="C111" s="36"/>
      <c r="D111" s="261">
        <v>69.3</v>
      </c>
      <c r="E111" s="261">
        <v>80.2</v>
      </c>
      <c r="F111" s="261">
        <v>86</v>
      </c>
      <c r="G111" s="261">
        <v>82.4</v>
      </c>
      <c r="H111" s="170">
        <f>SUM(D111:G111)</f>
        <v>317.89999999999998</v>
      </c>
      <c r="I111" s="261">
        <v>67.2</v>
      </c>
      <c r="J111" s="261">
        <v>63.7</v>
      </c>
      <c r="K111" s="261">
        <v>66.099999999999994</v>
      </c>
      <c r="L111" s="169">
        <v>82.5</v>
      </c>
      <c r="M111" s="170">
        <f>SUM(I111:L111)</f>
        <v>279.5</v>
      </c>
      <c r="N111" s="169">
        <v>82.6</v>
      </c>
      <c r="O111" s="169">
        <v>79.8</v>
      </c>
      <c r="P111" s="169">
        <v>92.3</v>
      </c>
      <c r="Q111" s="169">
        <f t="shared" ref="Q111" si="385">Q112*Q103</f>
        <v>102.59547704096693</v>
      </c>
      <c r="R111" s="170">
        <f>SUM(N111:Q111)</f>
        <v>357.29547704096694</v>
      </c>
      <c r="S111" s="169">
        <f>S112*S103</f>
        <v>104.06586934656903</v>
      </c>
      <c r="T111" s="169">
        <f>T112*T103</f>
        <v>98.432386217079682</v>
      </c>
      <c r="U111" s="169">
        <f t="shared" ref="U111" si="386">U112*U103</f>
        <v>100.91276677858906</v>
      </c>
      <c r="V111" s="169">
        <f t="shared" ref="V111" si="387">V112*V103</f>
        <v>112.66219999626459</v>
      </c>
      <c r="W111" s="170">
        <f>SUM(S111:V111)</f>
        <v>416.07322233850232</v>
      </c>
      <c r="X111" s="169">
        <f>X112*X103</f>
        <v>119.49124354242508</v>
      </c>
      <c r="Y111" s="169">
        <f>Y112*Y103</f>
        <v>112.83615936533012</v>
      </c>
      <c r="Z111" s="169">
        <f t="shared" ref="Z111" si="388">Z112*Z103</f>
        <v>114.2877253283575</v>
      </c>
      <c r="AA111" s="169">
        <f t="shared" ref="AA111" si="389">AA112*AA103</f>
        <v>126.38634363178024</v>
      </c>
      <c r="AB111" s="170">
        <f>SUM(X111:AA111)</f>
        <v>473.00147186789292</v>
      </c>
      <c r="AC111" s="169">
        <f>AC112*AC103</f>
        <v>130.96088512003973</v>
      </c>
      <c r="AD111" s="169">
        <f>AD112*AD103</f>
        <v>124.81151120549346</v>
      </c>
      <c r="AE111" s="169">
        <f t="shared" ref="AE111" si="390">AE112*AE103</f>
        <v>127.29177197675619</v>
      </c>
      <c r="AF111" s="169">
        <f t="shared" ref="AF111" si="391">AF112*AF103</f>
        <v>141.90344667934232</v>
      </c>
      <c r="AG111" s="170">
        <f>SUM(AC111:AF111)</f>
        <v>524.96761498163164</v>
      </c>
      <c r="AH111" s="169">
        <f>AH112*AH103</f>
        <v>146.6989000315279</v>
      </c>
      <c r="AI111" s="169">
        <f>AI112*AI103</f>
        <v>139.84679692305292</v>
      </c>
      <c r="AJ111" s="169">
        <f t="shared" ref="AJ111" si="392">AJ112*AJ103</f>
        <v>142.37542375850441</v>
      </c>
      <c r="AK111" s="169">
        <f t="shared" ref="AK111" si="393">AK112*AK103</f>
        <v>158.62303544069175</v>
      </c>
      <c r="AL111" s="170">
        <f>SUM(AH111:AK111)</f>
        <v>587.54415615377695</v>
      </c>
      <c r="AM111" s="169">
        <f>AM112*AM103</f>
        <v>164.04207490296622</v>
      </c>
      <c r="AN111" s="169">
        <f>AN112*AN103</f>
        <v>156.30363156930164</v>
      </c>
      <c r="AO111" s="169">
        <f t="shared" ref="AO111:AP111" si="394">AO112*AO103</f>
        <v>158.65187312884564</v>
      </c>
      <c r="AP111" s="169">
        <f t="shared" si="394"/>
        <v>176.44608228480178</v>
      </c>
      <c r="AQ111" s="170">
        <f>SUM(AM111:AP111)</f>
        <v>655.44366188591528</v>
      </c>
    </row>
    <row r="112" spans="1:43" s="473" customFormat="1" outlineLevel="1" x14ac:dyDescent="0.25">
      <c r="A112" s="471"/>
      <c r="B112" s="467" t="s">
        <v>343</v>
      </c>
      <c r="C112" s="478"/>
      <c r="D112" s="475">
        <f>D111/D103</f>
        <v>4.6077127659574467E-2</v>
      </c>
      <c r="E112" s="475">
        <f t="shared" ref="E112" si="395">E111/E103</f>
        <v>5.2438864914345497E-2</v>
      </c>
      <c r="F112" s="475">
        <f t="shared" ref="F112" si="396">F111/F103</f>
        <v>5.4248407241531571E-2</v>
      </c>
      <c r="G112" s="475">
        <f t="shared" ref="G112:H112" si="397">G111/G103</f>
        <v>5.2413968577062528E-2</v>
      </c>
      <c r="H112" s="476">
        <f t="shared" si="397"/>
        <v>5.1350390902629703E-2</v>
      </c>
      <c r="I112" s="475">
        <f t="shared" ref="I112" si="398">I111/I103</f>
        <v>4.277257972121444E-2</v>
      </c>
      <c r="J112" s="475">
        <f t="shared" ref="J112" si="399">J111/J103</f>
        <v>5.6143134144191795E-2</v>
      </c>
      <c r="K112" s="475">
        <f t="shared" ref="K112" si="400">K111/K103</f>
        <v>6.9608256107834873E-2</v>
      </c>
      <c r="L112" s="475">
        <f t="shared" ref="L112:M112" si="401">L111/L103</f>
        <v>5.5283790122629503E-2</v>
      </c>
      <c r="M112" s="476">
        <f t="shared" si="401"/>
        <v>5.4297148185562208E-2</v>
      </c>
      <c r="N112" s="475">
        <f t="shared" ref="N112:P112" si="402">N111/N103</f>
        <v>4.9930484192709908E-2</v>
      </c>
      <c r="O112" s="475">
        <f t="shared" si="402"/>
        <v>4.9537525606803648E-2</v>
      </c>
      <c r="P112" s="475">
        <f t="shared" si="402"/>
        <v>5.5656054027978775E-2</v>
      </c>
      <c r="Q112" s="477">
        <f>AVERAGE(N112:P112)</f>
        <v>5.1708021275830775E-2</v>
      </c>
      <c r="R112" s="476">
        <f t="shared" ref="R112" si="403">R111/R103</f>
        <v>5.1724001407323264E-2</v>
      </c>
      <c r="S112" s="477">
        <f>Q112</f>
        <v>5.1708021275830775E-2</v>
      </c>
      <c r="T112" s="477">
        <f>S112</f>
        <v>5.1708021275830775E-2</v>
      </c>
      <c r="U112" s="477">
        <f>T112</f>
        <v>5.1708021275830775E-2</v>
      </c>
      <c r="V112" s="477">
        <f>U112</f>
        <v>5.1708021275830775E-2</v>
      </c>
      <c r="W112" s="476">
        <f t="shared" ref="W112" si="404">W111/W103</f>
        <v>5.1708021275830768E-2</v>
      </c>
      <c r="X112" s="477">
        <f>V112</f>
        <v>5.1708021275830775E-2</v>
      </c>
      <c r="Y112" s="477">
        <f>X112</f>
        <v>5.1708021275830775E-2</v>
      </c>
      <c r="Z112" s="477">
        <f>Y112</f>
        <v>5.1708021275830775E-2</v>
      </c>
      <c r="AA112" s="477">
        <f>Z112</f>
        <v>5.1708021275830775E-2</v>
      </c>
      <c r="AB112" s="476">
        <f t="shared" ref="AB112" si="405">AB111/AB103</f>
        <v>5.1708021275830768E-2</v>
      </c>
      <c r="AC112" s="477">
        <f>AA112</f>
        <v>5.1708021275830775E-2</v>
      </c>
      <c r="AD112" s="477">
        <f>AC112</f>
        <v>5.1708021275830775E-2</v>
      </c>
      <c r="AE112" s="477">
        <f>AD112</f>
        <v>5.1708021275830775E-2</v>
      </c>
      <c r="AF112" s="477">
        <f>AE112</f>
        <v>5.1708021275830775E-2</v>
      </c>
      <c r="AG112" s="476">
        <f t="shared" ref="AG112" si="406">AG111/AG103</f>
        <v>5.1708021275830761E-2</v>
      </c>
      <c r="AH112" s="477">
        <f>AF112</f>
        <v>5.1708021275830775E-2</v>
      </c>
      <c r="AI112" s="477">
        <f>AH112</f>
        <v>5.1708021275830775E-2</v>
      </c>
      <c r="AJ112" s="477">
        <f>AI112</f>
        <v>5.1708021275830775E-2</v>
      </c>
      <c r="AK112" s="477">
        <f>AJ112</f>
        <v>5.1708021275830775E-2</v>
      </c>
      <c r="AL112" s="476">
        <f t="shared" ref="AL112" si="407">AL111/AL103</f>
        <v>5.1708021275830775E-2</v>
      </c>
      <c r="AM112" s="477">
        <f>AK112</f>
        <v>5.1708021275830775E-2</v>
      </c>
      <c r="AN112" s="477">
        <f>AM112</f>
        <v>5.1708021275830775E-2</v>
      </c>
      <c r="AO112" s="477">
        <f>AN112</f>
        <v>5.1708021275830775E-2</v>
      </c>
      <c r="AP112" s="477">
        <f>AO112</f>
        <v>5.1708021275830775E-2</v>
      </c>
      <c r="AQ112" s="476">
        <f t="shared" ref="AQ112" si="408">AQ111/AQ103</f>
        <v>5.1708021275830775E-2</v>
      </c>
    </row>
    <row r="113" spans="1:43" ht="17.25" outlineLevel="1" x14ac:dyDescent="0.4">
      <c r="A113" s="254"/>
      <c r="B113" s="408" t="s">
        <v>152</v>
      </c>
      <c r="C113" s="36"/>
      <c r="D113" s="288">
        <v>6.4</v>
      </c>
      <c r="E113" s="288">
        <v>24.2</v>
      </c>
      <c r="F113" s="288">
        <v>16.600000000000001</v>
      </c>
      <c r="G113" s="288">
        <v>12</v>
      </c>
      <c r="H113" s="210">
        <f>SUM(D113:G113)</f>
        <v>59.2</v>
      </c>
      <c r="I113" s="288">
        <v>0.8</v>
      </c>
      <c r="J113" s="288">
        <v>-1.2</v>
      </c>
      <c r="K113" s="288">
        <v>-0.2</v>
      </c>
      <c r="L113" s="206">
        <v>-0.6</v>
      </c>
      <c r="M113" s="210">
        <f>SUM(I113:L113)</f>
        <v>-1.1999999999999997</v>
      </c>
      <c r="N113" s="206">
        <v>0</v>
      </c>
      <c r="O113" s="288">
        <v>0</v>
      </c>
      <c r="P113" s="288">
        <v>0</v>
      </c>
      <c r="Q113" s="292">
        <v>0</v>
      </c>
      <c r="R113" s="210">
        <f>SUM(N113:Q113)</f>
        <v>0</v>
      </c>
      <c r="S113" s="292">
        <v>0</v>
      </c>
      <c r="T113" s="292">
        <v>0</v>
      </c>
      <c r="U113" s="292">
        <v>0</v>
      </c>
      <c r="V113" s="292">
        <v>0</v>
      </c>
      <c r="W113" s="210">
        <f>SUM(S113:V113)</f>
        <v>0</v>
      </c>
      <c r="X113" s="292">
        <v>0</v>
      </c>
      <c r="Y113" s="292">
        <v>0</v>
      </c>
      <c r="Z113" s="292">
        <v>0</v>
      </c>
      <c r="AA113" s="292">
        <v>0</v>
      </c>
      <c r="AB113" s="210">
        <f>SUM(X113:AA113)</f>
        <v>0</v>
      </c>
      <c r="AC113" s="292">
        <v>0</v>
      </c>
      <c r="AD113" s="292">
        <v>0</v>
      </c>
      <c r="AE113" s="292">
        <v>0</v>
      </c>
      <c r="AF113" s="292">
        <v>0</v>
      </c>
      <c r="AG113" s="210">
        <f>SUM(AC113:AF113)</f>
        <v>0</v>
      </c>
      <c r="AH113" s="292">
        <v>0</v>
      </c>
      <c r="AI113" s="292">
        <v>0</v>
      </c>
      <c r="AJ113" s="292">
        <v>0</v>
      </c>
      <c r="AK113" s="292">
        <v>0</v>
      </c>
      <c r="AL113" s="210">
        <f>SUM(AH113:AK113)</f>
        <v>0</v>
      </c>
      <c r="AM113" s="292">
        <v>0</v>
      </c>
      <c r="AN113" s="292">
        <v>0</v>
      </c>
      <c r="AO113" s="292">
        <v>0</v>
      </c>
      <c r="AP113" s="292">
        <v>0</v>
      </c>
      <c r="AQ113" s="210">
        <f>SUM(AM113:AP113)</f>
        <v>0</v>
      </c>
    </row>
    <row r="114" spans="1:43" outlineLevel="1" x14ac:dyDescent="0.25">
      <c r="A114" s="254"/>
      <c r="B114" s="167" t="s">
        <v>299</v>
      </c>
      <c r="C114" s="39"/>
      <c r="D114" s="259">
        <f>D104+D106+D108+D110+D111+D113</f>
        <v>1300.4000000000001</v>
      </c>
      <c r="E114" s="259">
        <f t="shared" ref="E114:G114" si="409">E104+E106+E108+E110+E111+E113</f>
        <v>1349.7</v>
      </c>
      <c r="F114" s="259">
        <f t="shared" si="409"/>
        <v>1342.3000000000002</v>
      </c>
      <c r="G114" s="259">
        <f t="shared" si="409"/>
        <v>1336.2000000000003</v>
      </c>
      <c r="H114" s="451">
        <f>H104+H106+H108+H110+H111+H113</f>
        <v>5328.5999999999995</v>
      </c>
      <c r="I114" s="259">
        <f>I104+I106+I108+I110+I111+I113</f>
        <v>1326.1</v>
      </c>
      <c r="J114" s="259">
        <f t="shared" ref="J114" si="410">J104+J106+J108+J110+J111+J113</f>
        <v>1174.8</v>
      </c>
      <c r="K114" s="259">
        <f t="shared" ref="K114" si="411">K104+K106+K108+K110+K111+K113</f>
        <v>1052.9999999999998</v>
      </c>
      <c r="L114" s="259">
        <f t="shared" ref="L114" si="412">L104+L106+L108+L110+L111+L113</f>
        <v>1342</v>
      </c>
      <c r="M114" s="451">
        <f>M104+M106+M108+M110+M111+M113</f>
        <v>4895.9000000000005</v>
      </c>
      <c r="N114" s="259">
        <f>N104+N106+N108+N110+N111+N113</f>
        <v>1405.8</v>
      </c>
      <c r="O114" s="259">
        <f t="shared" ref="O114" si="413">O104+O106+O108+O110+O111+O113</f>
        <v>1386.2</v>
      </c>
      <c r="P114" s="259">
        <f t="shared" ref="P114" si="414">P104+P106+P108+P110+P111+P113</f>
        <v>1382.1</v>
      </c>
      <c r="Q114" s="259">
        <f t="shared" ref="Q114" si="415">Q104+Q106+Q108+Q110+Q111+Q113</f>
        <v>1624.9318425187193</v>
      </c>
      <c r="R114" s="451">
        <f>R104+R106+R108+R110+R111+R113</f>
        <v>5799.0318425187197</v>
      </c>
      <c r="S114" s="259">
        <f>S104+S106+S108+S110+S111+S113</f>
        <v>1675.7372256215879</v>
      </c>
      <c r="T114" s="259">
        <f t="shared" ref="T114" si="416">T104+T106+T108+T110+T111+T113</f>
        <v>1590.052476551434</v>
      </c>
      <c r="U114" s="259">
        <f t="shared" ref="U114" si="417">U104+U106+U108+U110+U111+U113</f>
        <v>1639.07880662917</v>
      </c>
      <c r="V114" s="259">
        <f t="shared" ref="V114" si="418">V104+V106+V108+V110+V111+V113</f>
        <v>1774.593438414139</v>
      </c>
      <c r="W114" s="451">
        <f>W104+W106+W108+W110+W111+W113</f>
        <v>6679.4619472163295</v>
      </c>
      <c r="X114" s="259">
        <f>X104+X106+X108+X110+X111+X113</f>
        <v>1908.5291848174918</v>
      </c>
      <c r="Y114" s="259">
        <f t="shared" ref="Y114" si="419">Y104+Y106+Y108+Y110+Y111+Y113</f>
        <v>1804.1920798885408</v>
      </c>
      <c r="Z114" s="259">
        <f t="shared" ref="Z114" si="420">Z104+Z106+Z108+Z110+Z111+Z113</f>
        <v>1837.3106483484098</v>
      </c>
      <c r="AA114" s="259">
        <f t="shared" ref="AA114" si="421">AA104+AA106+AA108+AA110+AA111+AA113</f>
        <v>1991.754675777365</v>
      </c>
      <c r="AB114" s="451">
        <f>AB104+AB106+AB108+AB110+AB111+AB113</f>
        <v>7541.7865888318065</v>
      </c>
      <c r="AC114" s="259">
        <f>AC104+AC106+AC108+AC110+AC111+AC113</f>
        <v>2090.4311295915395</v>
      </c>
      <c r="AD114" s="259">
        <f t="shared" ref="AD114" si="422">AD104+AD106+AD108+AD110+AD111+AD113</f>
        <v>1991.9896250228492</v>
      </c>
      <c r="AE114" s="259">
        <f t="shared" ref="AE114" si="423">AE104+AE106+AE108+AE110+AE111+AE113</f>
        <v>2044.0059044791433</v>
      </c>
      <c r="AF114" s="259">
        <f t="shared" ref="AF114" si="424">AF104+AF106+AF108+AF110+AF111+AF113</f>
        <v>2235.1407538636345</v>
      </c>
      <c r="AG114" s="451">
        <f>AG104+AG106+AG108+AG110+AG111+AG113</f>
        <v>8361.5674129571671</v>
      </c>
      <c r="AH114" s="259">
        <f>AH104+AH106+AH108+AH110+AH111+AH113</f>
        <v>2326.581890169195</v>
      </c>
      <c r="AI114" s="259">
        <f t="shared" ref="AI114" si="425">AI104+AI106+AI108+AI110+AI111+AI113</f>
        <v>2216.1947464648638</v>
      </c>
      <c r="AJ114" s="259">
        <f t="shared" ref="AJ114" si="426">AJ104+AJ106+AJ108+AJ110+AJ111+AJ113</f>
        <v>2273.1528366672073</v>
      </c>
      <c r="AK114" s="259">
        <f t="shared" ref="AK114" si="427">AK104+AK106+AK108+AK110+AK111+AK113</f>
        <v>2487.3210522127524</v>
      </c>
      <c r="AL114" s="451">
        <f>AL104+AL106+AL108+AL110+AL111+AL113</f>
        <v>9303.2505255140186</v>
      </c>
      <c r="AM114" s="259">
        <f>AM104+AM106+AM108+AM110+AM111+AM113</f>
        <v>2589.037678466379</v>
      </c>
      <c r="AN114" s="259">
        <f t="shared" ref="AN114:AP114" si="428">AN104+AN106+AN108+AN110+AN111+AN113</f>
        <v>2463.0444092169773</v>
      </c>
      <c r="AO114" s="259">
        <f t="shared" si="428"/>
        <v>2522.0994166386513</v>
      </c>
      <c r="AP114" s="259">
        <f t="shared" si="428"/>
        <v>2757.8590501065009</v>
      </c>
      <c r="AQ114" s="451">
        <f>AQ104+AQ106+AQ108+AQ110+AQ111+AQ113</f>
        <v>10332.040554428508</v>
      </c>
    </row>
    <row r="115" spans="1:43" ht="17.25" outlineLevel="1" x14ac:dyDescent="0.4">
      <c r="A115" s="254"/>
      <c r="B115" s="408" t="s">
        <v>145</v>
      </c>
      <c r="C115" s="36"/>
      <c r="D115" s="288">
        <v>26.4</v>
      </c>
      <c r="E115" s="260">
        <v>22.1</v>
      </c>
      <c r="F115" s="260">
        <v>27.2</v>
      </c>
      <c r="G115" s="260">
        <v>26.8</v>
      </c>
      <c r="H115" s="481">
        <f>SUM(D115:G115)</f>
        <v>102.5</v>
      </c>
      <c r="I115" s="260">
        <v>30.9</v>
      </c>
      <c r="J115" s="260">
        <v>24.8</v>
      </c>
      <c r="K115" s="260">
        <v>17.399999999999999</v>
      </c>
      <c r="L115" s="260">
        <v>29.2</v>
      </c>
      <c r="M115" s="481">
        <f>SUM(I115:L115)</f>
        <v>102.3</v>
      </c>
      <c r="N115" s="260">
        <v>26.3</v>
      </c>
      <c r="O115" s="260">
        <v>26.8</v>
      </c>
      <c r="P115" s="260">
        <v>42</v>
      </c>
      <c r="Q115" s="177">
        <f>AVERAGE(P115,O115,N115,L115)</f>
        <v>31.074999999999999</v>
      </c>
      <c r="R115" s="481">
        <f>SUM(N115:Q115)</f>
        <v>126.175</v>
      </c>
      <c r="S115" s="177">
        <f>AVERAGE(Q115,P115,O115,N115)</f>
        <v>31.543749999999999</v>
      </c>
      <c r="T115" s="177">
        <f>AVERAGE(S115,Q115,P115,O115)</f>
        <v>32.854687500000004</v>
      </c>
      <c r="U115" s="177">
        <f>AVERAGE(T115,S115,Q115,P115)</f>
        <v>34.368359374999997</v>
      </c>
      <c r="V115" s="177">
        <f>AVERAGE(U115,T115,S115,Q115)</f>
        <v>32.46044921875</v>
      </c>
      <c r="W115" s="481">
        <f>SUM(S115:V115)</f>
        <v>131.22724609375001</v>
      </c>
      <c r="X115" s="177">
        <f>AVERAGE(V115,U115,T115,S115)</f>
        <v>32.806811523437496</v>
      </c>
      <c r="Y115" s="177">
        <f>AVERAGE(X115,V115,U115,T115)</f>
        <v>33.122576904296871</v>
      </c>
      <c r="Z115" s="177">
        <f>AVERAGE(Y115,X115,V115,U115)</f>
        <v>33.189549255371091</v>
      </c>
      <c r="AA115" s="177">
        <f>AVERAGE(Z115,Y115,X115,V115)</f>
        <v>32.894846725463864</v>
      </c>
      <c r="AB115" s="481">
        <f>SUM(X115:AA115)</f>
        <v>132.01378440856934</v>
      </c>
      <c r="AC115" s="177">
        <f>AVERAGE(AA115,Z115,Y115,X115)</f>
        <v>33.003446102142327</v>
      </c>
      <c r="AD115" s="177">
        <f>AVERAGE(AC115,AA115,Z115,Y115)</f>
        <v>33.052604746818538</v>
      </c>
      <c r="AE115" s="177">
        <f>AVERAGE(AD115,AC115,AA115,Z115)</f>
        <v>33.035111707448955</v>
      </c>
      <c r="AF115" s="177">
        <f>AVERAGE(AE115,AD115,AC115,AA115)</f>
        <v>32.996502320468423</v>
      </c>
      <c r="AG115" s="481">
        <f>SUM(AC115:AF115)</f>
        <v>132.08766487687825</v>
      </c>
      <c r="AH115" s="177">
        <f>AVERAGE(AF115,AE115,AD115,AC115)</f>
        <v>33.021916219219563</v>
      </c>
      <c r="AI115" s="177">
        <f>AVERAGE(AH115,AF115,AE115,AD115)</f>
        <v>33.026533748488866</v>
      </c>
      <c r="AJ115" s="177">
        <f>AVERAGE(AI115,AH115,AF115,AE115)</f>
        <v>33.020015998906452</v>
      </c>
      <c r="AK115" s="177">
        <f>AVERAGE(AJ115,AI115,AH115,AF115)</f>
        <v>33.016242071770826</v>
      </c>
      <c r="AL115" s="481">
        <f>SUM(AH115:AK115)</f>
        <v>132.08470803838568</v>
      </c>
      <c r="AM115" s="177">
        <f>AVERAGE(AK115,AJ115,AI115,AH115)</f>
        <v>33.021177009596428</v>
      </c>
      <c r="AN115" s="177">
        <f>AVERAGE(AM115,AK115,AJ115,AI115)</f>
        <v>33.020992207190645</v>
      </c>
      <c r="AO115" s="177">
        <f>AVERAGE(AN115,AM115,AK115,AJ115)</f>
        <v>33.019606821866084</v>
      </c>
      <c r="AP115" s="177">
        <f>AVERAGE(AO115,AN115,AM115,AK115)</f>
        <v>33.019504527605996</v>
      </c>
      <c r="AQ115" s="481">
        <f>SUM(AM115:AP115)</f>
        <v>132.08128056625915</v>
      </c>
    </row>
    <row r="116" spans="1:43" outlineLevel="1" x14ac:dyDescent="0.25">
      <c r="A116" s="254"/>
      <c r="B116" s="167" t="s">
        <v>300</v>
      </c>
      <c r="C116" s="144"/>
      <c r="D116" s="365">
        <f>+D103-D114+D115</f>
        <v>229.99999999999991</v>
      </c>
      <c r="E116" s="365">
        <f t="shared" ref="E116:V116" si="429">+E103-E114+E115</f>
        <v>201.80000000000004</v>
      </c>
      <c r="F116" s="365">
        <f t="shared" si="429"/>
        <v>270.19999999999976</v>
      </c>
      <c r="G116" s="365">
        <f t="shared" si="429"/>
        <v>262.69999999999987</v>
      </c>
      <c r="H116" s="239">
        <f>SUM(D116:G116)</f>
        <v>964.69999999999959</v>
      </c>
      <c r="I116" s="365">
        <f t="shared" si="429"/>
        <v>275.89999999999998</v>
      </c>
      <c r="J116" s="365">
        <f t="shared" si="429"/>
        <v>-15.400000000000045</v>
      </c>
      <c r="K116" s="365">
        <f>+K103-K114+K115</f>
        <v>-85.999999999999744</v>
      </c>
      <c r="L116" s="207">
        <f t="shared" si="429"/>
        <v>179.49999999999994</v>
      </c>
      <c r="M116" s="239">
        <f>SUM(I116:L116)</f>
        <v>354.00000000000011</v>
      </c>
      <c r="N116" s="207">
        <f t="shared" si="429"/>
        <v>274.8</v>
      </c>
      <c r="O116" s="207">
        <f t="shared" si="429"/>
        <v>251.50000000000006</v>
      </c>
      <c r="P116" s="207">
        <f t="shared" si="429"/>
        <v>318.29999999999995</v>
      </c>
      <c r="Q116" s="207">
        <f t="shared" si="429"/>
        <v>390.27394627481425</v>
      </c>
      <c r="R116" s="239">
        <f>SUM(N116:Q116)</f>
        <v>1234.8739462748142</v>
      </c>
      <c r="S116" s="207">
        <f t="shared" si="429"/>
        <v>368.37375822093435</v>
      </c>
      <c r="T116" s="207">
        <f t="shared" si="429"/>
        <v>346.42149067313522</v>
      </c>
      <c r="U116" s="207">
        <f t="shared" si="429"/>
        <v>346.87780324725537</v>
      </c>
      <c r="V116" s="207">
        <f t="shared" si="429"/>
        <v>436.68177138654141</v>
      </c>
      <c r="W116" s="239">
        <f>SUM(S116:V116)</f>
        <v>1498.3548235278663</v>
      </c>
      <c r="X116" s="207">
        <f t="shared" ref="X116:AA116" si="430">+X103-X114+X115</f>
        <v>435.16171381908674</v>
      </c>
      <c r="Y116" s="207">
        <f t="shared" si="430"/>
        <v>411.10952033242864</v>
      </c>
      <c r="Z116" s="207">
        <f t="shared" si="430"/>
        <v>406.13027987004608</v>
      </c>
      <c r="AA116" s="207">
        <f t="shared" si="430"/>
        <v>485.3710758126677</v>
      </c>
      <c r="AB116" s="239">
        <f>SUM(X116:AA116)</f>
        <v>1737.7725898342292</v>
      </c>
      <c r="AC116" s="207">
        <f t="shared" ref="AC116:AF116" si="431">+AC103-AC114+AC115</f>
        <v>475.27192265958365</v>
      </c>
      <c r="AD116" s="207">
        <f t="shared" si="431"/>
        <v>454.83763452462648</v>
      </c>
      <c r="AE116" s="207">
        <f t="shared" si="431"/>
        <v>450.77051613920338</v>
      </c>
      <c r="AF116" s="207">
        <f t="shared" si="431"/>
        <v>542.17748380953549</v>
      </c>
      <c r="AG116" s="239">
        <f>SUM(AC116:AF116)</f>
        <v>1923.0575571329491</v>
      </c>
      <c r="AH116" s="207">
        <f t="shared" ref="AH116:AK116" si="432">+AH103-AH114+AH115</f>
        <v>543.50275658807163</v>
      </c>
      <c r="AI116" s="207">
        <f t="shared" si="432"/>
        <v>521.37923413051749</v>
      </c>
      <c r="AJ116" s="207">
        <f t="shared" si="432"/>
        <v>513.31664898009853</v>
      </c>
      <c r="AK116" s="207">
        <f t="shared" si="432"/>
        <v>613.36305892201267</v>
      </c>
      <c r="AL116" s="239">
        <f>SUM(AH116:AK116)</f>
        <v>2191.5616986207006</v>
      </c>
      <c r="AM116" s="207">
        <f t="shared" ref="AM116:AP116" si="433">+AM103-AM114+AM115</f>
        <v>616.45211860318364</v>
      </c>
      <c r="AN116" s="207">
        <f t="shared" si="433"/>
        <v>592.78866731881385</v>
      </c>
      <c r="AO116" s="207">
        <f t="shared" si="433"/>
        <v>579.14576165760172</v>
      </c>
      <c r="AP116" s="207">
        <f t="shared" si="433"/>
        <v>687.51462948360597</v>
      </c>
      <c r="AQ116" s="239">
        <f>SUM(AM116:AP116)</f>
        <v>2475.9011770632051</v>
      </c>
    </row>
    <row r="117" spans="1:43" outlineLevel="1" x14ac:dyDescent="0.25">
      <c r="A117" s="254"/>
      <c r="B117" s="167" t="s">
        <v>301</v>
      </c>
      <c r="C117" s="144"/>
      <c r="D117" s="366">
        <f t="shared" ref="D117:G117" si="434">+D116/D103</f>
        <v>0.15292553191489355</v>
      </c>
      <c r="E117" s="366">
        <f t="shared" si="434"/>
        <v>0.1319471688243756</v>
      </c>
      <c r="F117" s="366">
        <f t="shared" si="434"/>
        <v>0.17044092600769556</v>
      </c>
      <c r="G117" s="366">
        <f t="shared" si="434"/>
        <v>0.16710132943196987</v>
      </c>
      <c r="H117" s="240">
        <f>H116/H103</f>
        <v>0.15582800284292814</v>
      </c>
      <c r="I117" s="366">
        <f t="shared" ref="I117:L117" si="435">+I116/I103</f>
        <v>0.17560944561135511</v>
      </c>
      <c r="J117" s="366">
        <f t="shared" si="435"/>
        <v>-1.3573065397496956E-2</v>
      </c>
      <c r="K117" s="366">
        <f t="shared" si="435"/>
        <v>-9.0564448188710761E-2</v>
      </c>
      <c r="L117" s="208">
        <f t="shared" si="435"/>
        <v>0.12028412517590294</v>
      </c>
      <c r="M117" s="240">
        <f>M116/M103</f>
        <v>6.8769912192089541E-2</v>
      </c>
      <c r="N117" s="208">
        <f t="shared" ref="N117:Q117" si="436">+N116/N103</f>
        <v>0.16611255515928189</v>
      </c>
      <c r="O117" s="208">
        <f t="shared" si="436"/>
        <v>0.1561239058911168</v>
      </c>
      <c r="P117" s="208">
        <f t="shared" si="436"/>
        <v>0.19193198263386396</v>
      </c>
      <c r="Q117" s="208">
        <f t="shared" si="436"/>
        <v>0.1966976917444658</v>
      </c>
      <c r="R117" s="240">
        <f>R116/R103</f>
        <v>0.17876694735674414</v>
      </c>
      <c r="S117" s="208">
        <f t="shared" ref="S117:V117" si="437">+S116/S103</f>
        <v>0.18303674631411523</v>
      </c>
      <c r="T117" s="208">
        <f t="shared" si="437"/>
        <v>0.18198044869731422</v>
      </c>
      <c r="U117" s="208">
        <f t="shared" si="437"/>
        <v>0.17774128490378613</v>
      </c>
      <c r="V117" s="208">
        <f t="shared" si="437"/>
        <v>0.20042170600584233</v>
      </c>
      <c r="W117" s="240">
        <f>W116/W103</f>
        <v>0.18620992396066788</v>
      </c>
      <c r="X117" s="208">
        <f t="shared" ref="X117:AA117" si="438">+X116/X103</f>
        <v>0.18830962411563881</v>
      </c>
      <c r="Y117" s="208">
        <f t="shared" si="438"/>
        <v>0.18839403914147579</v>
      </c>
      <c r="Z117" s="208">
        <f t="shared" si="438"/>
        <v>0.18374845673010173</v>
      </c>
      <c r="AA117" s="208">
        <f t="shared" si="438"/>
        <v>0.19857824187014009</v>
      </c>
      <c r="AB117" s="240">
        <f>AB116/AB103</f>
        <v>0.1899714639213648</v>
      </c>
      <c r="AC117" s="208">
        <f t="shared" ref="AC117:AF117" si="439">+AC116/AC103</f>
        <v>0.18765428063624326</v>
      </c>
      <c r="AD117" s="208">
        <f t="shared" si="439"/>
        <v>0.18843417450755753</v>
      </c>
      <c r="AE117" s="208">
        <f t="shared" si="439"/>
        <v>0.18311043264681184</v>
      </c>
      <c r="AF117" s="208">
        <f t="shared" si="439"/>
        <v>0.19756338217386693</v>
      </c>
      <c r="AG117" s="240">
        <f>AG116/AG103</f>
        <v>0.18941644825530227</v>
      </c>
      <c r="AH117" s="208">
        <f t="shared" ref="AH117:AK117" si="440">+AH116/AH103</f>
        <v>0.19157234372642745</v>
      </c>
      <c r="AI117" s="208">
        <f t="shared" si="440"/>
        <v>0.19277873447491911</v>
      </c>
      <c r="AJ117" s="208">
        <f t="shared" si="440"/>
        <v>0.18642675474471165</v>
      </c>
      <c r="AK117" s="208">
        <f t="shared" si="440"/>
        <v>0.1999444154654727</v>
      </c>
      <c r="AL117" s="240">
        <f>AL116/AL103</f>
        <v>0.19287285517637864</v>
      </c>
      <c r="AM117" s="208">
        <f t="shared" ref="AM117:AP117" si="441">+AM116/AM103</f>
        <v>0.19431307049194119</v>
      </c>
      <c r="AN117" s="208">
        <f t="shared" si="441"/>
        <v>0.19610503424677114</v>
      </c>
      <c r="AO117" s="208">
        <f t="shared" si="441"/>
        <v>0.18875592689207085</v>
      </c>
      <c r="AP117" s="208">
        <f t="shared" si="441"/>
        <v>0.20147809817279985</v>
      </c>
      <c r="AQ117" s="240">
        <f>AQ116/AQ103</f>
        <v>0.19532411126239888</v>
      </c>
    </row>
    <row r="118" spans="1:43" ht="18" x14ac:dyDescent="0.4">
      <c r="A118" s="254"/>
      <c r="B118" s="565" t="s">
        <v>173</v>
      </c>
      <c r="C118" s="566"/>
      <c r="D118" s="32" t="s">
        <v>119</v>
      </c>
      <c r="E118" s="32" t="s">
        <v>243</v>
      </c>
      <c r="F118" s="32" t="s">
        <v>247</v>
      </c>
      <c r="G118" s="32" t="s">
        <v>257</v>
      </c>
      <c r="H118" s="86" t="s">
        <v>258</v>
      </c>
      <c r="I118" s="32" t="s">
        <v>259</v>
      </c>
      <c r="J118" s="32" t="s">
        <v>260</v>
      </c>
      <c r="K118" s="32" t="s">
        <v>261</v>
      </c>
      <c r="L118" s="32" t="s">
        <v>322</v>
      </c>
      <c r="M118" s="86" t="s">
        <v>333</v>
      </c>
      <c r="N118" s="32" t="s">
        <v>339</v>
      </c>
      <c r="O118" s="32" t="s">
        <v>347</v>
      </c>
      <c r="P118" s="32" t="s">
        <v>349</v>
      </c>
      <c r="Q118" s="30" t="s">
        <v>129</v>
      </c>
      <c r="R118" s="89" t="s">
        <v>130</v>
      </c>
      <c r="S118" s="30" t="s">
        <v>131</v>
      </c>
      <c r="T118" s="30" t="s">
        <v>132</v>
      </c>
      <c r="U118" s="30" t="s">
        <v>133</v>
      </c>
      <c r="V118" s="30" t="s">
        <v>134</v>
      </c>
      <c r="W118" s="89" t="s">
        <v>135</v>
      </c>
      <c r="X118" s="30" t="s">
        <v>136</v>
      </c>
      <c r="Y118" s="30" t="s">
        <v>137</v>
      </c>
      <c r="Z118" s="30" t="s">
        <v>138</v>
      </c>
      <c r="AA118" s="30" t="s">
        <v>139</v>
      </c>
      <c r="AB118" s="89" t="s">
        <v>140</v>
      </c>
      <c r="AC118" s="30" t="s">
        <v>252</v>
      </c>
      <c r="AD118" s="30" t="s">
        <v>253</v>
      </c>
      <c r="AE118" s="30" t="s">
        <v>254</v>
      </c>
      <c r="AF118" s="30" t="s">
        <v>255</v>
      </c>
      <c r="AG118" s="89" t="s">
        <v>256</v>
      </c>
      <c r="AH118" s="30" t="s">
        <v>285</v>
      </c>
      <c r="AI118" s="30" t="s">
        <v>286</v>
      </c>
      <c r="AJ118" s="30" t="s">
        <v>287</v>
      </c>
      <c r="AK118" s="30" t="s">
        <v>288</v>
      </c>
      <c r="AL118" s="89" t="s">
        <v>289</v>
      </c>
      <c r="AM118" s="30" t="s">
        <v>356</v>
      </c>
      <c r="AN118" s="30" t="s">
        <v>357</v>
      </c>
      <c r="AO118" s="30" t="s">
        <v>358</v>
      </c>
      <c r="AP118" s="30" t="s">
        <v>359</v>
      </c>
      <c r="AQ118" s="89" t="s">
        <v>360</v>
      </c>
    </row>
    <row r="119" spans="1:43" s="20" customFormat="1" outlineLevel="1" x14ac:dyDescent="0.25">
      <c r="A119" s="269"/>
      <c r="B119" s="585" t="s">
        <v>302</v>
      </c>
      <c r="C119" s="586"/>
      <c r="D119" s="171">
        <v>504.6</v>
      </c>
      <c r="E119" s="171">
        <v>446.6</v>
      </c>
      <c r="F119" s="259">
        <v>533.29999999999995</v>
      </c>
      <c r="G119" s="171">
        <v>508.1</v>
      </c>
      <c r="H119" s="59">
        <f>SUM(D119:G119)</f>
        <v>1992.6</v>
      </c>
      <c r="I119" s="171">
        <v>494.6</v>
      </c>
      <c r="J119" s="171">
        <v>519.1</v>
      </c>
      <c r="K119" s="171">
        <v>447.3</v>
      </c>
      <c r="L119" s="171">
        <v>464</v>
      </c>
      <c r="M119" s="59">
        <f>SUM(I119:L119)</f>
        <v>1925</v>
      </c>
      <c r="N119" s="171">
        <v>371.4</v>
      </c>
      <c r="O119" s="171">
        <v>369.9</v>
      </c>
      <c r="P119" s="171">
        <v>414</v>
      </c>
      <c r="Q119" s="171">
        <f t="shared" ref="Q119" si="442">+L119*(1+Q120)</f>
        <v>394.70000000000005</v>
      </c>
      <c r="R119" s="461">
        <f>SUM(N119:Q119)</f>
        <v>1550</v>
      </c>
      <c r="S119" s="171">
        <f>+N119*(1+S120)</f>
        <v>391.82699999999994</v>
      </c>
      <c r="T119" s="171">
        <f>+O119*(1+T120)</f>
        <v>390.24449999999996</v>
      </c>
      <c r="U119" s="171">
        <f>+P119*(1+U120)</f>
        <v>436.77</v>
      </c>
      <c r="V119" s="171">
        <f t="shared" ref="V119" si="443">+Q119*(1+V120)</f>
        <v>416.4085</v>
      </c>
      <c r="W119" s="59">
        <f>SUM(S119:V119)</f>
        <v>1635.25</v>
      </c>
      <c r="X119" s="171">
        <f>+S119*(1+X120)</f>
        <v>415.33661999999998</v>
      </c>
      <c r="Y119" s="171">
        <f>+T119*(1+Y120)</f>
        <v>413.65916999999996</v>
      </c>
      <c r="Z119" s="171">
        <f>+U119*(1+Z120)</f>
        <v>462.97620000000001</v>
      </c>
      <c r="AA119" s="171">
        <f t="shared" ref="AA119" si="444">+V119*(1+AA120)</f>
        <v>441.39301</v>
      </c>
      <c r="AB119" s="59">
        <f>SUM(X119:AA119)</f>
        <v>1733.365</v>
      </c>
      <c r="AC119" s="171">
        <f>+X119*(1+AC120)</f>
        <v>438.18013409999998</v>
      </c>
      <c r="AD119" s="171">
        <f>+Y119*(1+AD120)</f>
        <v>436.41042434999991</v>
      </c>
      <c r="AE119" s="171">
        <f>+Z119*(1+AE120)</f>
        <v>488.43989099999999</v>
      </c>
      <c r="AF119" s="171">
        <f t="shared" ref="AF119" si="445">+AA119*(1+AF120)</f>
        <v>465.66962554999998</v>
      </c>
      <c r="AG119" s="59">
        <f>SUM(AC119:AF119)</f>
        <v>1828.7000749999997</v>
      </c>
      <c r="AH119" s="171">
        <f>+AC119*(1+AH120)</f>
        <v>460.089140805</v>
      </c>
      <c r="AI119" s="171">
        <f>+AD119*(1+AI120)</f>
        <v>458.23094556749993</v>
      </c>
      <c r="AJ119" s="171">
        <f>+AE119*(1+AJ120)</f>
        <v>512.86188555000001</v>
      </c>
      <c r="AK119" s="171">
        <f t="shared" ref="AK119" si="446">+AF119*(1+AK120)</f>
        <v>488.95310682749999</v>
      </c>
      <c r="AL119" s="59">
        <f>SUM(AH119:AK119)</f>
        <v>1920.13507875</v>
      </c>
      <c r="AM119" s="171">
        <f>+AH119*(1+AM120)</f>
        <v>483.09359784525003</v>
      </c>
      <c r="AN119" s="171">
        <f>+AI119*(1+AN120)</f>
        <v>481.14249284587493</v>
      </c>
      <c r="AO119" s="171">
        <f>+AJ119*(1+AO120)</f>
        <v>538.50497982750005</v>
      </c>
      <c r="AP119" s="171">
        <f t="shared" ref="AP119" si="447">+AK119*(1+AP120)</f>
        <v>513.40076216887496</v>
      </c>
      <c r="AQ119" s="59">
        <f>SUM(AM119:AP119)</f>
        <v>2016.1418326874998</v>
      </c>
    </row>
    <row r="120" spans="1:43" outlineLevel="1" x14ac:dyDescent="0.25">
      <c r="A120" s="254"/>
      <c r="B120" s="200" t="s">
        <v>180</v>
      </c>
      <c r="C120" s="201"/>
      <c r="D120" s="289"/>
      <c r="E120" s="289"/>
      <c r="F120" s="289"/>
      <c r="G120" s="289"/>
      <c r="H120" s="179"/>
      <c r="I120" s="289">
        <f>I119/D119-1</f>
        <v>-1.9817677368212494E-2</v>
      </c>
      <c r="J120" s="289">
        <f t="shared" ref="J120" si="448">J119/E119-1</f>
        <v>0.16233766233766223</v>
      </c>
      <c r="K120" s="289">
        <f>K119/F119-1</f>
        <v>-0.1612600787549221</v>
      </c>
      <c r="L120" s="289">
        <f>L119/G119-1</f>
        <v>-8.6793938201141563E-2</v>
      </c>
      <c r="M120" s="416">
        <f>M119/H119-1</f>
        <v>-3.3925524440429511E-2</v>
      </c>
      <c r="N120" s="289">
        <f>N119/I119-1</f>
        <v>-0.24909017387788124</v>
      </c>
      <c r="O120" s="289">
        <f t="shared" ref="O120" si="449">O119/J119-1</f>
        <v>-0.28742053554228475</v>
      </c>
      <c r="P120" s="289">
        <f>P119/K119-1</f>
        <v>-7.4446680080482941E-2</v>
      </c>
      <c r="Q120" s="202">
        <v>-0.14935344827586197</v>
      </c>
      <c r="R120" s="416">
        <f>R119/M119-1</f>
        <v>-0.19480519480519476</v>
      </c>
      <c r="S120" s="508">
        <v>5.5E-2</v>
      </c>
      <c r="T120" s="508">
        <v>5.5E-2</v>
      </c>
      <c r="U120" s="508">
        <v>5.5E-2</v>
      </c>
      <c r="V120" s="508">
        <v>5.5E-2</v>
      </c>
      <c r="W120" s="416">
        <f>W119/R119-1</f>
        <v>5.4999999999999938E-2</v>
      </c>
      <c r="X120" s="508">
        <v>0.06</v>
      </c>
      <c r="Y120" s="508">
        <v>0.06</v>
      </c>
      <c r="Z120" s="508">
        <v>0.06</v>
      </c>
      <c r="AA120" s="508">
        <v>0.06</v>
      </c>
      <c r="AB120" s="507">
        <f>AB119/W119-1</f>
        <v>6.0000000000000053E-2</v>
      </c>
      <c r="AC120" s="508">
        <v>5.5E-2</v>
      </c>
      <c r="AD120" s="508">
        <v>5.5E-2</v>
      </c>
      <c r="AE120" s="508">
        <v>5.5E-2</v>
      </c>
      <c r="AF120" s="508">
        <v>5.5E-2</v>
      </c>
      <c r="AG120" s="507">
        <f>AG119/AB119-1</f>
        <v>5.4999999999999938E-2</v>
      </c>
      <c r="AH120" s="202">
        <v>0.05</v>
      </c>
      <c r="AI120" s="202">
        <v>0.05</v>
      </c>
      <c r="AJ120" s="202">
        <v>0.05</v>
      </c>
      <c r="AK120" s="202">
        <v>0.05</v>
      </c>
      <c r="AL120" s="416">
        <f>AL119/AG119-1</f>
        <v>5.0000000000000266E-2</v>
      </c>
      <c r="AM120" s="202">
        <v>0.05</v>
      </c>
      <c r="AN120" s="202">
        <v>0.05</v>
      </c>
      <c r="AO120" s="202">
        <v>0.05</v>
      </c>
      <c r="AP120" s="202">
        <v>0.05</v>
      </c>
      <c r="AQ120" s="416">
        <f>AQ119/AL119-1</f>
        <v>4.9999999999999822E-2</v>
      </c>
    </row>
    <row r="121" spans="1:43" outlineLevel="1" x14ac:dyDescent="0.25">
      <c r="A121" s="254"/>
      <c r="B121" s="605" t="s">
        <v>262</v>
      </c>
      <c r="C121" s="606"/>
      <c r="D121" s="169">
        <v>348.4</v>
      </c>
      <c r="E121" s="169">
        <v>305.39999999999998</v>
      </c>
      <c r="F121" s="169">
        <v>377.1</v>
      </c>
      <c r="G121" s="169">
        <v>359.1</v>
      </c>
      <c r="H121" s="209">
        <f>SUM(D121:G121)</f>
        <v>1390</v>
      </c>
      <c r="I121" s="169">
        <v>338.8</v>
      </c>
      <c r="J121" s="169">
        <v>351.6</v>
      </c>
      <c r="K121" s="169">
        <v>319.89999999999998</v>
      </c>
      <c r="L121" s="169">
        <v>327.8</v>
      </c>
      <c r="M121" s="209">
        <f>SUM(I121:L121)</f>
        <v>1338.1000000000001</v>
      </c>
      <c r="N121" s="169">
        <v>233.5</v>
      </c>
      <c r="O121" s="169">
        <v>231.9</v>
      </c>
      <c r="P121" s="169">
        <v>268.3</v>
      </c>
      <c r="Q121" s="169">
        <f t="shared" ref="Q121:V121" si="450">Q122*Q119</f>
        <v>255.79229468599038</v>
      </c>
      <c r="R121" s="209">
        <f>SUM(N121:Q121)</f>
        <v>989.49229468599037</v>
      </c>
      <c r="S121" s="169">
        <f t="shared" si="450"/>
        <v>253.93039637681159</v>
      </c>
      <c r="T121" s="169">
        <f t="shared" si="450"/>
        <v>252.90482934782608</v>
      </c>
      <c r="U121" s="169">
        <f t="shared" si="450"/>
        <v>283.05650000000003</v>
      </c>
      <c r="V121" s="169">
        <f t="shared" si="450"/>
        <v>269.86087089371983</v>
      </c>
      <c r="W121" s="209">
        <f>SUM(S121:V121)</f>
        <v>1059.7525966183575</v>
      </c>
      <c r="X121" s="169">
        <f t="shared" ref="X121" si="451">X122*X119</f>
        <v>269.16622015942028</v>
      </c>
      <c r="Y121" s="169">
        <f t="shared" ref="Y121" si="452">Y122*Y119</f>
        <v>268.07911910869564</v>
      </c>
      <c r="Z121" s="169">
        <f t="shared" ref="Z121" si="453">Z122*Z119</f>
        <v>300.03989000000001</v>
      </c>
      <c r="AA121" s="169">
        <f t="shared" ref="AA121" si="454">AA122*AA119</f>
        <v>286.05252314734304</v>
      </c>
      <c r="AB121" s="209">
        <f>SUM(X121:AA121)</f>
        <v>1123.3377524154589</v>
      </c>
      <c r="AC121" s="169">
        <f t="shared" ref="AC121" si="455">AC122*AC119</f>
        <v>283.97036226818841</v>
      </c>
      <c r="AD121" s="169">
        <f t="shared" ref="AD121" si="456">AD122*AD119</f>
        <v>282.82347065967389</v>
      </c>
      <c r="AE121" s="169">
        <f t="shared" ref="AE121" si="457">AE122*AE119</f>
        <v>316.54208395000001</v>
      </c>
      <c r="AF121" s="169">
        <f t="shared" ref="AF121" si="458">AF122*AF119</f>
        <v>301.78541192044685</v>
      </c>
      <c r="AG121" s="209">
        <f>SUM(AC121:AF121)</f>
        <v>1185.1213287983092</v>
      </c>
      <c r="AH121" s="169">
        <f t="shared" ref="AH121" si="459">AH122*AH119</f>
        <v>298.16888038159783</v>
      </c>
      <c r="AI121" s="169">
        <f t="shared" ref="AI121" si="460">AI122*AI119</f>
        <v>296.9646441926576</v>
      </c>
      <c r="AJ121" s="169">
        <f t="shared" ref="AJ121" si="461">AJ122*AJ119</f>
        <v>332.36918814750004</v>
      </c>
      <c r="AK121" s="169">
        <f t="shared" ref="AK121" si="462">AK122*AK119</f>
        <v>316.87468251646925</v>
      </c>
      <c r="AL121" s="209">
        <f>SUM(AH121:AK121)</f>
        <v>1244.3773952382248</v>
      </c>
      <c r="AM121" s="169">
        <f t="shared" ref="AM121:AP121" si="463">AM122*AM119</f>
        <v>313.07732440067775</v>
      </c>
      <c r="AN121" s="169">
        <f t="shared" si="463"/>
        <v>311.81287640229044</v>
      </c>
      <c r="AO121" s="169">
        <f t="shared" si="463"/>
        <v>348.98764755487508</v>
      </c>
      <c r="AP121" s="169">
        <f t="shared" si="463"/>
        <v>332.71841664229265</v>
      </c>
      <c r="AQ121" s="209">
        <f>SUM(AM121:AP121)</f>
        <v>1306.5962650001359</v>
      </c>
    </row>
    <row r="122" spans="1:43" s="469" customFormat="1" outlineLevel="1" x14ac:dyDescent="0.25">
      <c r="A122" s="470"/>
      <c r="B122" s="467" t="s">
        <v>341</v>
      </c>
      <c r="C122" s="468"/>
      <c r="D122" s="415">
        <f>D121/D119</f>
        <v>0.69044787950852149</v>
      </c>
      <c r="E122" s="415">
        <f t="shared" ref="E122:P122" si="464">E121/E119</f>
        <v>0.68383340797133896</v>
      </c>
      <c r="F122" s="415">
        <f t="shared" si="464"/>
        <v>0.70710669416838567</v>
      </c>
      <c r="G122" s="415">
        <f t="shared" si="464"/>
        <v>0.70675063963786655</v>
      </c>
      <c r="H122" s="476">
        <f t="shared" si="464"/>
        <v>0.69758104988457292</v>
      </c>
      <c r="I122" s="415">
        <f t="shared" si="464"/>
        <v>0.68499797816417307</v>
      </c>
      <c r="J122" s="415">
        <f t="shared" si="464"/>
        <v>0.6773261413985745</v>
      </c>
      <c r="K122" s="415">
        <f t="shared" si="464"/>
        <v>0.71517996870109535</v>
      </c>
      <c r="L122" s="475">
        <f t="shared" si="464"/>
        <v>0.70646551724137929</v>
      </c>
      <c r="M122" s="476">
        <f t="shared" si="464"/>
        <v>0.69511688311688313</v>
      </c>
      <c r="N122" s="475">
        <f t="shared" si="464"/>
        <v>0.62870220786214326</v>
      </c>
      <c r="O122" s="415">
        <f t="shared" si="464"/>
        <v>0.62692619626926205</v>
      </c>
      <c r="P122" s="415">
        <f t="shared" si="464"/>
        <v>0.6480676328502416</v>
      </c>
      <c r="Q122" s="477">
        <f>P122</f>
        <v>0.6480676328502416</v>
      </c>
      <c r="R122" s="476">
        <f t="shared" ref="R122" si="465">R121/R119</f>
        <v>0.63838212560386476</v>
      </c>
      <c r="S122" s="477">
        <f>Q122</f>
        <v>0.6480676328502416</v>
      </c>
      <c r="T122" s="477">
        <f>S122</f>
        <v>0.6480676328502416</v>
      </c>
      <c r="U122" s="477">
        <f>T122</f>
        <v>0.6480676328502416</v>
      </c>
      <c r="V122" s="477">
        <f>U122</f>
        <v>0.6480676328502416</v>
      </c>
      <c r="W122" s="476">
        <f t="shared" ref="W122" si="466">W121/W119</f>
        <v>0.6480676328502416</v>
      </c>
      <c r="X122" s="477">
        <f>V122</f>
        <v>0.6480676328502416</v>
      </c>
      <c r="Y122" s="477">
        <f>X122</f>
        <v>0.6480676328502416</v>
      </c>
      <c r="Z122" s="477">
        <f>Y122</f>
        <v>0.6480676328502416</v>
      </c>
      <c r="AA122" s="477">
        <f>Z122</f>
        <v>0.6480676328502416</v>
      </c>
      <c r="AB122" s="476">
        <f t="shared" ref="AB122" si="467">AB121/AB119</f>
        <v>0.64806763285024149</v>
      </c>
      <c r="AC122" s="477">
        <f>AA122</f>
        <v>0.6480676328502416</v>
      </c>
      <c r="AD122" s="477">
        <f>AC122</f>
        <v>0.6480676328502416</v>
      </c>
      <c r="AE122" s="477">
        <f>AD122</f>
        <v>0.6480676328502416</v>
      </c>
      <c r="AF122" s="477">
        <f>AE122</f>
        <v>0.6480676328502416</v>
      </c>
      <c r="AG122" s="476">
        <f t="shared" ref="AG122" si="468">AG121/AG119</f>
        <v>0.6480676328502416</v>
      </c>
      <c r="AH122" s="477">
        <f>AF122</f>
        <v>0.6480676328502416</v>
      </c>
      <c r="AI122" s="477">
        <f>AH122</f>
        <v>0.6480676328502416</v>
      </c>
      <c r="AJ122" s="477">
        <f>AI122</f>
        <v>0.6480676328502416</v>
      </c>
      <c r="AK122" s="477">
        <f>AJ122</f>
        <v>0.6480676328502416</v>
      </c>
      <c r="AL122" s="476">
        <f t="shared" ref="AL122" si="469">AL121/AL119</f>
        <v>0.6480676328502416</v>
      </c>
      <c r="AM122" s="477">
        <f>AK122</f>
        <v>0.6480676328502416</v>
      </c>
      <c r="AN122" s="477">
        <f>AM122</f>
        <v>0.6480676328502416</v>
      </c>
      <c r="AO122" s="477">
        <f>AN122</f>
        <v>0.6480676328502416</v>
      </c>
      <c r="AP122" s="477">
        <f>AO122</f>
        <v>0.6480676328502416</v>
      </c>
      <c r="AQ122" s="476">
        <f t="shared" ref="AQ122" si="470">AQ121/AQ119</f>
        <v>0.6480676328502416</v>
      </c>
    </row>
    <row r="123" spans="1:43" outlineLevel="1" x14ac:dyDescent="0.25">
      <c r="A123" s="254"/>
      <c r="B123" s="408" t="s">
        <v>142</v>
      </c>
      <c r="C123" s="36"/>
      <c r="D123" s="169">
        <v>18.600000000000001</v>
      </c>
      <c r="E123" s="169">
        <v>17.100000000000001</v>
      </c>
      <c r="F123" s="169">
        <v>20.2</v>
      </c>
      <c r="G123" s="169">
        <v>20.3</v>
      </c>
      <c r="H123" s="170">
        <f>SUM(D123:G123)</f>
        <v>76.2</v>
      </c>
      <c r="I123" s="169">
        <v>20.6</v>
      </c>
      <c r="J123" s="169">
        <v>17.7</v>
      </c>
      <c r="K123" s="169">
        <v>51.4</v>
      </c>
      <c r="L123" s="169">
        <v>18.5</v>
      </c>
      <c r="M123" s="170">
        <f>SUM(I123:L123)</f>
        <v>108.19999999999999</v>
      </c>
      <c r="N123" s="169">
        <v>11.1</v>
      </c>
      <c r="O123" s="169">
        <v>13.1</v>
      </c>
      <c r="P123" s="169">
        <v>-9.9</v>
      </c>
      <c r="Q123" s="169">
        <f t="shared" ref="Q123:V123" si="471">Q124*Q119</f>
        <v>11.841000000000001</v>
      </c>
      <c r="R123" s="170">
        <f>SUM(N123:Q123)</f>
        <v>26.140999999999998</v>
      </c>
      <c r="S123" s="169">
        <f t="shared" si="471"/>
        <v>11.754809999999997</v>
      </c>
      <c r="T123" s="169">
        <f t="shared" si="471"/>
        <v>11.707334999999999</v>
      </c>
      <c r="U123" s="169">
        <f t="shared" si="471"/>
        <v>13.1031</v>
      </c>
      <c r="V123" s="169">
        <f t="shared" si="471"/>
        <v>12.492255</v>
      </c>
      <c r="W123" s="170">
        <f>SUM(S123:V123)</f>
        <v>49.057499999999997</v>
      </c>
      <c r="X123" s="169">
        <f t="shared" ref="X123" si="472">X124*X119</f>
        <v>12.460098599999998</v>
      </c>
      <c r="Y123" s="169">
        <f t="shared" ref="Y123" si="473">Y124*Y119</f>
        <v>12.409775099999999</v>
      </c>
      <c r="Z123" s="169">
        <f t="shared" ref="Z123" si="474">Z124*Z119</f>
        <v>13.889286</v>
      </c>
      <c r="AA123" s="169">
        <f t="shared" ref="AA123" si="475">AA124*AA119</f>
        <v>13.2417903</v>
      </c>
      <c r="AB123" s="170">
        <f>SUM(X123:AA123)</f>
        <v>52.000949999999996</v>
      </c>
      <c r="AC123" s="169">
        <f t="shared" ref="AC123" si="476">AC124*AC119</f>
        <v>13.145404022999999</v>
      </c>
      <c r="AD123" s="169">
        <f t="shared" ref="AD123" si="477">AD124*AD119</f>
        <v>13.092312730499996</v>
      </c>
      <c r="AE123" s="169">
        <f t="shared" ref="AE123" si="478">AE124*AE119</f>
        <v>14.653196729999999</v>
      </c>
      <c r="AF123" s="169">
        <f t="shared" ref="AF123" si="479">AF124*AF119</f>
        <v>13.970088766499998</v>
      </c>
      <c r="AG123" s="170">
        <f>SUM(AC123:AF123)</f>
        <v>54.861002249999991</v>
      </c>
      <c r="AH123" s="169">
        <f t="shared" ref="AH123" si="480">AH124*AH119</f>
        <v>13.80267422415</v>
      </c>
      <c r="AI123" s="169">
        <f t="shared" ref="AI123" si="481">AI124*AI119</f>
        <v>13.746928367024998</v>
      </c>
      <c r="AJ123" s="169">
        <f t="shared" ref="AJ123" si="482">AJ124*AJ119</f>
        <v>15.385856566499999</v>
      </c>
      <c r="AK123" s="169">
        <f t="shared" ref="AK123" si="483">AK124*AK119</f>
        <v>14.668593204824999</v>
      </c>
      <c r="AL123" s="170">
        <f>SUM(AH123:AK123)</f>
        <v>57.604052362499999</v>
      </c>
      <c r="AM123" s="169">
        <f t="shared" ref="AM123:AP123" si="484">AM124*AM119</f>
        <v>14.492807935357501</v>
      </c>
      <c r="AN123" s="169">
        <f t="shared" si="484"/>
        <v>14.434274785376248</v>
      </c>
      <c r="AO123" s="169">
        <f t="shared" si="484"/>
        <v>16.155149394825003</v>
      </c>
      <c r="AP123" s="169">
        <f t="shared" si="484"/>
        <v>15.402022865066249</v>
      </c>
      <c r="AQ123" s="170">
        <f>SUM(AM123:AP123)</f>
        <v>60.484254980625003</v>
      </c>
    </row>
    <row r="124" spans="1:43" s="473" customFormat="1" outlineLevel="1" x14ac:dyDescent="0.25">
      <c r="A124" s="471"/>
      <c r="B124" s="467" t="s">
        <v>344</v>
      </c>
      <c r="C124" s="478"/>
      <c r="D124" s="475">
        <f>D123/D119</f>
        <v>3.6860879904875153E-2</v>
      </c>
      <c r="E124" s="475">
        <f t="shared" ref="E124:P124" si="485">E123/E119</f>
        <v>3.8289296909986566E-2</v>
      </c>
      <c r="F124" s="475">
        <f t="shared" si="485"/>
        <v>3.7877367335458469E-2</v>
      </c>
      <c r="G124" s="475">
        <f t="shared" si="485"/>
        <v>3.9952765203700058E-2</v>
      </c>
      <c r="H124" s="476">
        <f t="shared" si="485"/>
        <v>3.8241493526046375E-2</v>
      </c>
      <c r="I124" s="475">
        <f t="shared" si="485"/>
        <v>4.1649818034775576E-2</v>
      </c>
      <c r="J124" s="475">
        <f t="shared" si="485"/>
        <v>3.4097476401464072E-2</v>
      </c>
      <c r="K124" s="475">
        <f t="shared" si="485"/>
        <v>0.11491169237648111</v>
      </c>
      <c r="L124" s="475">
        <f t="shared" si="485"/>
        <v>3.9870689655172417E-2</v>
      </c>
      <c r="M124" s="476">
        <f t="shared" si="485"/>
        <v>5.62077922077922E-2</v>
      </c>
      <c r="N124" s="475">
        <f t="shared" si="485"/>
        <v>2.9886914378029081E-2</v>
      </c>
      <c r="O124" s="475">
        <f t="shared" si="485"/>
        <v>3.5414977020816439E-2</v>
      </c>
      <c r="P124" s="475">
        <f t="shared" si="485"/>
        <v>-2.391304347826087E-2</v>
      </c>
      <c r="Q124" s="477">
        <v>0.03</v>
      </c>
      <c r="R124" s="476">
        <f t="shared" ref="R124" si="486">R123/R119</f>
        <v>1.6865161290322579E-2</v>
      </c>
      <c r="S124" s="477">
        <f>Q124</f>
        <v>0.03</v>
      </c>
      <c r="T124" s="477">
        <f>S124</f>
        <v>0.03</v>
      </c>
      <c r="U124" s="477">
        <f>T124</f>
        <v>0.03</v>
      </c>
      <c r="V124" s="477">
        <f>U124</f>
        <v>0.03</v>
      </c>
      <c r="W124" s="476">
        <f t="shared" ref="W124" si="487">W123/W119</f>
        <v>0.03</v>
      </c>
      <c r="X124" s="477">
        <f>V124</f>
        <v>0.03</v>
      </c>
      <c r="Y124" s="477">
        <f>X124</f>
        <v>0.03</v>
      </c>
      <c r="Z124" s="477">
        <f>Y124</f>
        <v>0.03</v>
      </c>
      <c r="AA124" s="477">
        <f>Z124</f>
        <v>0.03</v>
      </c>
      <c r="AB124" s="476">
        <f t="shared" ref="AB124" si="488">AB123/AB119</f>
        <v>0.03</v>
      </c>
      <c r="AC124" s="477">
        <f>AA124</f>
        <v>0.03</v>
      </c>
      <c r="AD124" s="477">
        <f>AC124</f>
        <v>0.03</v>
      </c>
      <c r="AE124" s="477">
        <f>AD124</f>
        <v>0.03</v>
      </c>
      <c r="AF124" s="477">
        <f>AE124</f>
        <v>0.03</v>
      </c>
      <c r="AG124" s="476">
        <f t="shared" ref="AG124" si="489">AG123/AG119</f>
        <v>0.03</v>
      </c>
      <c r="AH124" s="477">
        <f>AF124</f>
        <v>0.03</v>
      </c>
      <c r="AI124" s="477">
        <f>AH124</f>
        <v>0.03</v>
      </c>
      <c r="AJ124" s="477">
        <f>AI124</f>
        <v>0.03</v>
      </c>
      <c r="AK124" s="477">
        <f>AJ124</f>
        <v>0.03</v>
      </c>
      <c r="AL124" s="476">
        <f t="shared" ref="AL124" si="490">AL123/AL119</f>
        <v>0.03</v>
      </c>
      <c r="AM124" s="477">
        <f>AK124</f>
        <v>0.03</v>
      </c>
      <c r="AN124" s="477">
        <f>AM124</f>
        <v>0.03</v>
      </c>
      <c r="AO124" s="477">
        <f>AN124</f>
        <v>0.03</v>
      </c>
      <c r="AP124" s="477">
        <f>AO124</f>
        <v>0.03</v>
      </c>
      <c r="AQ124" s="476">
        <f t="shared" ref="AQ124" si="491">AQ123/AQ119</f>
        <v>3.0000000000000006E-2</v>
      </c>
    </row>
    <row r="125" spans="1:43" outlineLevel="1" x14ac:dyDescent="0.25">
      <c r="A125" s="254"/>
      <c r="B125" s="408" t="s">
        <v>143</v>
      </c>
      <c r="C125" s="36"/>
      <c r="D125" s="205">
        <v>0</v>
      </c>
      <c r="E125" s="205">
        <v>12.3</v>
      </c>
      <c r="F125" s="205">
        <v>0.2</v>
      </c>
      <c r="G125" s="205">
        <v>0.3</v>
      </c>
      <c r="H125" s="59">
        <f>SUM(D125:G125)</f>
        <v>12.8</v>
      </c>
      <c r="I125" s="205">
        <v>0.3</v>
      </c>
      <c r="J125" s="205">
        <v>0.3</v>
      </c>
      <c r="K125" s="205">
        <v>0.3</v>
      </c>
      <c r="L125" s="205">
        <v>0.3</v>
      </c>
      <c r="M125" s="59">
        <f>SUM(I125:L125)</f>
        <v>1.2</v>
      </c>
      <c r="N125" s="205">
        <v>0.2</v>
      </c>
      <c r="O125" s="205">
        <v>0.3</v>
      </c>
      <c r="P125" s="205">
        <v>0.2</v>
      </c>
      <c r="Q125" s="205">
        <f>(P125/(P75+P110+P125+P138))*Q245</f>
        <v>0.21388509854834858</v>
      </c>
      <c r="R125" s="59">
        <f>SUM(N125:Q125)</f>
        <v>0.91388509854834854</v>
      </c>
      <c r="S125" s="205">
        <f>(Q125/(Q75+Q110+Q125+Q138))*S245</f>
        <v>0.22655625653054642</v>
      </c>
      <c r="T125" s="205">
        <f>(S125/(S75+S110+S125+S138))*T245</f>
        <v>0.2288932975651585</v>
      </c>
      <c r="U125" s="205">
        <f>(T125/(T75+T110+T125+T138))*U245</f>
        <v>0.23033857051886517</v>
      </c>
      <c r="V125" s="205">
        <f>(U125/(U75+U110+U125+U138))*V245</f>
        <v>0.23480700920618278</v>
      </c>
      <c r="W125" s="59">
        <f>SUM(S125:V125)</f>
        <v>0.92059513382075286</v>
      </c>
      <c r="X125" s="205">
        <f>(V125/(V75+V110+V125+V138))*X245</f>
        <v>0.23805305738026</v>
      </c>
      <c r="Y125" s="205">
        <f>(X125/(X75+X110+X125+X138))*Y245</f>
        <v>0.23998950885394266</v>
      </c>
      <c r="Z125" s="205">
        <f>(Y125/(Y75+Y110+Y125+Y138))*Z245</f>
        <v>0.2415694491131892</v>
      </c>
      <c r="AA125" s="205">
        <f>(Z125/(Z75+Z110+Z125+Z138))*AA245</f>
        <v>0.24490854230084805</v>
      </c>
      <c r="AB125" s="59">
        <f>SUM(X125:AA125)</f>
        <v>0.96452055764823985</v>
      </c>
      <c r="AC125" s="205">
        <f>(AA125/(AA75+AA110+AA125+AA138))*AC245</f>
        <v>0.24735770111683431</v>
      </c>
      <c r="AD125" s="205">
        <f>(AC125/(AC75+AC110+AC125+AC138))*AD245</f>
        <v>0.24855778777330989</v>
      </c>
      <c r="AE125" s="205">
        <f>(AD125/(AD75+AD110+AD125+AD138))*AE245</f>
        <v>0.24943258213645761</v>
      </c>
      <c r="AF125" s="205">
        <f>(AE125/(AE75+AE110+AE125+AE138))*AF245</f>
        <v>0.25195459288763733</v>
      </c>
      <c r="AG125" s="59">
        <f>SUM(AC125:AF125)</f>
        <v>0.99730266391423916</v>
      </c>
      <c r="AH125" s="205">
        <f>(AF125/(AF75+AF110+AF125+AF138))*AH245</f>
        <v>0.25475299959907338</v>
      </c>
      <c r="AI125" s="205">
        <f>(AH125/(AH75+AH110+AH125+AH138))*AI245</f>
        <v>0.25691490576619874</v>
      </c>
      <c r="AJ125" s="205">
        <f>(AI125/(AI75+AI110+AI125+AI138))*AJ245</f>
        <v>0.25864402893452937</v>
      </c>
      <c r="AK125" s="205">
        <f>(AJ125/(AJ75+AJ110+AJ125+AJ138))*AK245</f>
        <v>0.26208533100946063</v>
      </c>
      <c r="AL125" s="59">
        <f>SUM(AH125:AK125)</f>
        <v>1.0323972653092621</v>
      </c>
      <c r="AM125" s="205">
        <f>(AK125/(AK75+AK110+AK125+AK138))*AM245</f>
        <v>0.2656127436354862</v>
      </c>
      <c r="AN125" s="205">
        <f>(AM125/(AM75+AM110+AM125+AM138))*AN245</f>
        <v>0.26857575649639953</v>
      </c>
      <c r="AO125" s="205">
        <f>(AN125/(AN75+AN110+AN125+AN138))*AO245</f>
        <v>0.27100527677378039</v>
      </c>
      <c r="AP125" s="205">
        <f>(AO125/(AO75+AO110+AO125+AO138))*AP245</f>
        <v>0.27520030080757713</v>
      </c>
      <c r="AQ125" s="59">
        <f>SUM(AM125:AP125)</f>
        <v>1.0803940777132433</v>
      </c>
    </row>
    <row r="126" spans="1:43" outlineLevel="1" x14ac:dyDescent="0.25">
      <c r="A126" s="254"/>
      <c r="B126" s="408" t="s">
        <v>144</v>
      </c>
      <c r="C126" s="36"/>
      <c r="D126" s="169">
        <v>3.2</v>
      </c>
      <c r="E126" s="169">
        <v>3.1</v>
      </c>
      <c r="F126" s="169">
        <v>2.7</v>
      </c>
      <c r="G126" s="169">
        <v>2.6</v>
      </c>
      <c r="H126" s="170">
        <f>SUM(D126:G126)</f>
        <v>11.6</v>
      </c>
      <c r="I126" s="169">
        <v>2.4</v>
      </c>
      <c r="J126" s="169">
        <v>3</v>
      </c>
      <c r="K126" s="169">
        <v>2.5</v>
      </c>
      <c r="L126" s="169">
        <v>2.5</v>
      </c>
      <c r="M126" s="170">
        <f>SUM(I126:L126)</f>
        <v>10.4</v>
      </c>
      <c r="N126" s="169">
        <v>2.2000000000000002</v>
      </c>
      <c r="O126" s="169">
        <v>2.2999999999999998</v>
      </c>
      <c r="P126" s="169">
        <v>2.9</v>
      </c>
      <c r="Q126" s="169">
        <f t="shared" ref="Q126:V126" si="492">Q127*Q119</f>
        <v>2.7648067632850242</v>
      </c>
      <c r="R126" s="170">
        <f>SUM(N126:Q126)</f>
        <v>10.164806763285025</v>
      </c>
      <c r="S126" s="169">
        <f t="shared" si="492"/>
        <v>2.7446818840579703</v>
      </c>
      <c r="T126" s="169">
        <f t="shared" si="492"/>
        <v>2.7335967391304341</v>
      </c>
      <c r="U126" s="169">
        <f t="shared" si="492"/>
        <v>3.0594999999999994</v>
      </c>
      <c r="V126" s="169">
        <f t="shared" si="492"/>
        <v>2.9168711352657004</v>
      </c>
      <c r="W126" s="170">
        <f>SUM(S126:V126)</f>
        <v>11.454649758454103</v>
      </c>
      <c r="X126" s="169">
        <f t="shared" ref="X126" si="493">X127*X119</f>
        <v>2.9093627971014491</v>
      </c>
      <c r="Y126" s="169">
        <f t="shared" ref="Y126" si="494">Y127*Y119</f>
        <v>2.8976125434782602</v>
      </c>
      <c r="Z126" s="169">
        <f t="shared" ref="Z126" si="495">Z127*Z119</f>
        <v>3.2430699999999999</v>
      </c>
      <c r="AA126" s="169">
        <f t="shared" ref="AA126" si="496">AA127*AA119</f>
        <v>3.0918834033816425</v>
      </c>
      <c r="AB126" s="170">
        <f>SUM(X126:AA126)</f>
        <v>12.141928743961351</v>
      </c>
      <c r="AC126" s="169">
        <f t="shared" ref="AC126" si="497">AC127*AC119</f>
        <v>3.0693777509420284</v>
      </c>
      <c r="AD126" s="169">
        <f t="shared" ref="AD126" si="498">AD127*AD119</f>
        <v>3.0569812333695645</v>
      </c>
      <c r="AE126" s="169">
        <f t="shared" ref="AE126" si="499">AE127*AE119</f>
        <v>3.4214388499999995</v>
      </c>
      <c r="AF126" s="169">
        <f t="shared" ref="AF126" si="500">AF127*AF119</f>
        <v>3.2619369905676323</v>
      </c>
      <c r="AG126" s="170">
        <f>SUM(AC126:AF126)</f>
        <v>12.809734824879223</v>
      </c>
      <c r="AH126" s="169">
        <f t="shared" ref="AH126" si="501">AH127*AH119</f>
        <v>3.2228466384891301</v>
      </c>
      <c r="AI126" s="169">
        <f t="shared" ref="AI126" si="502">AI127*AI119</f>
        <v>3.2098302950380426</v>
      </c>
      <c r="AJ126" s="169">
        <f t="shared" ref="AJ126" si="503">AJ127*AJ119</f>
        <v>3.5925107924999997</v>
      </c>
      <c r="AK126" s="169">
        <f t="shared" ref="AK126" si="504">AK127*AK119</f>
        <v>3.4250338400960141</v>
      </c>
      <c r="AL126" s="170">
        <f>SUM(AH126:AK126)</f>
        <v>13.450221566123187</v>
      </c>
      <c r="AM126" s="169">
        <f t="shared" ref="AM126:AP126" si="505">AM127*AM119</f>
        <v>3.3839889704135868</v>
      </c>
      <c r="AN126" s="169">
        <f t="shared" si="505"/>
        <v>3.370321809789945</v>
      </c>
      <c r="AO126" s="169">
        <f t="shared" si="505"/>
        <v>3.7721363321250001</v>
      </c>
      <c r="AP126" s="169">
        <f t="shared" si="505"/>
        <v>3.5962855321008145</v>
      </c>
      <c r="AQ126" s="170">
        <f>SUM(AM126:AP126)</f>
        <v>14.122732644429348</v>
      </c>
    </row>
    <row r="127" spans="1:43" s="473" customFormat="1" outlineLevel="1" x14ac:dyDescent="0.25">
      <c r="A127" s="471"/>
      <c r="B127" s="467" t="s">
        <v>343</v>
      </c>
      <c r="C127" s="478"/>
      <c r="D127" s="475">
        <f>D126/D119</f>
        <v>6.3416567578279829E-3</v>
      </c>
      <c r="E127" s="475">
        <f t="shared" ref="E127:P127" si="506">E126/E119</f>
        <v>6.9413345275414241E-3</v>
      </c>
      <c r="F127" s="475">
        <f t="shared" si="506"/>
        <v>5.0628164260266275E-3</v>
      </c>
      <c r="G127" s="475">
        <f t="shared" si="506"/>
        <v>5.1171029324936033E-3</v>
      </c>
      <c r="H127" s="476">
        <f t="shared" si="506"/>
        <v>5.8215396968784505E-3</v>
      </c>
      <c r="I127" s="475">
        <f t="shared" si="506"/>
        <v>4.8524059846340476E-3</v>
      </c>
      <c r="J127" s="475">
        <f t="shared" si="506"/>
        <v>5.7792332883837404E-3</v>
      </c>
      <c r="K127" s="475">
        <f t="shared" si="506"/>
        <v>5.5890900961323492E-3</v>
      </c>
      <c r="L127" s="475">
        <f t="shared" si="506"/>
        <v>5.387931034482759E-3</v>
      </c>
      <c r="M127" s="476">
        <f t="shared" si="506"/>
        <v>5.4025974025974028E-3</v>
      </c>
      <c r="N127" s="475">
        <f t="shared" si="506"/>
        <v>5.9235325794291874E-3</v>
      </c>
      <c r="O127" s="475">
        <f t="shared" si="506"/>
        <v>6.2178967288456337E-3</v>
      </c>
      <c r="P127" s="475">
        <f t="shared" si="506"/>
        <v>7.0048309178743955E-3</v>
      </c>
      <c r="Q127" s="477">
        <f>P127</f>
        <v>7.0048309178743955E-3</v>
      </c>
      <c r="R127" s="476">
        <f t="shared" ref="R127" si="507">R126/R119</f>
        <v>6.557939847280661E-3</v>
      </c>
      <c r="S127" s="477">
        <f>Q127</f>
        <v>7.0048309178743955E-3</v>
      </c>
      <c r="T127" s="477">
        <f>S127</f>
        <v>7.0048309178743955E-3</v>
      </c>
      <c r="U127" s="477">
        <f>T127</f>
        <v>7.0048309178743955E-3</v>
      </c>
      <c r="V127" s="477">
        <f>U127</f>
        <v>7.0048309178743955E-3</v>
      </c>
      <c r="W127" s="476">
        <f t="shared" ref="W127" si="508">W126/W119</f>
        <v>7.0048309178743938E-3</v>
      </c>
      <c r="X127" s="477">
        <f>V127</f>
        <v>7.0048309178743955E-3</v>
      </c>
      <c r="Y127" s="477">
        <f>X127</f>
        <v>7.0048309178743955E-3</v>
      </c>
      <c r="Z127" s="477">
        <f>Y127</f>
        <v>7.0048309178743955E-3</v>
      </c>
      <c r="AA127" s="477">
        <f>Z127</f>
        <v>7.0048309178743955E-3</v>
      </c>
      <c r="AB127" s="476">
        <f t="shared" ref="AB127" si="509">AB126/AB119</f>
        <v>7.0048309178743955E-3</v>
      </c>
      <c r="AC127" s="477">
        <f>AA127</f>
        <v>7.0048309178743955E-3</v>
      </c>
      <c r="AD127" s="477">
        <f>AC127</f>
        <v>7.0048309178743955E-3</v>
      </c>
      <c r="AE127" s="477">
        <f>AD127</f>
        <v>7.0048309178743955E-3</v>
      </c>
      <c r="AF127" s="477">
        <f>AE127</f>
        <v>7.0048309178743955E-3</v>
      </c>
      <c r="AG127" s="476">
        <f t="shared" ref="AG127" si="510">AG126/AG119</f>
        <v>7.0048309178743955E-3</v>
      </c>
      <c r="AH127" s="477">
        <f>AF127</f>
        <v>7.0048309178743955E-3</v>
      </c>
      <c r="AI127" s="477">
        <f>AH127</f>
        <v>7.0048309178743955E-3</v>
      </c>
      <c r="AJ127" s="477">
        <f>AI127</f>
        <v>7.0048309178743955E-3</v>
      </c>
      <c r="AK127" s="477">
        <f>AJ127</f>
        <v>7.0048309178743955E-3</v>
      </c>
      <c r="AL127" s="476">
        <f t="shared" ref="AL127" si="511">AL126/AL119</f>
        <v>7.0048309178743946E-3</v>
      </c>
      <c r="AM127" s="477">
        <f>AK127</f>
        <v>7.0048309178743955E-3</v>
      </c>
      <c r="AN127" s="477">
        <f>AM127</f>
        <v>7.0048309178743955E-3</v>
      </c>
      <c r="AO127" s="477">
        <f>AN127</f>
        <v>7.0048309178743955E-3</v>
      </c>
      <c r="AP127" s="477">
        <f>AO127</f>
        <v>7.0048309178743955E-3</v>
      </c>
      <c r="AQ127" s="476">
        <f t="shared" ref="AQ127" si="512">AQ126/AQ119</f>
        <v>7.0048309178743972E-3</v>
      </c>
    </row>
    <row r="128" spans="1:43" ht="17.25" outlineLevel="1" x14ac:dyDescent="0.4">
      <c r="A128" s="254"/>
      <c r="B128" s="408" t="s">
        <v>152</v>
      </c>
      <c r="C128" s="36"/>
      <c r="D128" s="206">
        <v>0</v>
      </c>
      <c r="E128" s="206">
        <v>0</v>
      </c>
      <c r="F128" s="206">
        <v>0</v>
      </c>
      <c r="G128" s="206">
        <v>0</v>
      </c>
      <c r="H128" s="210">
        <f>SUM(D128:G128)</f>
        <v>0</v>
      </c>
      <c r="I128" s="206">
        <v>0</v>
      </c>
      <c r="J128" s="206">
        <v>0</v>
      </c>
      <c r="K128" s="206">
        <v>0</v>
      </c>
      <c r="L128" s="206">
        <v>0</v>
      </c>
      <c r="M128" s="210">
        <f>SUM(I128:L128)</f>
        <v>0</v>
      </c>
      <c r="N128" s="206">
        <v>0</v>
      </c>
      <c r="O128" s="288">
        <v>0</v>
      </c>
      <c r="P128" s="206">
        <v>0</v>
      </c>
      <c r="Q128" s="292">
        <v>0</v>
      </c>
      <c r="R128" s="210">
        <f>SUM(N128:Q128)</f>
        <v>0</v>
      </c>
      <c r="S128" s="292">
        <v>0</v>
      </c>
      <c r="T128" s="292">
        <v>0</v>
      </c>
      <c r="U128" s="292">
        <v>0</v>
      </c>
      <c r="V128" s="292">
        <v>0</v>
      </c>
      <c r="W128" s="210">
        <f>SUM(S128:V128)</f>
        <v>0</v>
      </c>
      <c r="X128" s="292">
        <v>0</v>
      </c>
      <c r="Y128" s="292">
        <v>0</v>
      </c>
      <c r="Z128" s="292">
        <v>0</v>
      </c>
      <c r="AA128" s="292">
        <v>0</v>
      </c>
      <c r="AB128" s="210">
        <f>SUM(X128:AA128)</f>
        <v>0</v>
      </c>
      <c r="AC128" s="292">
        <v>0</v>
      </c>
      <c r="AD128" s="292">
        <v>0</v>
      </c>
      <c r="AE128" s="292">
        <v>0</v>
      </c>
      <c r="AF128" s="292">
        <v>0</v>
      </c>
      <c r="AG128" s="210">
        <f>SUM(AC128:AF128)</f>
        <v>0</v>
      </c>
      <c r="AH128" s="292">
        <v>0</v>
      </c>
      <c r="AI128" s="292">
        <v>0</v>
      </c>
      <c r="AJ128" s="292">
        <v>0</v>
      </c>
      <c r="AK128" s="292">
        <v>0</v>
      </c>
      <c r="AL128" s="210">
        <f>SUM(AH128:AK128)</f>
        <v>0</v>
      </c>
      <c r="AM128" s="292">
        <v>0</v>
      </c>
      <c r="AN128" s="292">
        <v>0</v>
      </c>
      <c r="AO128" s="292">
        <v>0</v>
      </c>
      <c r="AP128" s="292">
        <v>0</v>
      </c>
      <c r="AQ128" s="210">
        <f>SUM(AM128:AP128)</f>
        <v>0</v>
      </c>
    </row>
    <row r="129" spans="1:43" outlineLevel="1" x14ac:dyDescent="0.25">
      <c r="A129" s="254"/>
      <c r="B129" s="167" t="s">
        <v>174</v>
      </c>
      <c r="C129" s="39"/>
      <c r="D129" s="171">
        <f>D121+D123+D125+D126+D128</f>
        <v>370.2</v>
      </c>
      <c r="E129" s="171">
        <f t="shared" ref="E129:W129" si="513">E121+E123+E125+E126+E128</f>
        <v>337.90000000000003</v>
      </c>
      <c r="F129" s="171">
        <f t="shared" si="513"/>
        <v>400.2</v>
      </c>
      <c r="G129" s="171">
        <f t="shared" si="513"/>
        <v>382.30000000000007</v>
      </c>
      <c r="H129" s="50">
        <f t="shared" si="513"/>
        <v>1490.6</v>
      </c>
      <c r="I129" s="171">
        <f t="shared" si="513"/>
        <v>362.1</v>
      </c>
      <c r="J129" s="171">
        <f t="shared" si="513"/>
        <v>372.6</v>
      </c>
      <c r="K129" s="171">
        <f t="shared" si="513"/>
        <v>374.09999999999997</v>
      </c>
      <c r="L129" s="171">
        <f t="shared" si="513"/>
        <v>349.1</v>
      </c>
      <c r="M129" s="50">
        <f t="shared" si="513"/>
        <v>1457.9000000000003</v>
      </c>
      <c r="N129" s="171">
        <f t="shared" si="513"/>
        <v>246.99999999999997</v>
      </c>
      <c r="O129" s="171">
        <f t="shared" si="513"/>
        <v>247.60000000000002</v>
      </c>
      <c r="P129" s="171">
        <f t="shared" si="513"/>
        <v>261.5</v>
      </c>
      <c r="Q129" s="171">
        <f t="shared" si="513"/>
        <v>270.61198654782379</v>
      </c>
      <c r="R129" s="50">
        <f t="shared" si="513"/>
        <v>1026.7119865478237</v>
      </c>
      <c r="S129" s="171">
        <f t="shared" si="513"/>
        <v>268.65644451740013</v>
      </c>
      <c r="T129" s="171">
        <f t="shared" si="513"/>
        <v>267.57465438452169</v>
      </c>
      <c r="U129" s="171">
        <f t="shared" si="513"/>
        <v>299.44943857051891</v>
      </c>
      <c r="V129" s="171">
        <f t="shared" si="513"/>
        <v>285.50480403819171</v>
      </c>
      <c r="W129" s="50">
        <f t="shared" si="513"/>
        <v>1121.1853415106323</v>
      </c>
      <c r="X129" s="171">
        <f t="shared" ref="X129" si="514">X121+X123+X125+X126+X128</f>
        <v>284.77373461390198</v>
      </c>
      <c r="Y129" s="171">
        <f t="shared" ref="Y129" si="515">Y121+Y123+Y125+Y126+Y128</f>
        <v>283.62649626102785</v>
      </c>
      <c r="Z129" s="171">
        <f t="shared" ref="Z129" si="516">Z121+Z123+Z125+Z126+Z128</f>
        <v>317.4138154491132</v>
      </c>
      <c r="AA129" s="171">
        <f t="shared" ref="AA129" si="517">AA121+AA123+AA125+AA126+AA128</f>
        <v>302.63110539302551</v>
      </c>
      <c r="AB129" s="50">
        <f t="shared" ref="AB129" si="518">AB121+AB123+AB125+AB126+AB128</f>
        <v>1188.4451517170687</v>
      </c>
      <c r="AC129" s="171">
        <f t="shared" ref="AC129" si="519">AC121+AC123+AC125+AC126+AC128</f>
        <v>300.43250174324726</v>
      </c>
      <c r="AD129" s="171">
        <f t="shared" ref="AD129" si="520">AD121+AD123+AD125+AD126+AD128</f>
        <v>299.22132241131681</v>
      </c>
      <c r="AE129" s="171">
        <f t="shared" ref="AE129" si="521">AE121+AE123+AE125+AE126+AE128</f>
        <v>334.86615211213649</v>
      </c>
      <c r="AF129" s="171">
        <f t="shared" ref="AF129" si="522">AF121+AF123+AF125+AF126+AF128</f>
        <v>319.26939227040208</v>
      </c>
      <c r="AG129" s="50">
        <f t="shared" ref="AG129" si="523">AG121+AG123+AG125+AG126+AG128</f>
        <v>1253.7893685371025</v>
      </c>
      <c r="AH129" s="171">
        <f t="shared" ref="AH129" si="524">AH121+AH123+AH125+AH126+AH128</f>
        <v>315.44915424383601</v>
      </c>
      <c r="AI129" s="171">
        <f t="shared" ref="AI129" si="525">AI121+AI123+AI125+AI126+AI128</f>
        <v>314.17831776048689</v>
      </c>
      <c r="AJ129" s="171">
        <f t="shared" ref="AJ129" si="526">AJ121+AJ123+AJ125+AJ126+AJ128</f>
        <v>351.6061995354346</v>
      </c>
      <c r="AK129" s="171">
        <f t="shared" ref="AK129" si="527">AK121+AK123+AK125+AK126+AK128</f>
        <v>335.23039489239977</v>
      </c>
      <c r="AL129" s="50">
        <f t="shared" ref="AL129:AP129" si="528">AL121+AL123+AL125+AL126+AL128</f>
        <v>1316.4640664321573</v>
      </c>
      <c r="AM129" s="171">
        <f t="shared" si="528"/>
        <v>331.21973405008436</v>
      </c>
      <c r="AN129" s="171">
        <f t="shared" si="528"/>
        <v>329.88604875395305</v>
      </c>
      <c r="AO129" s="171">
        <f t="shared" si="528"/>
        <v>369.18593855859888</v>
      </c>
      <c r="AP129" s="171">
        <f t="shared" si="528"/>
        <v>351.9919253402673</v>
      </c>
      <c r="AQ129" s="50">
        <f t="shared" ref="AQ129" si="529">AQ121+AQ123+AQ125+AQ126+AQ128</f>
        <v>1382.2836467029035</v>
      </c>
    </row>
    <row r="130" spans="1:43" ht="17.25" outlineLevel="1" x14ac:dyDescent="0.4">
      <c r="A130" s="254"/>
      <c r="B130" s="168" t="s">
        <v>145</v>
      </c>
      <c r="C130" s="144"/>
      <c r="D130" s="173">
        <v>41.4</v>
      </c>
      <c r="E130" s="260">
        <v>40.200000000000003</v>
      </c>
      <c r="F130" s="260">
        <v>48.8</v>
      </c>
      <c r="G130" s="260">
        <v>65.099999999999994</v>
      </c>
      <c r="H130" s="481">
        <f>SUM(D130:G130)</f>
        <v>195.49999999999997</v>
      </c>
      <c r="I130" s="260">
        <v>43</v>
      </c>
      <c r="J130" s="260">
        <v>43.1</v>
      </c>
      <c r="K130" s="260">
        <v>51</v>
      </c>
      <c r="L130" s="260">
        <v>83</v>
      </c>
      <c r="M130" s="481">
        <f>SUM(I130:L130)</f>
        <v>220.1</v>
      </c>
      <c r="N130" s="260">
        <v>56.4</v>
      </c>
      <c r="O130" s="260">
        <v>50.3</v>
      </c>
      <c r="P130" s="260">
        <v>63.5</v>
      </c>
      <c r="Q130" s="177">
        <f>AVERAGE(P130,O130,N130,L130)</f>
        <v>63.3</v>
      </c>
      <c r="R130" s="481">
        <f>SUM(N130:Q130)</f>
        <v>233.5</v>
      </c>
      <c r="S130" s="177">
        <f>AVERAGE(Q130,P130,O130,N130)</f>
        <v>58.375</v>
      </c>
      <c r="T130" s="177">
        <f>AVERAGE(S130,Q130,P130,O130)</f>
        <v>58.868750000000006</v>
      </c>
      <c r="U130" s="177">
        <f>AVERAGE(T130,S130,Q130,P130)</f>
        <v>61.010937499999997</v>
      </c>
      <c r="V130" s="177">
        <f>AVERAGE(U130,T130,S130,Q130)</f>
        <v>60.388671875</v>
      </c>
      <c r="W130" s="481">
        <f>SUM(S130:V130)</f>
        <v>238.64335937499999</v>
      </c>
      <c r="X130" s="177">
        <f>AVERAGE(V130,U130,T130,S130)</f>
        <v>59.660839843749997</v>
      </c>
      <c r="Y130" s="177">
        <f>AVERAGE(X130,V130,U130,T130)</f>
        <v>59.9822998046875</v>
      </c>
      <c r="Z130" s="177">
        <f>AVERAGE(Y130,X130,V130,U130)</f>
        <v>60.260687255859381</v>
      </c>
      <c r="AA130" s="177">
        <f>AVERAGE(Z130,Y130,X130,V130)</f>
        <v>60.073124694824216</v>
      </c>
      <c r="AB130" s="481">
        <f>SUM(X130:AA130)</f>
        <v>239.97695159912109</v>
      </c>
      <c r="AC130" s="177">
        <f>AVERAGE(AA130,Z130,Y130,X130)</f>
        <v>59.994237899780273</v>
      </c>
      <c r="AD130" s="177">
        <f>AVERAGE(AC130,AA130,Z130,Y130)</f>
        <v>60.077587413787839</v>
      </c>
      <c r="AE130" s="177">
        <f>AVERAGE(AD130,AC130,AA130,Z130)</f>
        <v>60.101409316062927</v>
      </c>
      <c r="AF130" s="177">
        <f>AVERAGE(AE130,AD130,AC130,AA130)</f>
        <v>60.061589831113821</v>
      </c>
      <c r="AG130" s="481">
        <f>SUM(AC130:AF130)</f>
        <v>240.23482446074487</v>
      </c>
      <c r="AH130" s="177">
        <f>AVERAGE(AF130,AE130,AD130,AC130)</f>
        <v>60.058706115186212</v>
      </c>
      <c r="AI130" s="177">
        <f>AVERAGE(AH130,AF130,AE130,AD130)</f>
        <v>60.0748231690377</v>
      </c>
      <c r="AJ130" s="177">
        <f>AVERAGE(AI130,AH130,AF130,AE130)</f>
        <v>60.074132107850161</v>
      </c>
      <c r="AK130" s="177">
        <f>AVERAGE(AJ130,AI130,AH130,AF130)</f>
        <v>60.067312805796973</v>
      </c>
      <c r="AL130" s="481">
        <f>SUM(AH130:AK130)</f>
        <v>240.27497419787105</v>
      </c>
      <c r="AM130" s="177">
        <f>AVERAGE(AK130,AJ130,AI130,AH130)</f>
        <v>60.068743549467769</v>
      </c>
      <c r="AN130" s="177">
        <f>AVERAGE(AM130,AK130,AJ130,AI130)</f>
        <v>60.071252908038147</v>
      </c>
      <c r="AO130" s="177">
        <f>AVERAGE(AN130,AM130,AK130,AJ130)</f>
        <v>60.070360342788263</v>
      </c>
      <c r="AP130" s="177">
        <f>AVERAGE(AO130,AN130,AM130,AK130)</f>
        <v>60.069417401522784</v>
      </c>
      <c r="AQ130" s="481">
        <f>SUM(AM130:AP130)</f>
        <v>240.27977420181696</v>
      </c>
    </row>
    <row r="131" spans="1:43" outlineLevel="1" x14ac:dyDescent="0.25">
      <c r="A131" s="254"/>
      <c r="B131" s="167" t="s">
        <v>175</v>
      </c>
      <c r="C131" s="144"/>
      <c r="D131" s="365">
        <f t="shared" ref="D131:AL131" si="530">D119-D129+D130</f>
        <v>175.80000000000004</v>
      </c>
      <c r="E131" s="365">
        <f t="shared" si="530"/>
        <v>148.89999999999998</v>
      </c>
      <c r="F131" s="365">
        <f t="shared" si="530"/>
        <v>181.89999999999998</v>
      </c>
      <c r="G131" s="365">
        <f t="shared" si="530"/>
        <v>190.89999999999995</v>
      </c>
      <c r="H131" s="239">
        <f t="shared" si="530"/>
        <v>697.5</v>
      </c>
      <c r="I131" s="365">
        <f t="shared" si="530"/>
        <v>175.5</v>
      </c>
      <c r="J131" s="365">
        <f t="shared" si="530"/>
        <v>189.6</v>
      </c>
      <c r="K131" s="365">
        <f t="shared" si="530"/>
        <v>124.20000000000005</v>
      </c>
      <c r="L131" s="207">
        <f t="shared" si="530"/>
        <v>197.89999999999998</v>
      </c>
      <c r="M131" s="239">
        <f t="shared" si="530"/>
        <v>687.1999999999997</v>
      </c>
      <c r="N131" s="207">
        <f t="shared" si="530"/>
        <v>180.8</v>
      </c>
      <c r="O131" s="207">
        <f t="shared" si="530"/>
        <v>172.59999999999997</v>
      </c>
      <c r="P131" s="207">
        <f t="shared" si="530"/>
        <v>216</v>
      </c>
      <c r="Q131" s="207">
        <f t="shared" si="530"/>
        <v>187.38801345217627</v>
      </c>
      <c r="R131" s="239">
        <f t="shared" si="530"/>
        <v>756.7880134521763</v>
      </c>
      <c r="S131" s="207">
        <f t="shared" si="530"/>
        <v>181.54555548259981</v>
      </c>
      <c r="T131" s="207">
        <f t="shared" si="530"/>
        <v>181.53859561547827</v>
      </c>
      <c r="U131" s="207">
        <f t="shared" si="530"/>
        <v>198.33149892948109</v>
      </c>
      <c r="V131" s="207">
        <f t="shared" si="530"/>
        <v>191.2923678368083</v>
      </c>
      <c r="W131" s="239">
        <f t="shared" si="530"/>
        <v>752.70801786436778</v>
      </c>
      <c r="X131" s="207">
        <f t="shared" si="530"/>
        <v>190.22372522984801</v>
      </c>
      <c r="Y131" s="207">
        <f t="shared" si="530"/>
        <v>190.01497354365961</v>
      </c>
      <c r="Z131" s="207">
        <f t="shared" si="530"/>
        <v>205.82307180674619</v>
      </c>
      <c r="AA131" s="207">
        <f t="shared" si="530"/>
        <v>198.83502930179873</v>
      </c>
      <c r="AB131" s="239">
        <f t="shared" si="530"/>
        <v>784.89679988205239</v>
      </c>
      <c r="AC131" s="207">
        <f t="shared" si="530"/>
        <v>197.74187025653299</v>
      </c>
      <c r="AD131" s="207">
        <f t="shared" si="530"/>
        <v>197.26668935247096</v>
      </c>
      <c r="AE131" s="207">
        <f t="shared" si="530"/>
        <v>213.67514820392643</v>
      </c>
      <c r="AF131" s="207">
        <f t="shared" si="530"/>
        <v>206.46182311071172</v>
      </c>
      <c r="AG131" s="239">
        <f t="shared" si="530"/>
        <v>815.14553092364213</v>
      </c>
      <c r="AH131" s="207">
        <f t="shared" si="530"/>
        <v>204.69869267635022</v>
      </c>
      <c r="AI131" s="207">
        <f t="shared" si="530"/>
        <v>204.12745097605074</v>
      </c>
      <c r="AJ131" s="207">
        <f t="shared" si="530"/>
        <v>221.32981812241559</v>
      </c>
      <c r="AK131" s="207">
        <f t="shared" si="530"/>
        <v>213.79002474089719</v>
      </c>
      <c r="AL131" s="239">
        <f t="shared" si="530"/>
        <v>843.9459865157138</v>
      </c>
      <c r="AM131" s="207">
        <f t="shared" ref="AM131:AQ131" si="531">AM119-AM129+AM130</f>
        <v>211.94260734463344</v>
      </c>
      <c r="AN131" s="207">
        <f t="shared" si="531"/>
        <v>211.32769699996004</v>
      </c>
      <c r="AO131" s="207">
        <f t="shared" si="531"/>
        <v>229.38940161168944</v>
      </c>
      <c r="AP131" s="207">
        <f t="shared" si="531"/>
        <v>221.47825423013046</v>
      </c>
      <c r="AQ131" s="239">
        <f t="shared" si="531"/>
        <v>874.13796018641324</v>
      </c>
    </row>
    <row r="132" spans="1:43" outlineLevel="1" x14ac:dyDescent="0.25">
      <c r="A132" s="254"/>
      <c r="B132" s="167" t="s">
        <v>176</v>
      </c>
      <c r="C132" s="144"/>
      <c r="D132" s="366">
        <f>+D131/D119</f>
        <v>0.34839476813317488</v>
      </c>
      <c r="E132" s="366">
        <f>+E131/E119</f>
        <v>0.33340797133900574</v>
      </c>
      <c r="F132" s="366">
        <f>+F131/F119</f>
        <v>0.34108381773860863</v>
      </c>
      <c r="G132" s="366">
        <f>+G131/G119</f>
        <v>0.37571344223578024</v>
      </c>
      <c r="H132" s="306">
        <f>H131/H119</f>
        <v>0.35004516711833789</v>
      </c>
      <c r="I132" s="366">
        <f t="shared" ref="I132:AL132" si="532">+I131/I119</f>
        <v>0.3548321876263647</v>
      </c>
      <c r="J132" s="366">
        <f t="shared" si="532"/>
        <v>0.36524754382585239</v>
      </c>
      <c r="K132" s="366">
        <f t="shared" si="532"/>
        <v>0.27766599597585523</v>
      </c>
      <c r="L132" s="208">
        <f t="shared" si="532"/>
        <v>0.42650862068965512</v>
      </c>
      <c r="M132" s="240">
        <f t="shared" si="532"/>
        <v>0.35698701298701285</v>
      </c>
      <c r="N132" s="208">
        <f t="shared" si="532"/>
        <v>0.48680667743672595</v>
      </c>
      <c r="O132" s="208">
        <f t="shared" si="532"/>
        <v>0.46661259799945926</v>
      </c>
      <c r="P132" s="208">
        <f t="shared" si="532"/>
        <v>0.52173913043478259</v>
      </c>
      <c r="Q132" s="208">
        <f t="shared" si="532"/>
        <v>0.47476061173594186</v>
      </c>
      <c r="R132" s="240">
        <f t="shared" si="532"/>
        <v>0.4882503312594686</v>
      </c>
      <c r="S132" s="208">
        <f t="shared" si="532"/>
        <v>0.46333089726486393</v>
      </c>
      <c r="T132" s="208">
        <f t="shared" si="532"/>
        <v>0.46519193893950661</v>
      </c>
      <c r="U132" s="208">
        <f t="shared" si="532"/>
        <v>0.45408681669867684</v>
      </c>
      <c r="V132" s="208">
        <f t="shared" si="532"/>
        <v>0.45938631857132672</v>
      </c>
      <c r="W132" s="240">
        <f t="shared" si="532"/>
        <v>0.46030149387822522</v>
      </c>
      <c r="X132" s="208">
        <f t="shared" si="532"/>
        <v>0.45799892441424506</v>
      </c>
      <c r="Y132" s="208">
        <f t="shared" si="532"/>
        <v>0.45935153218931329</v>
      </c>
      <c r="Z132" s="208">
        <f t="shared" si="532"/>
        <v>0.44456512409654358</v>
      </c>
      <c r="AA132" s="208">
        <f t="shared" si="532"/>
        <v>0.45047163139669733</v>
      </c>
      <c r="AB132" s="240">
        <f t="shared" si="532"/>
        <v>0.45281680424033738</v>
      </c>
      <c r="AC132" s="208">
        <f t="shared" si="532"/>
        <v>0.45127986156352085</v>
      </c>
      <c r="AD132" s="208">
        <f t="shared" si="532"/>
        <v>0.45202102962202306</v>
      </c>
      <c r="AE132" s="208">
        <f t="shared" si="532"/>
        <v>0.43746457269585792</v>
      </c>
      <c r="AF132" s="208">
        <f t="shared" si="532"/>
        <v>0.44336545005884964</v>
      </c>
      <c r="AG132" s="240">
        <f t="shared" si="532"/>
        <v>0.44575135204915561</v>
      </c>
      <c r="AH132" s="208">
        <f t="shared" si="532"/>
        <v>0.4449109412106465</v>
      </c>
      <c r="AI132" s="208">
        <f t="shared" si="532"/>
        <v>0.44546849781881798</v>
      </c>
      <c r="AJ132" s="208">
        <f t="shared" si="532"/>
        <v>0.43155832858403681</v>
      </c>
      <c r="AK132" s="208">
        <f t="shared" si="532"/>
        <v>0.43724034422859526</v>
      </c>
      <c r="AL132" s="240">
        <f t="shared" si="532"/>
        <v>0.43952427923202109</v>
      </c>
      <c r="AM132" s="208">
        <f t="shared" ref="AM132:AQ132" si="533">+AM131/AM119</f>
        <v>0.43871955308446309</v>
      </c>
      <c r="AN132" s="208">
        <f t="shared" si="533"/>
        <v>0.43922060541772801</v>
      </c>
      <c r="AO132" s="208">
        <f t="shared" si="533"/>
        <v>0.42597452243648709</v>
      </c>
      <c r="AP132" s="208">
        <f t="shared" si="533"/>
        <v>0.43139447883655213</v>
      </c>
      <c r="AQ132" s="240">
        <f t="shared" si="533"/>
        <v>0.43356967551295478</v>
      </c>
    </row>
    <row r="133" spans="1:43" ht="18" x14ac:dyDescent="0.4">
      <c r="A133" s="254"/>
      <c r="B133" s="565" t="s">
        <v>177</v>
      </c>
      <c r="C133" s="566"/>
      <c r="D133" s="32" t="s">
        <v>119</v>
      </c>
      <c r="E133" s="32" t="s">
        <v>243</v>
      </c>
      <c r="F133" s="32" t="s">
        <v>247</v>
      </c>
      <c r="G133" s="32" t="s">
        <v>257</v>
      </c>
      <c r="H133" s="86" t="s">
        <v>258</v>
      </c>
      <c r="I133" s="32" t="s">
        <v>259</v>
      </c>
      <c r="J133" s="32" t="s">
        <v>260</v>
      </c>
      <c r="K133" s="32" t="s">
        <v>261</v>
      </c>
      <c r="L133" s="32" t="s">
        <v>322</v>
      </c>
      <c r="M133" s="86" t="s">
        <v>333</v>
      </c>
      <c r="N133" s="32" t="s">
        <v>339</v>
      </c>
      <c r="O133" s="32" t="s">
        <v>347</v>
      </c>
      <c r="P133" s="32" t="s">
        <v>349</v>
      </c>
      <c r="Q133" s="30" t="s">
        <v>129</v>
      </c>
      <c r="R133" s="89" t="s">
        <v>130</v>
      </c>
      <c r="S133" s="30" t="s">
        <v>131</v>
      </c>
      <c r="T133" s="30" t="s">
        <v>132</v>
      </c>
      <c r="U133" s="30" t="s">
        <v>133</v>
      </c>
      <c r="V133" s="30" t="s">
        <v>134</v>
      </c>
      <c r="W133" s="89" t="s">
        <v>135</v>
      </c>
      <c r="X133" s="30" t="s">
        <v>136</v>
      </c>
      <c r="Y133" s="30" t="s">
        <v>137</v>
      </c>
      <c r="Z133" s="30" t="s">
        <v>138</v>
      </c>
      <c r="AA133" s="30" t="s">
        <v>139</v>
      </c>
      <c r="AB133" s="89" t="s">
        <v>140</v>
      </c>
      <c r="AC133" s="30" t="s">
        <v>252</v>
      </c>
      <c r="AD133" s="30" t="s">
        <v>253</v>
      </c>
      <c r="AE133" s="30" t="s">
        <v>254</v>
      </c>
      <c r="AF133" s="30" t="s">
        <v>255</v>
      </c>
      <c r="AG133" s="89" t="s">
        <v>256</v>
      </c>
      <c r="AH133" s="30" t="s">
        <v>285</v>
      </c>
      <c r="AI133" s="30" t="s">
        <v>286</v>
      </c>
      <c r="AJ133" s="30" t="s">
        <v>287</v>
      </c>
      <c r="AK133" s="30" t="s">
        <v>288</v>
      </c>
      <c r="AL133" s="89" t="s">
        <v>289</v>
      </c>
      <c r="AM133" s="30" t="s">
        <v>356</v>
      </c>
      <c r="AN133" s="30" t="s">
        <v>357</v>
      </c>
      <c r="AO133" s="30" t="s">
        <v>358</v>
      </c>
      <c r="AP133" s="30" t="s">
        <v>359</v>
      </c>
      <c r="AQ133" s="89" t="s">
        <v>360</v>
      </c>
    </row>
    <row r="134" spans="1:43" s="20" customFormat="1" outlineLevel="1" x14ac:dyDescent="0.25">
      <c r="A134" s="269"/>
      <c r="B134" s="595" t="s">
        <v>303</v>
      </c>
      <c r="C134" s="596"/>
      <c r="D134" s="169">
        <v>11.6</v>
      </c>
      <c r="E134" s="169">
        <v>15.8</v>
      </c>
      <c r="F134" s="169">
        <v>23.3</v>
      </c>
      <c r="G134" s="169">
        <v>15.4</v>
      </c>
      <c r="H134" s="59">
        <f>SUM(D134:G134)</f>
        <v>66.100000000000009</v>
      </c>
      <c r="I134" s="169">
        <v>20.5</v>
      </c>
      <c r="J134" s="169">
        <v>12</v>
      </c>
      <c r="K134" s="169">
        <v>19.7</v>
      </c>
      <c r="L134" s="169">
        <v>13.9</v>
      </c>
      <c r="M134" s="59">
        <f>SUM(I134:L134)</f>
        <v>66.100000000000009</v>
      </c>
      <c r="N134" s="169">
        <v>20.5</v>
      </c>
      <c r="O134" s="169">
        <v>22.6</v>
      </c>
      <c r="P134" s="169">
        <v>23.8</v>
      </c>
      <c r="Q134" s="169">
        <f t="shared" ref="Q134" si="534">+L134*(1+Q135)</f>
        <v>15.290000000000001</v>
      </c>
      <c r="R134" s="59">
        <f>SUM(N134:Q134)</f>
        <v>82.190000000000012</v>
      </c>
      <c r="S134" s="169">
        <f>+N134*(1+S135)</f>
        <v>22.55</v>
      </c>
      <c r="T134" s="169">
        <f>+O134*(1+T135)</f>
        <v>24.860000000000003</v>
      </c>
      <c r="U134" s="169">
        <f>+P134*(1+U135)</f>
        <v>26.180000000000003</v>
      </c>
      <c r="V134" s="169">
        <f t="shared" ref="V134" si="535">+Q134*(1+V135)</f>
        <v>16.819000000000003</v>
      </c>
      <c r="W134" s="59">
        <f>SUM(S134:V134)</f>
        <v>90.409000000000006</v>
      </c>
      <c r="X134" s="169">
        <f>+S134*(1+X135)</f>
        <v>24.805000000000003</v>
      </c>
      <c r="Y134" s="169">
        <f>+T134*(1+Y135)</f>
        <v>27.346000000000007</v>
      </c>
      <c r="Z134" s="169">
        <f>+U134*(1+Z135)</f>
        <v>28.798000000000005</v>
      </c>
      <c r="AA134" s="169">
        <f t="shared" ref="AA134" si="536">+V134*(1+AA135)</f>
        <v>18.500900000000005</v>
      </c>
      <c r="AB134" s="59">
        <f>SUM(X134:AA134)</f>
        <v>99.449900000000014</v>
      </c>
      <c r="AC134" s="169">
        <f>+X134*(1+AC135)</f>
        <v>27.285500000000006</v>
      </c>
      <c r="AD134" s="169">
        <f>+Y134*(1+AD135)</f>
        <v>30.080600000000011</v>
      </c>
      <c r="AE134" s="169">
        <f>+Z134*(1+AE135)</f>
        <v>31.677800000000008</v>
      </c>
      <c r="AF134" s="169">
        <f t="shared" ref="AF134" si="537">+AA134*(1+AF135)</f>
        <v>20.350990000000007</v>
      </c>
      <c r="AG134" s="59">
        <f>SUM(AC134:AF134)</f>
        <v>109.39489000000003</v>
      </c>
      <c r="AH134" s="169">
        <f>+AC134*(1+AH135)</f>
        <v>30.014050000000008</v>
      </c>
      <c r="AI134" s="169">
        <f>+AD134*(1+AI135)</f>
        <v>33.088660000000012</v>
      </c>
      <c r="AJ134" s="169">
        <f>+AE134*(1+AJ135)</f>
        <v>34.845580000000012</v>
      </c>
      <c r="AK134" s="169">
        <f t="shared" ref="AK134" si="538">+AF134*(1+AK135)</f>
        <v>22.386089000000009</v>
      </c>
      <c r="AL134" s="59">
        <f>SUM(AH134:AK134)</f>
        <v>120.33437900000004</v>
      </c>
      <c r="AM134" s="169">
        <f>+AH134*(1+AM135)</f>
        <v>33.01545500000001</v>
      </c>
      <c r="AN134" s="169">
        <f>+AI134*(1+AN135)</f>
        <v>36.397526000000013</v>
      </c>
      <c r="AO134" s="169">
        <f>+AJ134*(1+AO135)</f>
        <v>38.330138000000019</v>
      </c>
      <c r="AP134" s="169">
        <f t="shared" ref="AP134" si="539">+AK134*(1+AP135)</f>
        <v>24.624697900000012</v>
      </c>
      <c r="AQ134" s="59">
        <f>SUM(AM134:AP134)</f>
        <v>132.36781690000007</v>
      </c>
    </row>
    <row r="135" spans="1:43" s="20" customFormat="1" outlineLevel="1" x14ac:dyDescent="0.25">
      <c r="A135" s="269"/>
      <c r="B135" s="78" t="s">
        <v>304</v>
      </c>
      <c r="C135" s="395"/>
      <c r="D135" s="56"/>
      <c r="E135" s="56"/>
      <c r="F135" s="56"/>
      <c r="G135" s="285"/>
      <c r="H135" s="318"/>
      <c r="I135" s="285">
        <f t="shared" ref="I135:J135" si="540">I134/D134-1</f>
        <v>0.76724137931034497</v>
      </c>
      <c r="J135" s="285">
        <f t="shared" si="540"/>
        <v>-0.24050632911392411</v>
      </c>
      <c r="K135" s="285">
        <f>K134/F134-1</f>
        <v>-0.15450643776824036</v>
      </c>
      <c r="L135" s="285">
        <f>L134/G134-1</f>
        <v>-9.740259740259738E-2</v>
      </c>
      <c r="M135" s="311">
        <f>M134/H134-1</f>
        <v>0</v>
      </c>
      <c r="N135" s="285">
        <f t="shared" ref="N135" si="541">N134/I134-1</f>
        <v>0</v>
      </c>
      <c r="O135" s="285">
        <v>0.1</v>
      </c>
      <c r="P135" s="285">
        <v>0.1</v>
      </c>
      <c r="Q135" s="64">
        <v>0.1</v>
      </c>
      <c r="R135" s="311">
        <f>R134/M134-1</f>
        <v>0.2434190620272314</v>
      </c>
      <c r="S135" s="64">
        <v>0.1</v>
      </c>
      <c r="T135" s="64">
        <v>0.1</v>
      </c>
      <c r="U135" s="64">
        <f>AVERAGE(T135,S135,Q135,P135)</f>
        <v>0.1</v>
      </c>
      <c r="V135" s="64">
        <f>AVERAGE(U135,T135,S135,Q135)</f>
        <v>0.1</v>
      </c>
      <c r="W135" s="311">
        <f>W134/R134-1</f>
        <v>9.9999999999999867E-2</v>
      </c>
      <c r="X135" s="64">
        <f>AVERAGE(V135,U135,T135,S135)</f>
        <v>0.1</v>
      </c>
      <c r="Y135" s="64">
        <f>AVERAGE(X135,V135,U135,T135)</f>
        <v>0.1</v>
      </c>
      <c r="Z135" s="64">
        <f>AVERAGE(Y135,X135,V135,U135)</f>
        <v>0.1</v>
      </c>
      <c r="AA135" s="64">
        <f>AVERAGE(Z135,Y135,X135,V135)</f>
        <v>0.1</v>
      </c>
      <c r="AB135" s="311">
        <f>AB134/W134-1</f>
        <v>0.10000000000000009</v>
      </c>
      <c r="AC135" s="64">
        <f>AVERAGE(AA135,Z135,Y135,X135)</f>
        <v>0.1</v>
      </c>
      <c r="AD135" s="64">
        <f>AVERAGE(AC135,AA135,Z135,Y135)</f>
        <v>0.1</v>
      </c>
      <c r="AE135" s="64">
        <f>AVERAGE(AD135,AC135,AA135,Z135)</f>
        <v>0.1</v>
      </c>
      <c r="AF135" s="64">
        <f>AVERAGE(AE135,AD135,AC135,AA135)</f>
        <v>0.1</v>
      </c>
      <c r="AG135" s="311">
        <f>AG134/AB134-1</f>
        <v>0.10000000000000009</v>
      </c>
      <c r="AH135" s="64">
        <f>AVERAGE(AF135,AE135,AD135,AC135)</f>
        <v>0.1</v>
      </c>
      <c r="AI135" s="64">
        <f>AVERAGE(AH135,AF135,AE135,AD135)</f>
        <v>0.1</v>
      </c>
      <c r="AJ135" s="64">
        <f>AVERAGE(AI135,AH135,AF135,AE135)</f>
        <v>0.1</v>
      </c>
      <c r="AK135" s="64">
        <f>AVERAGE(AJ135,AI135,AH135,AF135)</f>
        <v>0.1</v>
      </c>
      <c r="AL135" s="311">
        <f>AL134/AG134-1</f>
        <v>0.10000000000000009</v>
      </c>
      <c r="AM135" s="64">
        <f>AVERAGE(AK135,AJ135,AI135,AH135)</f>
        <v>0.1</v>
      </c>
      <c r="AN135" s="64">
        <f>AVERAGE(AM135,AK135,AJ135,AI135)</f>
        <v>0.1</v>
      </c>
      <c r="AO135" s="64">
        <f>AVERAGE(AN135,AM135,AK135,AJ135)</f>
        <v>0.1</v>
      </c>
      <c r="AP135" s="64">
        <f>AVERAGE(AO135,AN135,AM135,AK135)</f>
        <v>0.1</v>
      </c>
      <c r="AQ135" s="311">
        <f>AQ134/AL134-1</f>
        <v>0.10000000000000009</v>
      </c>
    </row>
    <row r="136" spans="1:43" outlineLevel="1" x14ac:dyDescent="0.25">
      <c r="A136" s="254"/>
      <c r="B136" s="605" t="s">
        <v>262</v>
      </c>
      <c r="C136" s="606"/>
      <c r="D136" s="169">
        <v>13.4</v>
      </c>
      <c r="E136" s="169">
        <v>15.9</v>
      </c>
      <c r="F136" s="169">
        <v>22.4</v>
      </c>
      <c r="G136" s="261">
        <v>15.5</v>
      </c>
      <c r="H136" s="273"/>
      <c r="I136" s="261">
        <v>20.7</v>
      </c>
      <c r="J136" s="261">
        <v>10.199999999999999</v>
      </c>
      <c r="K136" s="261">
        <v>20.8</v>
      </c>
      <c r="L136" s="261">
        <v>11.6</v>
      </c>
      <c r="M136" s="59">
        <f>SUM(I136:L136)</f>
        <v>63.300000000000004</v>
      </c>
      <c r="N136" s="261">
        <v>19</v>
      </c>
      <c r="O136" s="261">
        <v>19.399999999999999</v>
      </c>
      <c r="P136" s="261">
        <v>19.8</v>
      </c>
      <c r="Q136" s="232">
        <f>AVERAGE(P136,O136,N136,L136)</f>
        <v>17.45</v>
      </c>
      <c r="R136" s="59">
        <f>SUM(N136:Q136)</f>
        <v>75.650000000000006</v>
      </c>
      <c r="S136" s="232">
        <f>AVERAGE(Q136,P136,O136,N136)</f>
        <v>18.912500000000001</v>
      </c>
      <c r="T136" s="232">
        <f>AVERAGE(S136,Q136,P136,O136)</f>
        <v>18.890625</v>
      </c>
      <c r="U136" s="232">
        <f>AVERAGE(T136,S136,Q136,P136)</f>
        <v>18.763281249999999</v>
      </c>
      <c r="V136" s="232">
        <f>AVERAGE(U136,T136,S136,Q136)</f>
        <v>18.504101562500001</v>
      </c>
      <c r="W136" s="59">
        <f>SUM(S136:V136)</f>
        <v>75.070507812499997</v>
      </c>
      <c r="X136" s="232">
        <f>AVERAGE(V136,U136,T136,S136)</f>
        <v>18.767626953125003</v>
      </c>
      <c r="Y136" s="232">
        <f>AVERAGE(X136,V136,U136,T136)</f>
        <v>18.731408691406251</v>
      </c>
      <c r="Z136" s="232">
        <f>AVERAGE(Y136,X136,V136,U136)</f>
        <v>18.691604614257813</v>
      </c>
      <c r="AA136" s="232">
        <f>AVERAGE(Z136,Y136,X136,V136)</f>
        <v>18.673685455322268</v>
      </c>
      <c r="AB136" s="59">
        <f>SUM(X136:AA136)</f>
        <v>74.864325714111331</v>
      </c>
      <c r="AC136" s="232">
        <f>AVERAGE(AA136,Z136,Y136,X136)</f>
        <v>18.716081428527836</v>
      </c>
      <c r="AD136" s="232">
        <f>AVERAGE(AC136,AA136,Z136,Y136)</f>
        <v>18.703195047378543</v>
      </c>
      <c r="AE136" s="232">
        <f>AVERAGE(AD136,AC136,AA136,Z136)</f>
        <v>18.696141636371614</v>
      </c>
      <c r="AF136" s="232">
        <f>AVERAGE(AE136,AD136,AC136,AA136)</f>
        <v>18.697275891900066</v>
      </c>
      <c r="AG136" s="59">
        <f>SUM(AC136:AF136)</f>
        <v>74.812694004178056</v>
      </c>
      <c r="AH136" s="232">
        <f>AVERAGE(AF136,AE136,AD136,AC136)</f>
        <v>18.703173501044517</v>
      </c>
      <c r="AI136" s="232">
        <f>AVERAGE(AH136,AF136,AE136,AD136)</f>
        <v>18.699946519173686</v>
      </c>
      <c r="AJ136" s="232">
        <f>AVERAGE(AI136,AH136,AF136,AE136)</f>
        <v>18.69913438712247</v>
      </c>
      <c r="AK136" s="232">
        <f>AVERAGE(AJ136,AI136,AH136,AF136)</f>
        <v>18.699882574810186</v>
      </c>
      <c r="AL136" s="59">
        <f>SUM(AH136:AK136)</f>
        <v>74.802136982150856</v>
      </c>
      <c r="AM136" s="232">
        <f>AVERAGE(AK136,AJ136,AI136,AH136)</f>
        <v>18.700534245537717</v>
      </c>
      <c r="AN136" s="232">
        <f>AVERAGE(AM136,AK136,AJ136,AI136)</f>
        <v>18.699874431661016</v>
      </c>
      <c r="AO136" s="232">
        <f>AVERAGE(AN136,AM136,AK136,AJ136)</f>
        <v>18.699856409782846</v>
      </c>
      <c r="AP136" s="232">
        <f>AVERAGE(AO136,AN136,AM136,AK136)</f>
        <v>18.700036915447942</v>
      </c>
      <c r="AQ136" s="59">
        <f>SUM(AM136:AP136)</f>
        <v>74.800302002429518</v>
      </c>
    </row>
    <row r="137" spans="1:43" outlineLevel="1" x14ac:dyDescent="0.25">
      <c r="A137" s="254"/>
      <c r="B137" s="408" t="s">
        <v>142</v>
      </c>
      <c r="C137" s="36"/>
      <c r="D137" s="169">
        <v>3.2</v>
      </c>
      <c r="E137" s="169">
        <v>4.3</v>
      </c>
      <c r="F137" s="169">
        <v>5.8</v>
      </c>
      <c r="G137" s="261">
        <f>5.2+0.1</f>
        <v>5.3</v>
      </c>
      <c r="H137" s="273"/>
      <c r="I137" s="261">
        <v>2.8</v>
      </c>
      <c r="J137" s="261">
        <v>3.7</v>
      </c>
      <c r="K137" s="261">
        <v>4</v>
      </c>
      <c r="L137" s="261">
        <v>3.4</v>
      </c>
      <c r="M137" s="59">
        <f t="shared" ref="M137:M140" si="542">SUM(I137:L137)</f>
        <v>13.9</v>
      </c>
      <c r="N137" s="261">
        <v>3.6</v>
      </c>
      <c r="O137" s="261">
        <v>3.4</v>
      </c>
      <c r="P137" s="261">
        <v>3.3</v>
      </c>
      <c r="Q137" s="232">
        <f t="shared" ref="Q137" si="543">AVERAGE(P137,O137,N137,L137)</f>
        <v>3.4249999999999998</v>
      </c>
      <c r="R137" s="59">
        <f t="shared" ref="R137:R140" si="544">SUM(N137:Q137)</f>
        <v>13.725000000000001</v>
      </c>
      <c r="S137" s="232">
        <f t="shared" ref="S137" si="545">AVERAGE(Q137,P137,O137,N137)</f>
        <v>3.4312499999999999</v>
      </c>
      <c r="T137" s="232">
        <f t="shared" ref="T137" si="546">AVERAGE(S137,Q137,P137,O137)</f>
        <v>3.3890625000000001</v>
      </c>
      <c r="U137" s="232">
        <f t="shared" ref="U137" si="547">AVERAGE(T137,S137,Q137,P137)</f>
        <v>3.3863281250000004</v>
      </c>
      <c r="V137" s="232">
        <f t="shared" ref="V137" si="548">AVERAGE(U137,T137,S137,Q137)</f>
        <v>3.4079101562499998</v>
      </c>
      <c r="W137" s="59">
        <f t="shared" ref="W137:W140" si="549">SUM(S137:V137)</f>
        <v>13.614550781249999</v>
      </c>
      <c r="X137" s="232">
        <f t="shared" ref="X137" si="550">AVERAGE(V137,U137,T137,S137)</f>
        <v>3.4036376953125003</v>
      </c>
      <c r="Y137" s="232">
        <f t="shared" ref="Y137" si="551">AVERAGE(X137,V137,U137,T137)</f>
        <v>3.3967346191406249</v>
      </c>
      <c r="Z137" s="232">
        <f t="shared" ref="Z137" si="552">AVERAGE(Y137,X137,V137,U137)</f>
        <v>3.3986526489257813</v>
      </c>
      <c r="AA137" s="232">
        <f t="shared" ref="AA137" si="553">AVERAGE(Z137,Y137,X137,V137)</f>
        <v>3.4017337799072269</v>
      </c>
      <c r="AB137" s="59">
        <f t="shared" ref="AB137:AB140" si="554">SUM(X137:AA137)</f>
        <v>13.600758743286134</v>
      </c>
      <c r="AC137" s="232">
        <f t="shared" ref="AC137" si="555">AVERAGE(AA137,Z137,Y137,X137)</f>
        <v>3.4001896858215335</v>
      </c>
      <c r="AD137" s="232">
        <f t="shared" ref="AD137" si="556">AVERAGE(AC137,AA137,Z137,Y137)</f>
        <v>3.3993276834487918</v>
      </c>
      <c r="AE137" s="232">
        <f t="shared" ref="AE137" si="557">AVERAGE(AD137,AC137,AA137,Z137)</f>
        <v>3.399975949525833</v>
      </c>
      <c r="AF137" s="232">
        <f t="shared" ref="AF137" si="558">AVERAGE(AE137,AD137,AC137,AA137)</f>
        <v>3.4003067746758462</v>
      </c>
      <c r="AG137" s="59">
        <f t="shared" ref="AG137:AG140" si="559">SUM(AC137:AF137)</f>
        <v>13.599800093472004</v>
      </c>
      <c r="AH137" s="232">
        <f t="shared" ref="AH137" si="560">AVERAGE(AF137,AE137,AD137,AC137)</f>
        <v>3.3999500233680013</v>
      </c>
      <c r="AI137" s="232">
        <f t="shared" ref="AI137" si="561">AVERAGE(AH137,AF137,AE137,AD137)</f>
        <v>3.3998901077546182</v>
      </c>
      <c r="AJ137" s="232">
        <f t="shared" ref="AJ137" si="562">AVERAGE(AI137,AH137,AF137,AE137)</f>
        <v>3.4000307138310748</v>
      </c>
      <c r="AK137" s="232">
        <f t="shared" ref="AK137" si="563">AVERAGE(AJ137,AI137,AH137,AF137)</f>
        <v>3.4000444049073848</v>
      </c>
      <c r="AL137" s="59">
        <f t="shared" ref="AL137:AL140" si="564">SUM(AH137:AK137)</f>
        <v>13.59991524986108</v>
      </c>
      <c r="AM137" s="232">
        <f t="shared" ref="AM137" si="565">AVERAGE(AK137,AJ137,AI137,AH137)</f>
        <v>3.3999788124652697</v>
      </c>
      <c r="AN137" s="232">
        <f t="shared" ref="AN137" si="566">AVERAGE(AM137,AK137,AJ137,AI137)</f>
        <v>3.3999860097395871</v>
      </c>
      <c r="AO137" s="232">
        <f t="shared" ref="AO137" si="567">AVERAGE(AN137,AM137,AK137,AJ137)</f>
        <v>3.4000099852358292</v>
      </c>
      <c r="AP137" s="232">
        <f t="shared" ref="AP137" si="568">AVERAGE(AO137,AN137,AM137,AK137)</f>
        <v>3.4000048030870178</v>
      </c>
      <c r="AQ137" s="59">
        <f t="shared" ref="AQ137:AQ140" si="569">SUM(AM137:AP137)</f>
        <v>13.599979610527704</v>
      </c>
    </row>
    <row r="138" spans="1:43" outlineLevel="1" x14ac:dyDescent="0.25">
      <c r="A138" s="254"/>
      <c r="B138" s="408" t="s">
        <v>143</v>
      </c>
      <c r="C138" s="36"/>
      <c r="D138" s="205">
        <v>39.5</v>
      </c>
      <c r="E138" s="205">
        <v>40.5</v>
      </c>
      <c r="F138" s="205">
        <v>39.6</v>
      </c>
      <c r="G138" s="287">
        <v>37.299999999999997</v>
      </c>
      <c r="H138" s="318"/>
      <c r="I138" s="287">
        <v>34.9</v>
      </c>
      <c r="J138" s="287">
        <v>34.5</v>
      </c>
      <c r="K138" s="287">
        <v>40.9</v>
      </c>
      <c r="L138" s="287">
        <v>39.5</v>
      </c>
      <c r="M138" s="59">
        <f t="shared" si="542"/>
        <v>149.80000000000001</v>
      </c>
      <c r="N138" s="287">
        <v>37</v>
      </c>
      <c r="O138" s="287">
        <v>37</v>
      </c>
      <c r="P138" s="287">
        <v>35.5</v>
      </c>
      <c r="Q138" s="205">
        <f>(P138/(P75+P110+P125+P138))*Q245</f>
        <v>37.964604992331871</v>
      </c>
      <c r="R138" s="59">
        <f t="shared" si="544"/>
        <v>147.46460499233189</v>
      </c>
      <c r="S138" s="205">
        <f>(Q138/(Q75+Q110+Q125+Q138))*S245</f>
        <v>40.213735534171988</v>
      </c>
      <c r="T138" s="205">
        <f>(S138/(S75+S110+S125+S138))*T245</f>
        <v>40.628560317815634</v>
      </c>
      <c r="U138" s="205">
        <f>(T138/(T75+T110+T125+T138))*U245</f>
        <v>40.885096267098568</v>
      </c>
      <c r="V138" s="205">
        <f>(U138/(U75+U110+U125+U138))*V245</f>
        <v>41.678244134097447</v>
      </c>
      <c r="W138" s="59">
        <f t="shared" si="549"/>
        <v>163.40563625318362</v>
      </c>
      <c r="X138" s="205">
        <f>(V138/(V75+V110+V125+V138))*X245</f>
        <v>42.254417684996163</v>
      </c>
      <c r="Y138" s="205">
        <f>(X138/(X75+X110+X125+X138))*Y245</f>
        <v>42.598137821574838</v>
      </c>
      <c r="Z138" s="205">
        <f>(Y138/(Y75+Y110+Y125+Y138))*Z245</f>
        <v>42.878577217591101</v>
      </c>
      <c r="AA138" s="205">
        <f>(Z138/(Z75+Z110+Z125+Z138))*AA245</f>
        <v>43.471266258400554</v>
      </c>
      <c r="AB138" s="59">
        <f t="shared" si="554"/>
        <v>171.20239898256267</v>
      </c>
      <c r="AC138" s="205">
        <f>(AA138/(AA75+AA110+AA125+AA138))*AC245</f>
        <v>43.905991948238118</v>
      </c>
      <c r="AD138" s="205">
        <f>(AC138/(AC75+AC110+AC125+AC138))*AD245</f>
        <v>44.119007329762539</v>
      </c>
      <c r="AE138" s="205">
        <f>(AD138/(AD75+AD110+AD125+AD138))*AE245</f>
        <v>44.274283329221262</v>
      </c>
      <c r="AF138" s="205">
        <f>(AE138/(AE75+AE110+AE125+AE138))*AF245</f>
        <v>44.721940237555664</v>
      </c>
      <c r="AG138" s="59">
        <f t="shared" si="559"/>
        <v>177.02122284477758</v>
      </c>
      <c r="AH138" s="205">
        <f>(AF138/(AF75+AF110+AF125+AF138))*AH245</f>
        <v>45.218657428835556</v>
      </c>
      <c r="AI138" s="205">
        <f>(AH138/(AH75+AH110+AH125+AH138))*AI245</f>
        <v>45.602395773500312</v>
      </c>
      <c r="AJ138" s="205">
        <f>(AI138/(AI75+AI110+AI125+AI138))*AJ245</f>
        <v>45.909315135878998</v>
      </c>
      <c r="AK138" s="205">
        <f>(AJ138/(AJ75+AJ110+AJ125+AJ138))*AK245</f>
        <v>46.520146254179302</v>
      </c>
      <c r="AL138" s="59">
        <f t="shared" si="564"/>
        <v>183.25051459239418</v>
      </c>
      <c r="AM138" s="205">
        <f>(AK138/(AK75+AK110+AK125+AK138))*AM245</f>
        <v>47.146261995298836</v>
      </c>
      <c r="AN138" s="205">
        <f>(AM138/(AM75+AM110+AM125+AM138))*AN245</f>
        <v>47.672196778110951</v>
      </c>
      <c r="AO138" s="205">
        <f>(AN138/(AN75+AN110+AN125+AN138))*AO245</f>
        <v>48.103436627346049</v>
      </c>
      <c r="AP138" s="205">
        <f>(AO138/(AO75+AO110+AO125+AO138))*AP245</f>
        <v>48.848053393344969</v>
      </c>
      <c r="AQ138" s="59">
        <f t="shared" si="569"/>
        <v>191.7699487941008</v>
      </c>
    </row>
    <row r="139" spans="1:43" outlineLevel="1" x14ac:dyDescent="0.25">
      <c r="A139" s="254"/>
      <c r="B139" s="408" t="s">
        <v>144</v>
      </c>
      <c r="C139" s="36"/>
      <c r="D139" s="169">
        <v>300.39999999999998</v>
      </c>
      <c r="E139" s="169">
        <v>303.89999999999998</v>
      </c>
      <c r="F139" s="169">
        <v>299</v>
      </c>
      <c r="G139" s="261">
        <v>267.39999999999998</v>
      </c>
      <c r="H139" s="273"/>
      <c r="I139" s="261">
        <v>292.2</v>
      </c>
      <c r="J139" s="261">
        <v>271.60000000000002</v>
      </c>
      <c r="K139" s="261">
        <v>269.10000000000002</v>
      </c>
      <c r="L139" s="261">
        <v>288.8</v>
      </c>
      <c r="M139" s="59">
        <f t="shared" si="542"/>
        <v>1121.7</v>
      </c>
      <c r="N139" s="261">
        <v>316.5</v>
      </c>
      <c r="O139" s="261">
        <v>304.60000000000002</v>
      </c>
      <c r="P139" s="261">
        <v>326.5</v>
      </c>
      <c r="Q139" s="232">
        <f>AVERAGE(P139,O139,N139,L139)-20</f>
        <v>289.10000000000002</v>
      </c>
      <c r="R139" s="59">
        <f t="shared" si="544"/>
        <v>1236.7</v>
      </c>
      <c r="S139" s="232">
        <f t="shared" ref="S139:S140" si="570">AVERAGE(Q139,P139,O139,N139)</f>
        <v>309.17500000000001</v>
      </c>
      <c r="T139" s="232">
        <f t="shared" ref="T139:T140" si="571">AVERAGE(S139,Q139,P139,O139)</f>
        <v>307.34375</v>
      </c>
      <c r="U139" s="232">
        <f t="shared" ref="U139:U140" si="572">AVERAGE(T139,S139,Q139,P139)</f>
        <v>308.02968750000002</v>
      </c>
      <c r="V139" s="232">
        <f t="shared" ref="V139:V140" si="573">AVERAGE(U139,T139,S139,Q139)</f>
        <v>303.412109375</v>
      </c>
      <c r="W139" s="59">
        <f t="shared" si="549"/>
        <v>1227.9605468750001</v>
      </c>
      <c r="X139" s="232">
        <f t="shared" ref="X139:X140" si="574">AVERAGE(V139,U139,T139,S139)</f>
        <v>306.99013671875002</v>
      </c>
      <c r="Y139" s="232">
        <f t="shared" ref="Y139:Y140" si="575">AVERAGE(X139,V139,U139,T139)</f>
        <v>306.44392089843751</v>
      </c>
      <c r="Z139" s="232">
        <f t="shared" ref="Z139:Z140" si="576">AVERAGE(Y139,X139,V139,U139)</f>
        <v>306.21896362304688</v>
      </c>
      <c r="AA139" s="232">
        <f t="shared" ref="AA139:AA140" si="577">AVERAGE(Z139,Y139,X139,V139)</f>
        <v>305.76628265380862</v>
      </c>
      <c r="AB139" s="59">
        <f t="shared" si="554"/>
        <v>1225.419303894043</v>
      </c>
      <c r="AC139" s="232">
        <f t="shared" ref="AC139:AC140" si="578">AVERAGE(AA139,Z139,Y139,X139)</f>
        <v>306.35482597351074</v>
      </c>
      <c r="AD139" s="232">
        <f t="shared" ref="AD139:AD140" si="579">AVERAGE(AC139,AA139,Z139,Y139)</f>
        <v>306.19599828720095</v>
      </c>
      <c r="AE139" s="232">
        <f t="shared" ref="AE139:AE140" si="580">AVERAGE(AD139,AC139,AA139,Z139)</f>
        <v>306.1340176343918</v>
      </c>
      <c r="AF139" s="232">
        <f t="shared" ref="AF139:AF140" si="581">AVERAGE(AE139,AD139,AC139,AA139)</f>
        <v>306.11278113722801</v>
      </c>
      <c r="AG139" s="59">
        <f t="shared" si="559"/>
        <v>1224.7976230323316</v>
      </c>
      <c r="AH139" s="232">
        <f t="shared" ref="AH139:AH140" si="582">AVERAGE(AF139,AE139,AD139,AC139)</f>
        <v>306.19940575808289</v>
      </c>
      <c r="AI139" s="232">
        <f t="shared" ref="AI139:AI140" si="583">AVERAGE(AH139,AF139,AE139,AD139)</f>
        <v>306.1605507042259</v>
      </c>
      <c r="AJ139" s="232">
        <f t="shared" ref="AJ139:AJ140" si="584">AVERAGE(AI139,AH139,AF139,AE139)</f>
        <v>306.15168880848216</v>
      </c>
      <c r="AK139" s="232">
        <f t="shared" ref="AK139:AK140" si="585">AVERAGE(AJ139,AI139,AH139,AF139)</f>
        <v>306.15610660200474</v>
      </c>
      <c r="AL139" s="59">
        <f t="shared" si="564"/>
        <v>1224.6677518727956</v>
      </c>
      <c r="AM139" s="232">
        <f t="shared" ref="AM139:AM140" si="586">AVERAGE(AK139,AJ139,AI139,AH139)</f>
        <v>306.16693796819891</v>
      </c>
      <c r="AN139" s="232">
        <f t="shared" ref="AN139:AN140" si="587">AVERAGE(AM139,AK139,AJ139,AI139)</f>
        <v>306.15882102072794</v>
      </c>
      <c r="AO139" s="232">
        <f t="shared" ref="AO139:AO140" si="588">AVERAGE(AN139,AM139,AK139,AJ139)</f>
        <v>306.15838859985342</v>
      </c>
      <c r="AP139" s="232">
        <f t="shared" ref="AP139:AP140" si="589">AVERAGE(AO139,AN139,AM139,AK139)</f>
        <v>306.16006354769627</v>
      </c>
      <c r="AQ139" s="59">
        <f t="shared" si="569"/>
        <v>1224.6442111364765</v>
      </c>
    </row>
    <row r="140" spans="1:43" ht="17.25" outlineLevel="1" x14ac:dyDescent="0.4">
      <c r="A140" s="254"/>
      <c r="B140" s="408" t="s">
        <v>152</v>
      </c>
      <c r="C140" s="36"/>
      <c r="D140" s="288">
        <v>13.9</v>
      </c>
      <c r="E140" s="288">
        <v>0.6</v>
      </c>
      <c r="F140" s="288">
        <v>6</v>
      </c>
      <c r="G140" s="288">
        <v>-0.9</v>
      </c>
      <c r="H140" s="319"/>
      <c r="I140" s="288">
        <v>0.3</v>
      </c>
      <c r="J140" s="288">
        <v>0</v>
      </c>
      <c r="K140" s="288">
        <v>22.1</v>
      </c>
      <c r="L140" s="288">
        <v>0</v>
      </c>
      <c r="M140" s="481">
        <f t="shared" si="542"/>
        <v>22.400000000000002</v>
      </c>
      <c r="N140" s="288">
        <v>0</v>
      </c>
      <c r="O140" s="288">
        <v>0</v>
      </c>
      <c r="P140" s="288">
        <v>0</v>
      </c>
      <c r="Q140" s="292">
        <f t="shared" ref="Q140" si="590">AVERAGE(P140,O140,N140,L140)</f>
        <v>0</v>
      </c>
      <c r="R140" s="481">
        <f t="shared" si="544"/>
        <v>0</v>
      </c>
      <c r="S140" s="292">
        <f t="shared" si="570"/>
        <v>0</v>
      </c>
      <c r="T140" s="292">
        <f t="shared" si="571"/>
        <v>0</v>
      </c>
      <c r="U140" s="292">
        <f t="shared" si="572"/>
        <v>0</v>
      </c>
      <c r="V140" s="292">
        <f t="shared" si="573"/>
        <v>0</v>
      </c>
      <c r="W140" s="481">
        <f t="shared" si="549"/>
        <v>0</v>
      </c>
      <c r="X140" s="292">
        <f t="shared" si="574"/>
        <v>0</v>
      </c>
      <c r="Y140" s="292">
        <f t="shared" si="575"/>
        <v>0</v>
      </c>
      <c r="Z140" s="292">
        <f t="shared" si="576"/>
        <v>0</v>
      </c>
      <c r="AA140" s="292">
        <f t="shared" si="577"/>
        <v>0</v>
      </c>
      <c r="AB140" s="481">
        <f t="shared" si="554"/>
        <v>0</v>
      </c>
      <c r="AC140" s="292">
        <f t="shared" si="578"/>
        <v>0</v>
      </c>
      <c r="AD140" s="292">
        <f t="shared" si="579"/>
        <v>0</v>
      </c>
      <c r="AE140" s="292">
        <f t="shared" si="580"/>
        <v>0</v>
      </c>
      <c r="AF140" s="292">
        <f t="shared" si="581"/>
        <v>0</v>
      </c>
      <c r="AG140" s="481">
        <f t="shared" si="559"/>
        <v>0</v>
      </c>
      <c r="AH140" s="292">
        <f t="shared" si="582"/>
        <v>0</v>
      </c>
      <c r="AI140" s="292">
        <f t="shared" si="583"/>
        <v>0</v>
      </c>
      <c r="AJ140" s="292">
        <f t="shared" si="584"/>
        <v>0</v>
      </c>
      <c r="AK140" s="292">
        <f t="shared" si="585"/>
        <v>0</v>
      </c>
      <c r="AL140" s="481">
        <f t="shared" si="564"/>
        <v>0</v>
      </c>
      <c r="AM140" s="292">
        <f t="shared" si="586"/>
        <v>0</v>
      </c>
      <c r="AN140" s="292">
        <f t="shared" si="587"/>
        <v>0</v>
      </c>
      <c r="AO140" s="292">
        <f t="shared" si="588"/>
        <v>0</v>
      </c>
      <c r="AP140" s="292">
        <f t="shared" si="589"/>
        <v>0</v>
      </c>
      <c r="AQ140" s="481">
        <f t="shared" si="569"/>
        <v>0</v>
      </c>
    </row>
    <row r="141" spans="1:43" outlineLevel="1" x14ac:dyDescent="0.25">
      <c r="A141" s="254"/>
      <c r="B141" s="167" t="s">
        <v>178</v>
      </c>
      <c r="C141" s="39"/>
      <c r="D141" s="259">
        <f>SUM(D136:D140)</f>
        <v>370.4</v>
      </c>
      <c r="E141" s="259">
        <f>SUM(E136:E140)</f>
        <v>365.2</v>
      </c>
      <c r="F141" s="259">
        <f>SUM(F136:F140)</f>
        <v>372.8</v>
      </c>
      <c r="G141" s="259">
        <f>SUM(G136:G140)</f>
        <v>324.60000000000002</v>
      </c>
      <c r="H141" s="318"/>
      <c r="I141" s="259">
        <f t="shared" ref="I141:AL141" si="591">SUM(I136:I140)</f>
        <v>350.9</v>
      </c>
      <c r="J141" s="259">
        <f t="shared" si="591"/>
        <v>320</v>
      </c>
      <c r="K141" s="259">
        <f t="shared" si="591"/>
        <v>356.90000000000003</v>
      </c>
      <c r="L141" s="171">
        <f t="shared" si="591"/>
        <v>343.3</v>
      </c>
      <c r="M141" s="172">
        <f t="shared" si="591"/>
        <v>1371.1000000000001</v>
      </c>
      <c r="N141" s="171">
        <f t="shared" si="591"/>
        <v>376.1</v>
      </c>
      <c r="O141" s="171">
        <f t="shared" si="591"/>
        <v>364.40000000000003</v>
      </c>
      <c r="P141" s="171">
        <f t="shared" si="591"/>
        <v>385.1</v>
      </c>
      <c r="Q141" s="171">
        <f t="shared" si="591"/>
        <v>347.93960499233191</v>
      </c>
      <c r="R141" s="172">
        <f t="shared" si="591"/>
        <v>1473.539604992332</v>
      </c>
      <c r="S141" s="171">
        <f t="shared" si="591"/>
        <v>371.73248553417199</v>
      </c>
      <c r="T141" s="171">
        <f t="shared" si="591"/>
        <v>370.25199781781566</v>
      </c>
      <c r="U141" s="171">
        <f t="shared" si="591"/>
        <v>371.0643931420986</v>
      </c>
      <c r="V141" s="171">
        <f t="shared" si="591"/>
        <v>367.00236522784746</v>
      </c>
      <c r="W141" s="172">
        <f t="shared" si="591"/>
        <v>1480.0512417219338</v>
      </c>
      <c r="X141" s="171">
        <f t="shared" si="591"/>
        <v>371.41581905218368</v>
      </c>
      <c r="Y141" s="171">
        <f t="shared" si="591"/>
        <v>371.17020203055921</v>
      </c>
      <c r="Z141" s="171">
        <f t="shared" si="591"/>
        <v>371.18779810382159</v>
      </c>
      <c r="AA141" s="171">
        <f t="shared" si="591"/>
        <v>371.31296814743865</v>
      </c>
      <c r="AB141" s="172">
        <f t="shared" si="591"/>
        <v>1485.086787334003</v>
      </c>
      <c r="AC141" s="171">
        <f t="shared" si="591"/>
        <v>372.37708903609825</v>
      </c>
      <c r="AD141" s="171">
        <f t="shared" si="591"/>
        <v>372.41752834779084</v>
      </c>
      <c r="AE141" s="171">
        <f t="shared" si="591"/>
        <v>372.50441854951049</v>
      </c>
      <c r="AF141" s="171">
        <f t="shared" si="591"/>
        <v>372.9323040413596</v>
      </c>
      <c r="AG141" s="172">
        <f t="shared" si="591"/>
        <v>1490.2313399747591</v>
      </c>
      <c r="AH141" s="171">
        <f t="shared" si="591"/>
        <v>373.52118671133098</v>
      </c>
      <c r="AI141" s="171">
        <f t="shared" si="591"/>
        <v>373.86278310465451</v>
      </c>
      <c r="AJ141" s="171">
        <f t="shared" si="591"/>
        <v>374.16016904531472</v>
      </c>
      <c r="AK141" s="171">
        <f t="shared" si="591"/>
        <v>374.77617983590164</v>
      </c>
      <c r="AL141" s="172">
        <f t="shared" si="591"/>
        <v>1496.3203186972019</v>
      </c>
      <c r="AM141" s="171">
        <f t="shared" ref="AM141:AQ141" si="592">SUM(AM136:AM140)</f>
        <v>375.41371302150071</v>
      </c>
      <c r="AN141" s="171">
        <f t="shared" si="592"/>
        <v>375.93087824023951</v>
      </c>
      <c r="AO141" s="171">
        <f t="shared" si="592"/>
        <v>376.36169162221813</v>
      </c>
      <c r="AP141" s="171">
        <f t="shared" si="592"/>
        <v>377.10815865957619</v>
      </c>
      <c r="AQ141" s="172">
        <f t="shared" si="592"/>
        <v>1504.8144415435345</v>
      </c>
    </row>
    <row r="142" spans="1:43" outlineLevel="1" x14ac:dyDescent="0.25">
      <c r="A142" s="254"/>
      <c r="B142" s="167" t="s">
        <v>179</v>
      </c>
      <c r="C142" s="144"/>
      <c r="D142" s="365">
        <f>D134-D141</f>
        <v>-358.79999999999995</v>
      </c>
      <c r="E142" s="365">
        <f>E134-E141</f>
        <v>-349.4</v>
      </c>
      <c r="F142" s="365">
        <f>F134-F141</f>
        <v>-349.5</v>
      </c>
      <c r="G142" s="365">
        <f>G134-G141</f>
        <v>-309.20000000000005</v>
      </c>
      <c r="H142" s="367"/>
      <c r="I142" s="365">
        <f t="shared" ref="I142:AL142" si="593">I134-I141</f>
        <v>-330.4</v>
      </c>
      <c r="J142" s="365">
        <f t="shared" si="593"/>
        <v>-308</v>
      </c>
      <c r="K142" s="365">
        <f t="shared" si="593"/>
        <v>-337.20000000000005</v>
      </c>
      <c r="L142" s="207">
        <f t="shared" si="593"/>
        <v>-329.40000000000003</v>
      </c>
      <c r="M142" s="482">
        <f t="shared" si="593"/>
        <v>-1305.0000000000002</v>
      </c>
      <c r="N142" s="207">
        <f t="shared" si="593"/>
        <v>-355.6</v>
      </c>
      <c r="O142" s="207">
        <f t="shared" si="593"/>
        <v>-341.8</v>
      </c>
      <c r="P142" s="207">
        <f t="shared" si="593"/>
        <v>-361.3</v>
      </c>
      <c r="Q142" s="207">
        <f t="shared" si="593"/>
        <v>-332.64960499233189</v>
      </c>
      <c r="R142" s="482">
        <f t="shared" si="593"/>
        <v>-1391.3496049923319</v>
      </c>
      <c r="S142" s="207">
        <f t="shared" si="593"/>
        <v>-349.18248553417197</v>
      </c>
      <c r="T142" s="207">
        <f t="shared" si="593"/>
        <v>-345.39199781781565</v>
      </c>
      <c r="U142" s="207">
        <f t="shared" si="593"/>
        <v>-344.88439314209859</v>
      </c>
      <c r="V142" s="207">
        <f t="shared" si="593"/>
        <v>-350.18336522784745</v>
      </c>
      <c r="W142" s="482">
        <f t="shared" si="593"/>
        <v>-1389.6422417219337</v>
      </c>
      <c r="X142" s="207">
        <f t="shared" si="593"/>
        <v>-346.61081905218367</v>
      </c>
      <c r="Y142" s="207">
        <f t="shared" si="593"/>
        <v>-343.82420203055921</v>
      </c>
      <c r="Z142" s="207">
        <f t="shared" si="593"/>
        <v>-342.38979810382159</v>
      </c>
      <c r="AA142" s="207">
        <f t="shared" si="593"/>
        <v>-352.81206814743865</v>
      </c>
      <c r="AB142" s="482">
        <f t="shared" si="593"/>
        <v>-1385.6368873340029</v>
      </c>
      <c r="AC142" s="207">
        <f t="shared" si="593"/>
        <v>-345.09158903609824</v>
      </c>
      <c r="AD142" s="207">
        <f t="shared" si="593"/>
        <v>-342.33692834779083</v>
      </c>
      <c r="AE142" s="207">
        <f t="shared" si="593"/>
        <v>-340.8266185495105</v>
      </c>
      <c r="AF142" s="207">
        <f t="shared" si="593"/>
        <v>-352.58131404135958</v>
      </c>
      <c r="AG142" s="482">
        <f t="shared" si="593"/>
        <v>-1380.836449974759</v>
      </c>
      <c r="AH142" s="207">
        <f t="shared" si="593"/>
        <v>-343.50713671133099</v>
      </c>
      <c r="AI142" s="207">
        <f t="shared" si="593"/>
        <v>-340.77412310465451</v>
      </c>
      <c r="AJ142" s="207">
        <f t="shared" si="593"/>
        <v>-339.31458904531473</v>
      </c>
      <c r="AK142" s="207">
        <f t="shared" si="593"/>
        <v>-352.39009083590162</v>
      </c>
      <c r="AL142" s="482">
        <f t="shared" si="593"/>
        <v>-1375.9859396972017</v>
      </c>
      <c r="AM142" s="207">
        <f t="shared" ref="AM142:AQ142" si="594">AM134-AM141</f>
        <v>-342.39825802150068</v>
      </c>
      <c r="AN142" s="207">
        <f t="shared" si="594"/>
        <v>-339.53335224023948</v>
      </c>
      <c r="AO142" s="207">
        <f t="shared" si="594"/>
        <v>-338.0315536222181</v>
      </c>
      <c r="AP142" s="207">
        <f t="shared" si="594"/>
        <v>-352.48346075957619</v>
      </c>
      <c r="AQ142" s="482">
        <f t="shared" si="594"/>
        <v>-1372.4466246435345</v>
      </c>
    </row>
    <row r="143" spans="1:43" ht="18" x14ac:dyDescent="0.4">
      <c r="A143" s="254"/>
      <c r="B143" s="565" t="s">
        <v>99</v>
      </c>
      <c r="C143" s="566"/>
      <c r="D143" s="32" t="s">
        <v>119</v>
      </c>
      <c r="E143" s="32" t="s">
        <v>243</v>
      </c>
      <c r="F143" s="32" t="s">
        <v>247</v>
      </c>
      <c r="G143" s="32" t="s">
        <v>257</v>
      </c>
      <c r="H143" s="86" t="s">
        <v>258</v>
      </c>
      <c r="I143" s="32" t="s">
        <v>259</v>
      </c>
      <c r="J143" s="32" t="s">
        <v>260</v>
      </c>
      <c r="K143" s="32" t="s">
        <v>261</v>
      </c>
      <c r="L143" s="32" t="s">
        <v>322</v>
      </c>
      <c r="M143" s="86" t="s">
        <v>333</v>
      </c>
      <c r="N143" s="32" t="s">
        <v>339</v>
      </c>
      <c r="O143" s="32" t="s">
        <v>347</v>
      </c>
      <c r="P143" s="32" t="s">
        <v>349</v>
      </c>
      <c r="Q143" s="30" t="s">
        <v>129</v>
      </c>
      <c r="R143" s="89" t="s">
        <v>130</v>
      </c>
      <c r="S143" s="30" t="s">
        <v>131</v>
      </c>
      <c r="T143" s="30" t="s">
        <v>132</v>
      </c>
      <c r="U143" s="30" t="s">
        <v>133</v>
      </c>
      <c r="V143" s="30" t="s">
        <v>134</v>
      </c>
      <c r="W143" s="89" t="s">
        <v>135</v>
      </c>
      <c r="X143" s="30" t="s">
        <v>136</v>
      </c>
      <c r="Y143" s="30" t="s">
        <v>137</v>
      </c>
      <c r="Z143" s="30" t="s">
        <v>138</v>
      </c>
      <c r="AA143" s="30" t="s">
        <v>139</v>
      </c>
      <c r="AB143" s="89" t="s">
        <v>140</v>
      </c>
      <c r="AC143" s="30" t="s">
        <v>252</v>
      </c>
      <c r="AD143" s="30" t="s">
        <v>253</v>
      </c>
      <c r="AE143" s="30" t="s">
        <v>254</v>
      </c>
      <c r="AF143" s="30" t="s">
        <v>255</v>
      </c>
      <c r="AG143" s="89" t="s">
        <v>256</v>
      </c>
      <c r="AH143" s="30" t="s">
        <v>285</v>
      </c>
      <c r="AI143" s="30" t="s">
        <v>286</v>
      </c>
      <c r="AJ143" s="30" t="s">
        <v>287</v>
      </c>
      <c r="AK143" s="30" t="s">
        <v>288</v>
      </c>
      <c r="AL143" s="89" t="s">
        <v>289</v>
      </c>
      <c r="AM143" s="30" t="s">
        <v>356</v>
      </c>
      <c r="AN143" s="30" t="s">
        <v>357</v>
      </c>
      <c r="AO143" s="30" t="s">
        <v>358</v>
      </c>
      <c r="AP143" s="30" t="s">
        <v>359</v>
      </c>
      <c r="AQ143" s="89" t="s">
        <v>360</v>
      </c>
    </row>
    <row r="144" spans="1:43" s="211" customFormat="1" ht="15.6" customHeight="1" outlineLevel="1" x14ac:dyDescent="0.25">
      <c r="A144" s="329"/>
      <c r="B144" s="187" t="s">
        <v>181</v>
      </c>
      <c r="C144" s="212"/>
      <c r="D144" s="189">
        <f>+D56+D91-D13</f>
        <v>0</v>
      </c>
      <c r="E144" s="189">
        <f>+E56+E91-E13</f>
        <v>0</v>
      </c>
      <c r="F144" s="290">
        <f>+F56+F91-F13</f>
        <v>0</v>
      </c>
      <c r="G144" s="189">
        <f>+G56+G91-G13</f>
        <v>0</v>
      </c>
      <c r="H144" s="191"/>
      <c r="I144" s="189">
        <f>+I56+I91-I13</f>
        <v>0</v>
      </c>
      <c r="J144" s="189">
        <f>+J56+J91-J13</f>
        <v>0</v>
      </c>
      <c r="K144" s="290">
        <f>+K56+K91-K13</f>
        <v>0</v>
      </c>
      <c r="L144" s="189">
        <f>+L56+L91-L13</f>
        <v>0</v>
      </c>
      <c r="M144" s="191"/>
      <c r="N144" s="189">
        <f>+N56+N91-N13</f>
        <v>0</v>
      </c>
      <c r="O144" s="189">
        <f>+O56+O91-O13</f>
        <v>0</v>
      </c>
      <c r="P144" s="290">
        <f>+P56+P91-P13</f>
        <v>0</v>
      </c>
      <c r="Q144" s="189">
        <f>+Q56+Q91-Q13</f>
        <v>0</v>
      </c>
      <c r="R144" s="191"/>
      <c r="S144" s="189">
        <f>+S56+S91-S13</f>
        <v>0</v>
      </c>
      <c r="T144" s="189">
        <f>+T56+T91-T13</f>
        <v>0</v>
      </c>
      <c r="U144" s="290">
        <f>+U56+U91-U13</f>
        <v>0</v>
      </c>
      <c r="V144" s="189">
        <f>+V56+V91-V13</f>
        <v>0</v>
      </c>
      <c r="W144" s="191"/>
      <c r="X144" s="189">
        <f>+X56+X91-X13</f>
        <v>0</v>
      </c>
      <c r="Y144" s="189">
        <f>+Y56+Y91-Y13</f>
        <v>0</v>
      </c>
      <c r="Z144" s="290">
        <f>+Z56+Z91-Z13</f>
        <v>0</v>
      </c>
      <c r="AA144" s="189">
        <f>+AA56+AA91-AA13</f>
        <v>0</v>
      </c>
      <c r="AB144" s="191"/>
      <c r="AC144" s="189">
        <f>+AC56+AC91-AC13</f>
        <v>0</v>
      </c>
      <c r="AD144" s="189">
        <f>+AD56+AD91-AD13</f>
        <v>0</v>
      </c>
      <c r="AE144" s="290">
        <f>+AE56+AE91-AE13</f>
        <v>0</v>
      </c>
      <c r="AF144" s="189">
        <f>+AF56+AF91-AF13</f>
        <v>0</v>
      </c>
      <c r="AG144" s="191"/>
      <c r="AH144" s="189">
        <f>+AH56+AH91-AH13</f>
        <v>0</v>
      </c>
      <c r="AI144" s="189">
        <f>+AI56+AI91-AI13</f>
        <v>0</v>
      </c>
      <c r="AJ144" s="290">
        <f>+AJ56+AJ91-AJ13</f>
        <v>0</v>
      </c>
      <c r="AK144" s="189">
        <f>+AK56+AK91-AK13</f>
        <v>0</v>
      </c>
      <c r="AL144" s="191"/>
      <c r="AM144" s="189">
        <f>+AM56+AM91-AM13</f>
        <v>0</v>
      </c>
      <c r="AN144" s="189">
        <f>+AN56+AN91-AN13</f>
        <v>0</v>
      </c>
      <c r="AO144" s="290">
        <f>+AO56+AO91-AO13</f>
        <v>0</v>
      </c>
      <c r="AP144" s="189">
        <f>+AP56+AP91-AP13</f>
        <v>0</v>
      </c>
      <c r="AQ144" s="191"/>
    </row>
    <row r="145" spans="1:43" s="211" customFormat="1" ht="15.6" customHeight="1" outlineLevel="1" x14ac:dyDescent="0.25">
      <c r="A145" s="329"/>
      <c r="B145" s="187" t="s">
        <v>182</v>
      </c>
      <c r="C145" s="212"/>
      <c r="D145" s="189">
        <f>+D63+D98-D14</f>
        <v>0</v>
      </c>
      <c r="E145" s="189">
        <f>+E63+E98-E14</f>
        <v>0</v>
      </c>
      <c r="F145" s="290">
        <f>+F63+F98-F14</f>
        <v>0</v>
      </c>
      <c r="G145" s="189">
        <f>+G63+G98-G14</f>
        <v>0</v>
      </c>
      <c r="H145" s="191"/>
      <c r="I145" s="189">
        <f>+I63+I98-I14</f>
        <v>0</v>
      </c>
      <c r="J145" s="189">
        <f>+J63+J98-J14</f>
        <v>0</v>
      </c>
      <c r="K145" s="290">
        <f>+K63+K98-K14</f>
        <v>0</v>
      </c>
      <c r="L145" s="189">
        <f>+L63+L98-L14</f>
        <v>0</v>
      </c>
      <c r="M145" s="191"/>
      <c r="N145" s="189">
        <f>+N63+N98-N14</f>
        <v>0</v>
      </c>
      <c r="O145" s="189">
        <f>+O63+O98-O14</f>
        <v>0</v>
      </c>
      <c r="P145" s="290">
        <f>+P63+P98-P14</f>
        <v>0</v>
      </c>
      <c r="Q145" s="189">
        <f>+Q63+Q98-Q14</f>
        <v>0</v>
      </c>
      <c r="R145" s="191"/>
      <c r="S145" s="189">
        <f>+S63+S98-S14</f>
        <v>0</v>
      </c>
      <c r="T145" s="189">
        <f>+T63+T98-T14</f>
        <v>0</v>
      </c>
      <c r="U145" s="290">
        <f>+U63+U98-U14</f>
        <v>0</v>
      </c>
      <c r="V145" s="189">
        <f>+V63+V98-V14</f>
        <v>0</v>
      </c>
      <c r="W145" s="191"/>
      <c r="X145" s="189">
        <f>+X63+X98-X14</f>
        <v>0</v>
      </c>
      <c r="Y145" s="189">
        <f>+Y63+Y98-Y14</f>
        <v>0</v>
      </c>
      <c r="Z145" s="290">
        <f>+Z63+Z98-Z14</f>
        <v>0</v>
      </c>
      <c r="AA145" s="189">
        <f>+AA63+AA98-AA14</f>
        <v>0</v>
      </c>
      <c r="AB145" s="191"/>
      <c r="AC145" s="189">
        <f>+AC63+AC98-AC14</f>
        <v>0</v>
      </c>
      <c r="AD145" s="189">
        <f>+AD63+AD98-AD14</f>
        <v>0</v>
      </c>
      <c r="AE145" s="290">
        <f>+AE63+AE98-AE14</f>
        <v>0</v>
      </c>
      <c r="AF145" s="189">
        <f>+AF63+AF98-AF14</f>
        <v>0</v>
      </c>
      <c r="AG145" s="191"/>
      <c r="AH145" s="189">
        <f>+AH63+AH98-AH14</f>
        <v>0</v>
      </c>
      <c r="AI145" s="189">
        <f>+AI63+AI98-AI14</f>
        <v>0</v>
      </c>
      <c r="AJ145" s="290">
        <f>+AJ63+AJ98-AJ14</f>
        <v>0</v>
      </c>
      <c r="AK145" s="189">
        <f>+AK63+AK98-AK14</f>
        <v>0</v>
      </c>
      <c r="AL145" s="191"/>
      <c r="AM145" s="189">
        <f>+AM63+AM98-AM14</f>
        <v>0</v>
      </c>
      <c r="AN145" s="189">
        <f>+AN63+AN98-AN14</f>
        <v>0</v>
      </c>
      <c r="AO145" s="290">
        <f>+AO63+AO98-AO14</f>
        <v>0</v>
      </c>
      <c r="AP145" s="189">
        <f>+AP63+AP98-AP14</f>
        <v>0</v>
      </c>
      <c r="AQ145" s="191"/>
    </row>
    <row r="146" spans="1:43" s="211" customFormat="1" ht="15.6" customHeight="1" outlineLevel="1" x14ac:dyDescent="0.25">
      <c r="A146" s="329"/>
      <c r="B146" s="187" t="s">
        <v>183</v>
      </c>
      <c r="C146" s="212"/>
      <c r="D146" s="189">
        <f>+D64+D99+D119+D134-D15</f>
        <v>0</v>
      </c>
      <c r="E146" s="189">
        <f>+E64+E99+E119+E134-E15</f>
        <v>0</v>
      </c>
      <c r="F146" s="290">
        <f>+F64+F99+F119+F134-F15</f>
        <v>0</v>
      </c>
      <c r="G146" s="189">
        <f>+G64+G99+G119+G134-G15</f>
        <v>0</v>
      </c>
      <c r="H146" s="191"/>
      <c r="I146" s="189">
        <f>+I64+I99+I119+I134-I15</f>
        <v>0</v>
      </c>
      <c r="J146" s="189">
        <f>+J64+J99+J119+J134-J15</f>
        <v>0</v>
      </c>
      <c r="K146" s="290">
        <f>+K64+K99+K119+K134-K15</f>
        <v>0</v>
      </c>
      <c r="L146" s="189">
        <f>+L64+L99+L119+L134-L15</f>
        <v>0</v>
      </c>
      <c r="M146" s="191"/>
      <c r="N146" s="189">
        <f>+N64+N99+N119+N134-N15</f>
        <v>0</v>
      </c>
      <c r="O146" s="189">
        <f>+O64+O99+O119+O134-O15</f>
        <v>0</v>
      </c>
      <c r="P146" s="290">
        <f>+P64+P99+P119+P134-P15</f>
        <v>0</v>
      </c>
      <c r="Q146" s="189">
        <f>+Q64+Q99+Q119+Q134-Q15</f>
        <v>0</v>
      </c>
      <c r="R146" s="191"/>
      <c r="S146" s="189">
        <f>+S64+S99+S119+S134-S15</f>
        <v>0</v>
      </c>
      <c r="T146" s="189">
        <f>+T64+T99+T119+T134-T15</f>
        <v>0</v>
      </c>
      <c r="U146" s="290">
        <f>+U64+U99+U119+U134-U15</f>
        <v>0</v>
      </c>
      <c r="V146" s="189">
        <f>+V64+V99+V119+V134-V15</f>
        <v>0</v>
      </c>
      <c r="W146" s="191"/>
      <c r="X146" s="189">
        <f>+X64+X99+X119+X134-X15</f>
        <v>0</v>
      </c>
      <c r="Y146" s="189">
        <f>+Y64+Y99+Y119+Y134-Y15</f>
        <v>0</v>
      </c>
      <c r="Z146" s="290">
        <f>+Z64+Z99+Z119+Z134-Z15</f>
        <v>0</v>
      </c>
      <c r="AA146" s="189">
        <f>+AA64+AA99+AA119+AA134-AA15</f>
        <v>0</v>
      </c>
      <c r="AB146" s="191"/>
      <c r="AC146" s="189">
        <f>+AC64+AC99+AC119+AC134-AC15</f>
        <v>0</v>
      </c>
      <c r="AD146" s="189">
        <f>+AD64+AD99+AD119+AD134-AD15</f>
        <v>0</v>
      </c>
      <c r="AE146" s="290">
        <f>+AE64+AE99+AE119+AE134-AE15</f>
        <v>0</v>
      </c>
      <c r="AF146" s="189">
        <f>+AF64+AF99+AF119+AF134-AF15</f>
        <v>0</v>
      </c>
      <c r="AG146" s="191"/>
      <c r="AH146" s="189">
        <f>+AH64+AH99+AH119+AH134-AH15</f>
        <v>0</v>
      </c>
      <c r="AI146" s="189">
        <f>+AI64+AI99+AI119+AI134-AI15</f>
        <v>0</v>
      </c>
      <c r="AJ146" s="290">
        <f>+AJ64+AJ99+AJ119+AJ134-AJ15</f>
        <v>0</v>
      </c>
      <c r="AK146" s="189">
        <f>+AK64+AK99+AK119+AK134-AK15</f>
        <v>0</v>
      </c>
      <c r="AL146" s="191"/>
      <c r="AM146" s="189">
        <f>+AM64+AM99+AM119+AM134-AM15</f>
        <v>0</v>
      </c>
      <c r="AN146" s="189">
        <f>+AN64+AN99+AN119+AN134-AN15</f>
        <v>0</v>
      </c>
      <c r="AO146" s="290">
        <f>+AO64+AO99+AO119+AO134-AO15</f>
        <v>0</v>
      </c>
      <c r="AP146" s="189">
        <f>+AP64+AP99+AP119+AP134-AP15</f>
        <v>0</v>
      </c>
      <c r="AQ146" s="191"/>
    </row>
    <row r="147" spans="1:43" s="211" customFormat="1" ht="15.6" customHeight="1" outlineLevel="1" x14ac:dyDescent="0.25">
      <c r="A147" s="329"/>
      <c r="B147" s="187" t="s">
        <v>145</v>
      </c>
      <c r="C147" s="212"/>
      <c r="D147" s="189">
        <f>+D130+D115-D24</f>
        <v>0</v>
      </c>
      <c r="E147" s="189">
        <f>+E130+E115-E24</f>
        <v>0</v>
      </c>
      <c r="F147" s="290">
        <f>+F130+F115-F24</f>
        <v>0</v>
      </c>
      <c r="G147" s="189">
        <f>+G130+G115-G24</f>
        <v>0</v>
      </c>
      <c r="H147" s="191"/>
      <c r="I147" s="189">
        <f>+I130+I115-I24</f>
        <v>0</v>
      </c>
      <c r="J147" s="189">
        <f>+J130+J115-J24</f>
        <v>0</v>
      </c>
      <c r="K147" s="290">
        <f>+K130+K115-K24</f>
        <v>0</v>
      </c>
      <c r="L147" s="189">
        <f>+L130+L115-L24</f>
        <v>0</v>
      </c>
      <c r="M147" s="191"/>
      <c r="N147" s="189">
        <f>+N130+N115-N24</f>
        <v>0</v>
      </c>
      <c r="O147" s="189">
        <f>+O130+O115-O24</f>
        <v>0</v>
      </c>
      <c r="P147" s="290">
        <f>+P130+P115-P24</f>
        <v>0</v>
      </c>
      <c r="Q147" s="189">
        <f>+Q130+Q115-Q24</f>
        <v>0</v>
      </c>
      <c r="R147" s="191"/>
      <c r="S147" s="189">
        <f>+S130+S115-S24</f>
        <v>0</v>
      </c>
      <c r="T147" s="189">
        <f>+T130+T115-T24</f>
        <v>0</v>
      </c>
      <c r="U147" s="290">
        <f>+U130+U115-U24</f>
        <v>0</v>
      </c>
      <c r="V147" s="189">
        <f>+V130+V115-V24</f>
        <v>0</v>
      </c>
      <c r="W147" s="191"/>
      <c r="X147" s="189">
        <f>+X130+X115-X24</f>
        <v>0</v>
      </c>
      <c r="Y147" s="189">
        <f>+Y130+Y115-Y24</f>
        <v>0</v>
      </c>
      <c r="Z147" s="290">
        <f>+Z130+Z115-Z24</f>
        <v>0</v>
      </c>
      <c r="AA147" s="189">
        <f>+AA130+AA115-AA24</f>
        <v>0</v>
      </c>
      <c r="AB147" s="191"/>
      <c r="AC147" s="189">
        <f>+AC130+AC115-AC24</f>
        <v>0</v>
      </c>
      <c r="AD147" s="189">
        <f>+AD130+AD115-AD24</f>
        <v>0</v>
      </c>
      <c r="AE147" s="290">
        <f>+AE130+AE115-AE24</f>
        <v>0</v>
      </c>
      <c r="AF147" s="189">
        <f>+AF130+AF115-AF24</f>
        <v>0</v>
      </c>
      <c r="AG147" s="191"/>
      <c r="AH147" s="189">
        <f>+AH130+AH115-AH24</f>
        <v>0</v>
      </c>
      <c r="AI147" s="189">
        <f>+AI130+AI115-AI24</f>
        <v>0</v>
      </c>
      <c r="AJ147" s="290">
        <f>+AJ130+AJ115-AJ24</f>
        <v>0</v>
      </c>
      <c r="AK147" s="189">
        <f>+AK130+AK115-AK24</f>
        <v>0</v>
      </c>
      <c r="AL147" s="191"/>
      <c r="AM147" s="189">
        <f>+AM130+AM115-AM24</f>
        <v>0</v>
      </c>
      <c r="AN147" s="189">
        <f>+AN130+AN115-AN24</f>
        <v>0</v>
      </c>
      <c r="AO147" s="290">
        <f>+AO130+AO115-AO24</f>
        <v>0</v>
      </c>
      <c r="AP147" s="189">
        <f>+AP130+AP115-AP24</f>
        <v>0</v>
      </c>
      <c r="AQ147" s="191"/>
    </row>
    <row r="148" spans="1:43" s="211" customFormat="1" ht="15.6" customHeight="1" outlineLevel="1" x14ac:dyDescent="0.25">
      <c r="A148" s="329"/>
      <c r="B148" s="187" t="s">
        <v>184</v>
      </c>
      <c r="C148" s="212"/>
      <c r="D148" s="189">
        <f>+D80+D116+D131+D142-D25</f>
        <v>0</v>
      </c>
      <c r="E148" s="189">
        <f>+E80+E116+E131+E142-E25</f>
        <v>0</v>
      </c>
      <c r="F148" s="290">
        <f>+F80+F116+F131+F142-F25</f>
        <v>0</v>
      </c>
      <c r="G148" s="189">
        <f>+G80+G116+G131+G142-G25</f>
        <v>9.9999999998544808E-2</v>
      </c>
      <c r="H148" s="191"/>
      <c r="I148" s="189">
        <f>+I80+I116+I131+I142-I25</f>
        <v>0</v>
      </c>
      <c r="J148" s="189">
        <f>+J80+J116+J131+J142-J25</f>
        <v>6.8212102632969618E-13</v>
      </c>
      <c r="K148" s="290">
        <f>+K80+K116+K131+K142-K25</f>
        <v>0</v>
      </c>
      <c r="L148" s="189">
        <f>+L80+L116+L131+L142-L25</f>
        <v>0</v>
      </c>
      <c r="M148" s="191"/>
      <c r="N148" s="189">
        <f>+N80+N116+N131+N142-N25</f>
        <v>0</v>
      </c>
      <c r="O148" s="189">
        <f>+O80+O116+O131+O142-O25</f>
        <v>0</v>
      </c>
      <c r="P148" s="290">
        <f>+P80+P116+P131+P142-P25</f>
        <v>0</v>
      </c>
      <c r="Q148" s="189">
        <f>+Q80+Q116+Q131+Q142-Q25</f>
        <v>0</v>
      </c>
      <c r="R148" s="191"/>
      <c r="S148" s="189">
        <f>+S80+S116+S131+S142-S25</f>
        <v>0</v>
      </c>
      <c r="T148" s="189">
        <f>+T80+T116+T131+T142-T25</f>
        <v>0</v>
      </c>
      <c r="U148" s="290">
        <f>+U80+U116+U131+U142-U25</f>
        <v>0</v>
      </c>
      <c r="V148" s="189">
        <f>+V80+V116+V131+V142-V25</f>
        <v>0</v>
      </c>
      <c r="W148" s="191"/>
      <c r="X148" s="189">
        <f>+X80+X116+X131+X142-X25</f>
        <v>0</v>
      </c>
      <c r="Y148" s="189">
        <f>+Y80+Y116+Y131+Y142-Y25</f>
        <v>0</v>
      </c>
      <c r="Z148" s="290">
        <f>+Z80+Z116+Z131+Z142-Z25</f>
        <v>0</v>
      </c>
      <c r="AA148" s="189">
        <f>+AA80+AA116+AA131+AA142-AA25</f>
        <v>2.9558577807620168E-12</v>
      </c>
      <c r="AB148" s="191"/>
      <c r="AC148" s="189">
        <f>+AC80+AC116+AC131+AC142-AC25</f>
        <v>2.2737367544323206E-12</v>
      </c>
      <c r="AD148" s="189">
        <f>+AD80+AD116+AD131+AD142-AD25</f>
        <v>0</v>
      </c>
      <c r="AE148" s="290">
        <f>+AE80+AE116+AE131+AE142-AE25</f>
        <v>0</v>
      </c>
      <c r="AF148" s="189">
        <f>+AF80+AF116+AF131+AF142-AF25</f>
        <v>-2.2737367544323206E-12</v>
      </c>
      <c r="AG148" s="191"/>
      <c r="AH148" s="189">
        <f>+AH80+AH116+AH131+AH142-AH25</f>
        <v>0</v>
      </c>
      <c r="AI148" s="189">
        <f>+AI80+AI116+AI131+AI142-AI25</f>
        <v>0</v>
      </c>
      <c r="AJ148" s="290">
        <f>+AJ80+AJ116+AJ131+AJ142-AJ25</f>
        <v>0</v>
      </c>
      <c r="AK148" s="189">
        <f>+AK80+AK116+AK131+AK142-AK25</f>
        <v>0</v>
      </c>
      <c r="AL148" s="191"/>
      <c r="AM148" s="189">
        <f>+AM80+AM116+AM131+AM142-AM25</f>
        <v>2.0463630789890885E-12</v>
      </c>
      <c r="AN148" s="189">
        <f>+AN80+AN116+AN131+AN142-AN25</f>
        <v>0</v>
      </c>
      <c r="AO148" s="290">
        <f>+AO80+AO116+AO131+AO142-AO25</f>
        <v>0</v>
      </c>
      <c r="AP148" s="189">
        <f>+AP80+AP116+AP131+AP142-AP25</f>
        <v>0</v>
      </c>
      <c r="AQ148" s="191"/>
    </row>
    <row r="149" spans="1:43" ht="15" customHeight="1" x14ac:dyDescent="0.4">
      <c r="A149" s="254"/>
      <c r="B149" s="565" t="s">
        <v>55</v>
      </c>
      <c r="C149" s="566"/>
      <c r="D149" s="32" t="s">
        <v>119</v>
      </c>
      <c r="E149" s="32" t="s">
        <v>243</v>
      </c>
      <c r="F149" s="32" t="s">
        <v>247</v>
      </c>
      <c r="G149" s="32" t="s">
        <v>257</v>
      </c>
      <c r="H149" s="86" t="s">
        <v>258</v>
      </c>
      <c r="I149" s="32" t="s">
        <v>259</v>
      </c>
      <c r="J149" s="32" t="s">
        <v>260</v>
      </c>
      <c r="K149" s="32" t="s">
        <v>261</v>
      </c>
      <c r="L149" s="32" t="s">
        <v>322</v>
      </c>
      <c r="M149" s="86" t="s">
        <v>333</v>
      </c>
      <c r="N149" s="32" t="s">
        <v>339</v>
      </c>
      <c r="O149" s="32" t="s">
        <v>347</v>
      </c>
      <c r="P149" s="32" t="s">
        <v>349</v>
      </c>
      <c r="Q149" s="30" t="s">
        <v>129</v>
      </c>
      <c r="R149" s="89" t="s">
        <v>130</v>
      </c>
      <c r="S149" s="30" t="s">
        <v>131</v>
      </c>
      <c r="T149" s="30" t="s">
        <v>132</v>
      </c>
      <c r="U149" s="30" t="s">
        <v>133</v>
      </c>
      <c r="V149" s="30" t="s">
        <v>134</v>
      </c>
      <c r="W149" s="89" t="s">
        <v>135</v>
      </c>
      <c r="X149" s="30" t="s">
        <v>136</v>
      </c>
      <c r="Y149" s="30" t="s">
        <v>137</v>
      </c>
      <c r="Z149" s="30" t="s">
        <v>138</v>
      </c>
      <c r="AA149" s="30" t="s">
        <v>139</v>
      </c>
      <c r="AB149" s="89" t="s">
        <v>140</v>
      </c>
      <c r="AC149" s="30" t="s">
        <v>252</v>
      </c>
      <c r="AD149" s="30" t="s">
        <v>253</v>
      </c>
      <c r="AE149" s="30" t="s">
        <v>254</v>
      </c>
      <c r="AF149" s="30" t="s">
        <v>255</v>
      </c>
      <c r="AG149" s="89" t="s">
        <v>256</v>
      </c>
      <c r="AH149" s="30" t="s">
        <v>285</v>
      </c>
      <c r="AI149" s="30" t="s">
        <v>286</v>
      </c>
      <c r="AJ149" s="30" t="s">
        <v>287</v>
      </c>
      <c r="AK149" s="30" t="s">
        <v>288</v>
      </c>
      <c r="AL149" s="89" t="s">
        <v>289</v>
      </c>
      <c r="AM149" s="30" t="s">
        <v>356</v>
      </c>
      <c r="AN149" s="30" t="s">
        <v>357</v>
      </c>
      <c r="AO149" s="30" t="s">
        <v>358</v>
      </c>
      <c r="AP149" s="30" t="s">
        <v>359</v>
      </c>
      <c r="AQ149" s="89" t="s">
        <v>360</v>
      </c>
    </row>
    <row r="150" spans="1:43" s="43" customFormat="1" outlineLevel="1" x14ac:dyDescent="0.25">
      <c r="A150" s="307"/>
      <c r="B150" s="595" t="s">
        <v>115</v>
      </c>
      <c r="C150" s="596"/>
      <c r="D150" s="56"/>
      <c r="E150" s="56"/>
      <c r="F150" s="56"/>
      <c r="G150" s="56"/>
      <c r="H150" s="330"/>
      <c r="I150" s="56">
        <f t="shared" ref="I150:AL150" si="595">I16/D16-1</f>
        <v>7.0016735266180907E-2</v>
      </c>
      <c r="J150" s="56">
        <f t="shared" si="595"/>
        <v>-4.9192026514851106E-2</v>
      </c>
      <c r="K150" s="56">
        <f t="shared" si="595"/>
        <v>-0.38119595485856661</v>
      </c>
      <c r="L150" s="277">
        <f t="shared" si="595"/>
        <v>-8.061360604713208E-2</v>
      </c>
      <c r="M150" s="311">
        <f t="shared" si="595"/>
        <v>-0.11281621813298315</v>
      </c>
      <c r="N150" s="56">
        <f t="shared" si="595"/>
        <v>-4.8991841738174613E-2</v>
      </c>
      <c r="O150" s="56">
        <f t="shared" si="595"/>
        <v>0.11213036009139876</v>
      </c>
      <c r="P150" s="56">
        <f t="shared" si="595"/>
        <v>0.77553823926482068</v>
      </c>
      <c r="Q150" s="56">
        <f t="shared" si="595"/>
        <v>0.33465601454317095</v>
      </c>
      <c r="R150" s="54">
        <f t="shared" si="595"/>
        <v>0.2413004814955666</v>
      </c>
      <c r="S150" s="56">
        <f t="shared" si="595"/>
        <v>0.152655428011784</v>
      </c>
      <c r="T150" s="56">
        <f t="shared" si="595"/>
        <v>0.12501619460076729</v>
      </c>
      <c r="U150" s="56">
        <f t="shared" si="595"/>
        <v>0.10623692307308263</v>
      </c>
      <c r="V150" s="56">
        <f t="shared" si="595"/>
        <v>1.705862536754732E-2</v>
      </c>
      <c r="W150" s="54">
        <f t="shared" si="595"/>
        <v>9.5967636374068688E-2</v>
      </c>
      <c r="X150" s="56">
        <f t="shared" si="595"/>
        <v>7.8696696196299598E-2</v>
      </c>
      <c r="Y150" s="56">
        <f t="shared" si="595"/>
        <v>9.5072634301183623E-2</v>
      </c>
      <c r="Z150" s="56">
        <f t="shared" si="595"/>
        <v>9.1364322209985138E-2</v>
      </c>
      <c r="AA150" s="56">
        <f t="shared" si="595"/>
        <v>8.657093449529607E-2</v>
      </c>
      <c r="AB150" s="459">
        <f t="shared" si="595"/>
        <v>8.7892039329077187E-2</v>
      </c>
      <c r="AC150" s="381">
        <f t="shared" si="595"/>
        <v>7.5177848376300149E-2</v>
      </c>
      <c r="AD150" s="381">
        <f t="shared" si="595"/>
        <v>7.9088947358816775E-2</v>
      </c>
      <c r="AE150" s="381">
        <f t="shared" si="595"/>
        <v>8.1301305326265449E-2</v>
      </c>
      <c r="AF150" s="381">
        <f t="shared" si="595"/>
        <v>8.4358933021079663E-2</v>
      </c>
      <c r="AG150" s="459">
        <f t="shared" si="595"/>
        <v>8.0106495899941788E-2</v>
      </c>
      <c r="AH150" s="381">
        <f t="shared" si="595"/>
        <v>8.1009485039880813E-2</v>
      </c>
      <c r="AI150" s="381">
        <f t="shared" si="595"/>
        <v>8.0607612114281579E-2</v>
      </c>
      <c r="AJ150" s="381">
        <f t="shared" si="595"/>
        <v>7.9185007884621017E-2</v>
      </c>
      <c r="AK150" s="381">
        <f t="shared" si="595"/>
        <v>7.9938509274311231E-2</v>
      </c>
      <c r="AL150" s="382">
        <f t="shared" si="595"/>
        <v>8.0157169038238774E-2</v>
      </c>
      <c r="AM150" s="381">
        <f t="shared" ref="AM150" si="596">AM16/AH16-1</f>
        <v>8.0626560027329042E-2</v>
      </c>
      <c r="AN150" s="381">
        <f t="shared" ref="AN150" si="597">AN16/AI16-1</f>
        <v>7.9956690641056261E-2</v>
      </c>
      <c r="AO150" s="381">
        <f t="shared" ref="AO150" si="598">AO16/AJ16-1</f>
        <v>7.8117342475052087E-2</v>
      </c>
      <c r="AP150" s="381">
        <f t="shared" ref="AP150" si="599">AP16/AK16-1</f>
        <v>7.8446227376618438E-2</v>
      </c>
      <c r="AQ150" s="382">
        <f t="shared" ref="AQ150" si="600">AQ16/AL16-1</f>
        <v>7.9240693083947766E-2</v>
      </c>
    </row>
    <row r="151" spans="1:43" s="43" customFormat="1" outlineLevel="1" x14ac:dyDescent="0.25">
      <c r="A151" s="307"/>
      <c r="B151" s="595" t="s">
        <v>24</v>
      </c>
      <c r="C151" s="596"/>
      <c r="D151" s="53">
        <f t="shared" ref="D151:AL151" si="601">D25/D16</f>
        <v>0.15313522396610738</v>
      </c>
      <c r="E151" s="53">
        <f t="shared" si="601"/>
        <v>0.13601547756862614</v>
      </c>
      <c r="F151" s="53">
        <f t="shared" si="601"/>
        <v>0.16434119888612064</v>
      </c>
      <c r="G151" s="53">
        <f t="shared" si="601"/>
        <v>0.16054542759745088</v>
      </c>
      <c r="H151" s="55">
        <f t="shared" si="601"/>
        <v>0.15383309567461143</v>
      </c>
      <c r="I151" s="53">
        <f t="shared" si="601"/>
        <v>0.1718730185568752</v>
      </c>
      <c r="J151" s="53">
        <f t="shared" si="601"/>
        <v>8.1291592307820446E-2</v>
      </c>
      <c r="K151" s="53">
        <f t="shared" si="601"/>
        <v>-0.16671798394164022</v>
      </c>
      <c r="L151" s="277">
        <f t="shared" si="601"/>
        <v>9.0003385404072211E-2</v>
      </c>
      <c r="M151" s="330">
        <f t="shared" si="601"/>
        <v>6.6400204098988183E-2</v>
      </c>
      <c r="N151" s="53">
        <f t="shared" si="601"/>
        <v>0.13534536403235845</v>
      </c>
      <c r="O151" s="53">
        <f t="shared" si="601"/>
        <v>0.14811037792441512</v>
      </c>
      <c r="P151" s="53">
        <f t="shared" si="601"/>
        <v>0.19858600680317468</v>
      </c>
      <c r="Q151" s="53">
        <f t="shared" si="601"/>
        <v>0.1886422058405999</v>
      </c>
      <c r="R151" s="459">
        <f t="shared" si="601"/>
        <v>0.16961551993919161</v>
      </c>
      <c r="S151" s="53">
        <f t="shared" si="601"/>
        <v>0.1709641967226754</v>
      </c>
      <c r="T151" s="53">
        <f t="shared" si="601"/>
        <v>0.15770172311283193</v>
      </c>
      <c r="U151" s="53">
        <f t="shared" si="601"/>
        <v>0.18036578267151793</v>
      </c>
      <c r="V151" s="53">
        <f t="shared" si="601"/>
        <v>0.18609624562865174</v>
      </c>
      <c r="W151" s="55">
        <f t="shared" si="601"/>
        <v>0.17427389158588744</v>
      </c>
      <c r="X151" s="53">
        <f t="shared" si="601"/>
        <v>0.18254898986912657</v>
      </c>
      <c r="Y151" s="53">
        <f t="shared" si="601"/>
        <v>0.17045940081061173</v>
      </c>
      <c r="Z151" s="53">
        <f t="shared" si="601"/>
        <v>0.17272265124782599</v>
      </c>
      <c r="AA151" s="53">
        <f t="shared" si="601"/>
        <v>0.18960473878604633</v>
      </c>
      <c r="AB151" s="330">
        <f t="shared" si="601"/>
        <v>0.1789952503025905</v>
      </c>
      <c r="AC151" s="53">
        <f t="shared" si="601"/>
        <v>0.1849586754726722</v>
      </c>
      <c r="AD151" s="53">
        <f t="shared" si="601"/>
        <v>0.17333745515751667</v>
      </c>
      <c r="AE151" s="53">
        <f t="shared" si="601"/>
        <v>0.17518659856313684</v>
      </c>
      <c r="AF151" s="53">
        <f t="shared" si="601"/>
        <v>0.19190824177668733</v>
      </c>
      <c r="AG151" s="55">
        <f t="shared" si="601"/>
        <v>0.18150864069904421</v>
      </c>
      <c r="AH151" s="53">
        <f t="shared" si="601"/>
        <v>0.18819632612694046</v>
      </c>
      <c r="AI151" s="53">
        <f t="shared" si="601"/>
        <v>0.17676689959627911</v>
      </c>
      <c r="AJ151" s="53">
        <f t="shared" si="601"/>
        <v>0.17780407718247457</v>
      </c>
      <c r="AK151" s="53">
        <f t="shared" si="601"/>
        <v>0.19413669825268587</v>
      </c>
      <c r="AL151" s="55">
        <f t="shared" si="601"/>
        <v>0.18436475010334616</v>
      </c>
      <c r="AM151" s="53">
        <f t="shared" ref="AM151:AQ151" si="602">AM25/AM16</f>
        <v>0.19092572967563867</v>
      </c>
      <c r="AN151" s="53">
        <f t="shared" si="602"/>
        <v>0.17979454709573423</v>
      </c>
      <c r="AO151" s="53">
        <f t="shared" si="602"/>
        <v>0.18012893581677106</v>
      </c>
      <c r="AP151" s="53">
        <f t="shared" si="602"/>
        <v>0.19609472583751095</v>
      </c>
      <c r="AQ151" s="55">
        <f t="shared" si="602"/>
        <v>0.18685595008042716</v>
      </c>
    </row>
    <row r="152" spans="1:43" s="43" customFormat="1" outlineLevel="1" x14ac:dyDescent="0.25">
      <c r="A152" s="307"/>
      <c r="B152" s="595" t="s">
        <v>227</v>
      </c>
      <c r="C152" s="596"/>
      <c r="D152" s="53">
        <f t="shared" ref="D152:AL152" si="603">+D27/D16</f>
        <v>0.17394123056975294</v>
      </c>
      <c r="E152" s="53">
        <f t="shared" si="603"/>
        <v>0.15843892227913536</v>
      </c>
      <c r="F152" s="53">
        <f t="shared" si="603"/>
        <v>0.18270555474131628</v>
      </c>
      <c r="G152" s="53">
        <f t="shared" si="603"/>
        <v>0.17201719282644154</v>
      </c>
      <c r="H152" s="55">
        <f t="shared" si="603"/>
        <v>0.17201964645435841</v>
      </c>
      <c r="I152" s="53">
        <f t="shared" si="603"/>
        <v>0.1819616463062376</v>
      </c>
      <c r="J152" s="53">
        <f t="shared" si="603"/>
        <v>9.2432910252347358E-2</v>
      </c>
      <c r="K152" s="53">
        <f t="shared" si="603"/>
        <v>-0.12558205632268285</v>
      </c>
      <c r="L152" s="277">
        <f t="shared" si="603"/>
        <v>0.13183730715287523</v>
      </c>
      <c r="M152" s="330">
        <f t="shared" si="603"/>
        <v>9.0704141508631861E-2</v>
      </c>
      <c r="N152" s="53">
        <f t="shared" si="603"/>
        <v>0.15533232583637069</v>
      </c>
      <c r="O152" s="53">
        <f t="shared" si="603"/>
        <v>0.1613377324535093</v>
      </c>
      <c r="P152" s="53">
        <f t="shared" si="603"/>
        <v>0.20548255852731262</v>
      </c>
      <c r="Q152" s="53">
        <f t="shared" si="603"/>
        <v>0.19488691782286224</v>
      </c>
      <c r="R152" s="459">
        <f t="shared" si="603"/>
        <v>0.180799744431031</v>
      </c>
      <c r="S152" s="53">
        <f t="shared" si="603"/>
        <v>0.18539399869064629</v>
      </c>
      <c r="T152" s="53">
        <f t="shared" si="603"/>
        <v>0.17334403609763224</v>
      </c>
      <c r="U152" s="53">
        <f t="shared" si="603"/>
        <v>0.19527736203978932</v>
      </c>
      <c r="V152" s="53">
        <f t="shared" si="603"/>
        <v>0.2000397848725628</v>
      </c>
      <c r="W152" s="55">
        <f t="shared" si="603"/>
        <v>0.18898488804142524</v>
      </c>
      <c r="X152" s="53">
        <f t="shared" si="603"/>
        <v>0.19442299700931714</v>
      </c>
      <c r="Y152" s="53">
        <f t="shared" si="603"/>
        <v>0.18205305610317477</v>
      </c>
      <c r="Z152" s="53">
        <f t="shared" si="603"/>
        <v>0.18334291754911272</v>
      </c>
      <c r="AA152" s="53">
        <f t="shared" si="603"/>
        <v>0.20071743064098457</v>
      </c>
      <c r="AB152" s="459">
        <f t="shared" si="603"/>
        <v>0.19027696845321013</v>
      </c>
      <c r="AC152" s="53">
        <f t="shared" si="603"/>
        <v>0.19691924030439456</v>
      </c>
      <c r="AD152" s="53">
        <f t="shared" si="603"/>
        <v>0.1854504645779701</v>
      </c>
      <c r="AE152" s="53">
        <f t="shared" si="603"/>
        <v>0.18603123604631649</v>
      </c>
      <c r="AF152" s="53">
        <f t="shared" si="603"/>
        <v>0.20238488417252531</v>
      </c>
      <c r="AG152" s="459">
        <f t="shared" si="603"/>
        <v>0.19282306353265355</v>
      </c>
      <c r="AH152" s="53">
        <f t="shared" si="603"/>
        <v>0.19867994152289026</v>
      </c>
      <c r="AI152" s="53">
        <f t="shared" si="603"/>
        <v>0.18747580596504324</v>
      </c>
      <c r="AJ152" s="53">
        <f t="shared" si="603"/>
        <v>0.18760386193113854</v>
      </c>
      <c r="AK152" s="53">
        <f t="shared" si="603"/>
        <v>0.20388288515194816</v>
      </c>
      <c r="AL152" s="55">
        <f t="shared" si="603"/>
        <v>0.19452909665470863</v>
      </c>
      <c r="AM152" s="53">
        <f t="shared" ref="AM152:AQ152" si="604">+AM27/AM16</f>
        <v>0.2008652746953915</v>
      </c>
      <c r="AN152" s="53">
        <f t="shared" si="604"/>
        <v>0.18988358779333689</v>
      </c>
      <c r="AO152" s="53">
        <f t="shared" si="604"/>
        <v>0.18926223711854356</v>
      </c>
      <c r="AP152" s="53">
        <f t="shared" si="604"/>
        <v>0.20507199458892422</v>
      </c>
      <c r="AQ152" s="55">
        <f t="shared" si="604"/>
        <v>0.19636761474060371</v>
      </c>
    </row>
    <row r="153" spans="1:43" s="43" customFormat="1" outlineLevel="1" x14ac:dyDescent="0.25">
      <c r="A153" s="307"/>
      <c r="B153" s="595" t="s">
        <v>2</v>
      </c>
      <c r="C153" s="596"/>
      <c r="D153" s="53">
        <f t="shared" ref="D153:K153" si="605">D32/D31</f>
        <v>0.2124287933713101</v>
      </c>
      <c r="E153" s="53">
        <f t="shared" si="605"/>
        <v>0.1965853658536586</v>
      </c>
      <c r="F153" s="53">
        <f t="shared" si="605"/>
        <v>0.18110799689903978</v>
      </c>
      <c r="G153" s="285">
        <f t="shared" si="605"/>
        <v>0.20083682008368189</v>
      </c>
      <c r="H153" s="330">
        <f t="shared" si="605"/>
        <v>0.19515471765706843</v>
      </c>
      <c r="I153" s="285">
        <f t="shared" si="605"/>
        <v>0.22600104913446431</v>
      </c>
      <c r="J153" s="285">
        <f t="shared" si="605"/>
        <v>0.16760635571501836</v>
      </c>
      <c r="K153" s="285">
        <f t="shared" si="605"/>
        <v>0.16490147783251249</v>
      </c>
      <c r="L153" s="285">
        <v>0.25</v>
      </c>
      <c r="M153" s="330">
        <f>M32/M31</f>
        <v>0.20585709378220463</v>
      </c>
      <c r="N153" s="285">
        <f>N32/N31</f>
        <v>0.23023629840405785</v>
      </c>
      <c r="O153" s="285">
        <f t="shared" ref="O153:P153" si="606">O32/O31</f>
        <v>0.25901786717608721</v>
      </c>
      <c r="P153" s="285">
        <f t="shared" si="606"/>
        <v>0.18217246510309659</v>
      </c>
      <c r="Q153" s="64">
        <v>0.20749999999999999</v>
      </c>
      <c r="R153" s="459">
        <f>R32/R31</f>
        <v>0.21372571664542003</v>
      </c>
      <c r="S153" s="64">
        <f>AVERAGE(N153,O153,P153,Q153)-0.165057231271624%</f>
        <v>0.2180810853580942</v>
      </c>
      <c r="T153" s="64">
        <f>AVERAGE(O153,P153,Q153,S153)-0.165057231271624%</f>
        <v>0.21504228209660328</v>
      </c>
      <c r="U153" s="64">
        <f>AVERAGE(P153,Q153,S153,T153)-0.165057231271624%</f>
        <v>0.20404838582673229</v>
      </c>
      <c r="V153" s="64">
        <f>AVERAGE(Q153,S153,T153,U153)-0.165057231271624%</f>
        <v>0.20951736600764123</v>
      </c>
      <c r="W153" s="55">
        <f>W32/W31</f>
        <v>0.21122685525297252</v>
      </c>
      <c r="X153" s="64">
        <f>AVERAGE(S153,T153,U153,V153)</f>
        <v>0.21167227982226777</v>
      </c>
      <c r="Y153" s="64">
        <f>AVERAGE(T153,U153,V153,X153)</f>
        <v>0.21007007843831116</v>
      </c>
      <c r="Z153" s="64">
        <f>AVERAGE(U153,V153,X153,Y153)</f>
        <v>0.20882702752373811</v>
      </c>
      <c r="AA153" s="64">
        <f>AVERAGE(V153,X153,Y153,Z153)</f>
        <v>0.21002168794798959</v>
      </c>
      <c r="AB153" s="55">
        <f>AB32/AB31</f>
        <v>0.21013703871519973</v>
      </c>
      <c r="AC153" s="64">
        <f>AVERAGE(X153,Y153,Z153,AA153)</f>
        <v>0.21014776843307667</v>
      </c>
      <c r="AD153" s="64">
        <f>AVERAGE(Y153,Z153,AA153,AC153)</f>
        <v>0.2097666405857789</v>
      </c>
      <c r="AE153" s="64">
        <f>AVERAGE(Z153,AA153,AC153,AD153)</f>
        <v>0.2096907811226458</v>
      </c>
      <c r="AF153" s="64">
        <f>AVERAGE(AA153,AC153,AD153,AE153)</f>
        <v>0.20990671952237275</v>
      </c>
      <c r="AG153" s="55">
        <f>AG32/AG31</f>
        <v>0.20987967166864202</v>
      </c>
      <c r="AH153" s="64">
        <f>AVERAGE(AC153,AD153,AE153,AF153)</f>
        <v>0.20987797741596853</v>
      </c>
      <c r="AI153" s="64">
        <f>AVERAGE(AD153,AE153,AF153,AH153)</f>
        <v>0.2098105296616915</v>
      </c>
      <c r="AJ153" s="64">
        <f>AVERAGE(AE153,AF153,AH153,AI153)</f>
        <v>0.20982150193066962</v>
      </c>
      <c r="AK153" s="64">
        <f>AVERAGE(AF153,AH153,AI153,AJ153)</f>
        <v>0.20985418213267562</v>
      </c>
      <c r="AL153" s="55">
        <f>AL32/AL31</f>
        <v>0.20984194764400946</v>
      </c>
      <c r="AM153" s="64">
        <f>AVERAGE(AH153,AI153,AJ153,AK153)</f>
        <v>0.20984104778525131</v>
      </c>
      <c r="AN153" s="64">
        <f>AVERAGE(AI153,AJ153,AK153,AM153)</f>
        <v>0.20983181537757201</v>
      </c>
      <c r="AO153" s="64">
        <f>AVERAGE(AJ153,AK153,AM153,AN153)</f>
        <v>0.20983713680654215</v>
      </c>
      <c r="AP153" s="64">
        <f>AVERAGE(AK153,AM153,AN153,AO153)</f>
        <v>0.20984104552551028</v>
      </c>
      <c r="AQ153" s="55">
        <f>AQ32/AQ31</f>
        <v>0.20983797509947094</v>
      </c>
    </row>
    <row r="154" spans="1:43" s="43" customFormat="1" outlineLevel="1" x14ac:dyDescent="0.25">
      <c r="A154" s="307"/>
      <c r="B154" s="595" t="s">
        <v>228</v>
      </c>
      <c r="C154" s="596"/>
      <c r="D154" s="53"/>
      <c r="E154" s="53">
        <f>+E29/((E187+E188+E193)+(D187+D188+D193)/2)</f>
        <v>3.0327214684756584E-3</v>
      </c>
      <c r="F154" s="53">
        <f>+F29/((F187+F188+F193)+(E187+E188+E193)/2)</f>
        <v>6.4321029136466161E-3</v>
      </c>
      <c r="G154" s="53">
        <f>+G29/((G187+G188+G193)+(F187+F188+F193)/2)</f>
        <v>2.9603261807251862E-3</v>
      </c>
      <c r="H154" s="55"/>
      <c r="I154" s="53">
        <f>+I29/((I187+I188+I193)+(G187+G188+G193)/2)</f>
        <v>3.3143988743550958E-3</v>
      </c>
      <c r="J154" s="53">
        <f>+J29/((J187+J188+J193)+(I187+I188+I193)/2)</f>
        <v>4.4659305324505627E-4</v>
      </c>
      <c r="K154" s="53">
        <f>+K29/((K187+K188+K193)+(J187+J188+J193)/2)</f>
        <v>2.1779393606804753E-3</v>
      </c>
      <c r="L154" s="53">
        <f>+L29/((L187+L188+L193)+(K187+K188+K193)/2)</f>
        <v>1.2911830642186198E-3</v>
      </c>
      <c r="M154" s="55">
        <f>+M29/((M187+M188+M193)+(H187+H188+H193)/2)</f>
        <v>6.2749436914687554E-3</v>
      </c>
      <c r="N154" s="53">
        <f>+N29/((N187+N188+N193)+(L187+L188+L193)/2)</f>
        <v>1.9686289451959073E-3</v>
      </c>
      <c r="O154" s="53">
        <f>+O29/((O187+O188+O193)+(N187+N188+N193)/2)</f>
        <v>2.465933063458573E-3</v>
      </c>
      <c r="P154" s="53">
        <f>+P29/((P187+P188+P193)+(O187+O188+O193)/2)</f>
        <v>4.9067713444553383E-3</v>
      </c>
      <c r="Q154" s="65">
        <f>AVERAGE(P154,O154,N154,L154)</f>
        <v>2.6581291043321098E-3</v>
      </c>
      <c r="R154" s="55">
        <f>+R29/((R187+R188+R193)+(M187+M188+M193)/2)</f>
        <v>1.1568768565651455E-2</v>
      </c>
      <c r="S154" s="65">
        <f>AVERAGE(Q154,P154,O154,N154)</f>
        <v>2.9998656143604822E-3</v>
      </c>
      <c r="T154" s="65">
        <f>AVERAGE(S154,Q154,P154,O154)</f>
        <v>3.2576747816516261E-3</v>
      </c>
      <c r="U154" s="65">
        <f>AVERAGE(T154,S154,Q154,P154)</f>
        <v>3.4556102111998892E-3</v>
      </c>
      <c r="V154" s="65">
        <f>AVERAGE(U154,T154,S154,Q154)</f>
        <v>3.0928199278860268E-3</v>
      </c>
      <c r="W154" s="55">
        <f>+W29/((W187+W188+W193)+(R187+R188+R193)/2)</f>
        <v>1.036471755990531E-2</v>
      </c>
      <c r="X154" s="65">
        <f>AVERAGE(V154,U154,T154,S154)</f>
        <v>3.2014926337745058E-3</v>
      </c>
      <c r="Y154" s="65">
        <f>AVERAGE(X154,V154,U154,T154)</f>
        <v>3.2518993886280117E-3</v>
      </c>
      <c r="Z154" s="65">
        <f>AVERAGE(Y154,X154,V154,U154)</f>
        <v>3.2504555403721084E-3</v>
      </c>
      <c r="AA154" s="65">
        <f>AVERAGE(Z154,Y154,X154,V154)</f>
        <v>3.199166872665163E-3</v>
      </c>
      <c r="AB154" s="55">
        <f>+AB29/((AB187+AB188+AB193)+(W187+W188+W193)/2)</f>
        <v>1.0792614547351448E-2</v>
      </c>
      <c r="AC154" s="65">
        <f>AVERAGE(AA154,Z154,Y154,X154)</f>
        <v>3.2257536088599473E-3</v>
      </c>
      <c r="AD154" s="65">
        <f>AVERAGE(AC154,AA154,Z154,Y154)</f>
        <v>3.2318188526313076E-3</v>
      </c>
      <c r="AE154" s="65">
        <f>AVERAGE(AD154,AC154,AA154,Z154)</f>
        <v>3.2267987186321316E-3</v>
      </c>
      <c r="AF154" s="65">
        <f>AVERAGE(AE154,AD154,AC154,AA154)</f>
        <v>3.2208845131971369E-3</v>
      </c>
      <c r="AG154" s="55">
        <f>+AG29/((AG187+AG188+AG193)+(AB187+AB188+AB193)/2)</f>
        <v>1.0143512327891908E-2</v>
      </c>
      <c r="AH154" s="65">
        <f>AVERAGE(AF154,AE154,AD154,AC154)</f>
        <v>3.2263139233301309E-3</v>
      </c>
      <c r="AI154" s="65">
        <f>AVERAGE(AH154,AF154,AE154,AD154)</f>
        <v>3.2264540019476765E-3</v>
      </c>
      <c r="AJ154" s="65">
        <f>AVERAGE(AI154,AH154,AF154,AE154)</f>
        <v>3.2251127892767694E-3</v>
      </c>
      <c r="AK154" s="65">
        <f>AVERAGE(AJ154,AI154,AH154,AF154)</f>
        <v>3.2246913069379282E-3</v>
      </c>
      <c r="AL154" s="55">
        <f>+AL29/((AL187+AL188+AL193)+(AG187+AG188+AG193)/2)</f>
        <v>9.412133598506291E-3</v>
      </c>
      <c r="AM154" s="65">
        <f>AVERAGE(AK154,AJ154,AI154,AH154)</f>
        <v>3.2256430053731262E-3</v>
      </c>
      <c r="AN154" s="65">
        <f>AVERAGE(AM154,AK154,AJ154,AI154)</f>
        <v>3.225475275883875E-3</v>
      </c>
      <c r="AO154" s="65">
        <f>AVERAGE(AN154,AM154,AK154,AJ154)</f>
        <v>3.2252305943679246E-3</v>
      </c>
      <c r="AP154" s="65">
        <f>AVERAGE(AO154,AN154,AM154,AK154)</f>
        <v>3.2252600456407136E-3</v>
      </c>
      <c r="AQ154" s="55">
        <f>+AQ29/((AQ187+AQ188+AQ193)+(AL187+AL188+AL193)/2)</f>
        <v>9.1185744763749178E-3</v>
      </c>
    </row>
    <row r="155" spans="1:43" s="43" customFormat="1" outlineLevel="1" x14ac:dyDescent="0.25">
      <c r="A155" s="307"/>
      <c r="B155" s="595" t="s">
        <v>229</v>
      </c>
      <c r="C155" s="596"/>
      <c r="D155" s="53"/>
      <c r="E155" s="53">
        <f>-E30/((((E209+E212)+(D209+D212))/2))</f>
        <v>8.0557251242696429E-3</v>
      </c>
      <c r="F155" s="53">
        <f>-F30/((((F209+F212)+(E209+E212))/2))</f>
        <v>8.4807318557490342E-3</v>
      </c>
      <c r="G155" s="53">
        <f>-G30/((((G209+G212)+(F209+F212))/2))</f>
        <v>8.572925858076421E-3</v>
      </c>
      <c r="H155" s="55"/>
      <c r="I155" s="53">
        <f>-I30/((((I209+I212)+(G209+G212))/2))</f>
        <v>8.0554679008449908E-3</v>
      </c>
      <c r="J155" s="53">
        <f>-J30/((((J209+J212)+(I209+I212))/2))</f>
        <v>7.730372102084551E-3</v>
      </c>
      <c r="K155" s="53">
        <f>-K30/((((K209+K212)+(J209+J212))/2))</f>
        <v>7.8322294946980078E-3</v>
      </c>
      <c r="L155" s="53">
        <f>-L30/((((L209+L212)+(K209+K212))/2))</f>
        <v>7.5346594333936109E-3</v>
      </c>
      <c r="M155" s="55">
        <f>-M30/((((M209+M212)+(H209+H212))/2))</f>
        <v>3.1756877082932039E-2</v>
      </c>
      <c r="N155" s="53">
        <f>-N30/((((N209+N212)+(L209+L212))/2))</f>
        <v>7.481930548840208E-3</v>
      </c>
      <c r="O155" s="53">
        <f>-O30/((((O209+O212)+(N209+N212))/2))</f>
        <v>7.5250206938069089E-3</v>
      </c>
      <c r="P155" s="53">
        <f>-P30/((((P209+P212)+(O209+O212))/2))</f>
        <v>7.7494216976973845E-3</v>
      </c>
      <c r="Q155" s="65">
        <f>AVERAGE(P155,O155,N155,L155)</f>
        <v>7.5727580934345281E-3</v>
      </c>
      <c r="R155" s="55">
        <f>-R30/((((R209+R212)+(M209+M212))/2))</f>
        <v>2.993836094631111E-2</v>
      </c>
      <c r="S155" s="65">
        <f>AVERAGE(Q155,P155,O155,N155)</f>
        <v>7.5822827584447567E-3</v>
      </c>
      <c r="T155" s="65">
        <f>AVERAGE(S155,Q155,P155,O155)</f>
        <v>7.6073708108458944E-3</v>
      </c>
      <c r="U155" s="65">
        <f>AVERAGE(T155,S155,Q155,P155)</f>
        <v>7.6279583401056405E-3</v>
      </c>
      <c r="V155" s="65">
        <f>AVERAGE(U155,T155,S155,Q155)</f>
        <v>7.5975925007077047E-3</v>
      </c>
      <c r="W155" s="55">
        <f>-W30/((((W209+W212)+(R209+R212))/2))</f>
        <v>3.069516389849453E-2</v>
      </c>
      <c r="X155" s="65">
        <f>AVERAGE(V155,U155,T155,S155)</f>
        <v>7.6038011025259993E-3</v>
      </c>
      <c r="Y155" s="65">
        <f>AVERAGE(X155,V155,U155,T155)</f>
        <v>7.6091806885463086E-3</v>
      </c>
      <c r="Z155" s="65">
        <f>AVERAGE(Y155,X155,V155,U155)</f>
        <v>7.6096331579714131E-3</v>
      </c>
      <c r="AA155" s="65">
        <f>AVERAGE(Z155,Y155,X155,V155)</f>
        <v>7.6050518624378562E-3</v>
      </c>
      <c r="AB155" s="55">
        <f>-AB30/((((AB209+AB212)+(W209+W212))/2))</f>
        <v>3.0741463443062313E-2</v>
      </c>
      <c r="AC155" s="65">
        <f>AVERAGE(AA155,Z155,Y155,X155)</f>
        <v>7.6069167028703947E-3</v>
      </c>
      <c r="AD155" s="65">
        <f>AVERAGE(AC155,AA155,Z155,Y155)</f>
        <v>7.6076956029564931E-3</v>
      </c>
      <c r="AE155" s="65">
        <f>AVERAGE(AD155,AC155,AA155,Z155)</f>
        <v>7.6073243315590393E-3</v>
      </c>
      <c r="AF155" s="65">
        <f>AVERAGE(AE155,AD155,AC155,AA155)</f>
        <v>7.6067471249559454E-3</v>
      </c>
      <c r="AG155" s="55">
        <f>-AG30/((((AG209+AG212)+(AB209+AB212))/2))</f>
        <v>3.0987568755745706E-2</v>
      </c>
      <c r="AH155" s="65">
        <f>AVERAGE(AF155,AE155,AD155,AC155)</f>
        <v>7.6071709405854679E-3</v>
      </c>
      <c r="AI155" s="65">
        <f>AVERAGE(AH155,AF155,AE155,AD155)</f>
        <v>7.6072345000142358E-3</v>
      </c>
      <c r="AJ155" s="65">
        <f>AVERAGE(AI155,AH155,AF155,AE155)</f>
        <v>7.6071192242786719E-3</v>
      </c>
      <c r="AK155" s="65">
        <f>AVERAGE(AJ155,AI155,AH155,AF155)</f>
        <v>7.6070679474585798E-3</v>
      </c>
      <c r="AL155" s="55">
        <f>-AL30/((((AL209+AL212)+(AG209+AG212))/2))</f>
        <v>3.0930258018355378E-2</v>
      </c>
      <c r="AM155" s="65">
        <f>AVERAGE(AK155,AJ155,AI155,AH155)</f>
        <v>7.6071481530842391E-3</v>
      </c>
      <c r="AN155" s="65">
        <f>AVERAGE(AM155,AK155,AJ155,AI155)</f>
        <v>7.6071424562089316E-3</v>
      </c>
      <c r="AO155" s="65">
        <f>AVERAGE(AN155,AM155,AK155,AJ155)</f>
        <v>7.607119445257605E-3</v>
      </c>
      <c r="AP155" s="65">
        <f>AVERAGE(AO155,AN155,AM155,AK155)</f>
        <v>7.6071195005023382E-3</v>
      </c>
      <c r="AQ155" s="55">
        <f>-AQ30/((((AQ209+AQ212)+(AL209+AL212))/2))</f>
        <v>3.1006405552541527E-2</v>
      </c>
    </row>
    <row r="156" spans="1:43" s="43" customFormat="1" outlineLevel="1" x14ac:dyDescent="0.25">
      <c r="A156" s="307"/>
      <c r="B156" s="394" t="s">
        <v>316</v>
      </c>
      <c r="C156" s="395"/>
      <c r="D156" s="53"/>
      <c r="E156" s="53"/>
      <c r="F156" s="53"/>
      <c r="G156" s="53"/>
      <c r="H156" s="55"/>
      <c r="I156" s="53">
        <f t="shared" ref="I156:AL156" si="607">I42/D42-1</f>
        <v>5.9389868457878192E-2</v>
      </c>
      <c r="J156" s="53">
        <f t="shared" si="607"/>
        <v>-0.47460546003783222</v>
      </c>
      <c r="K156" s="53">
        <f t="shared" si="607"/>
        <v>-1.5922286955663072</v>
      </c>
      <c r="L156" s="277">
        <f t="shared" si="607"/>
        <v>-0.26631134736842188</v>
      </c>
      <c r="M156" s="330">
        <f t="shared" si="607"/>
        <v>-0.59372113780519853</v>
      </c>
      <c r="N156" s="277">
        <f t="shared" si="607"/>
        <v>-0.23228377390823718</v>
      </c>
      <c r="O156" s="277">
        <f t="shared" si="607"/>
        <v>0.96992458477270005</v>
      </c>
      <c r="P156" s="277">
        <f t="shared" si="607"/>
        <v>-3.1776350920116565</v>
      </c>
      <c r="Q156" s="277">
        <f t="shared" si="607"/>
        <v>0.98036601308179927</v>
      </c>
      <c r="R156" s="55">
        <f t="shared" si="607"/>
        <v>1.8201766476610479</v>
      </c>
      <c r="S156" s="277">
        <f t="shared" si="607"/>
        <v>0.45257823297519262</v>
      </c>
      <c r="T156" s="277">
        <f t="shared" si="607"/>
        <v>0.28994442742915916</v>
      </c>
      <c r="U156" s="277">
        <f t="shared" si="607"/>
        <v>2.282201755842328E-2</v>
      </c>
      <c r="V156" s="277">
        <f t="shared" si="607"/>
        <v>5.9526628466041176E-2</v>
      </c>
      <c r="W156" s="459">
        <f>W42/(R42-0.1)-1</f>
        <v>0.20320846724322505</v>
      </c>
      <c r="X156" s="277">
        <f t="shared" si="607"/>
        <v>0.16798166362231903</v>
      </c>
      <c r="Y156" s="277">
        <f t="shared" si="607"/>
        <v>0.18671248273993957</v>
      </c>
      <c r="Z156" s="277">
        <f t="shared" si="607"/>
        <v>3.5184096872354909E-2</v>
      </c>
      <c r="AA156" s="277">
        <f t="shared" si="607"/>
        <v>0.10958968572155081</v>
      </c>
      <c r="AB156" s="459">
        <f t="shared" si="607"/>
        <v>0.11934386019423293</v>
      </c>
      <c r="AC156" s="277">
        <f t="shared" si="607"/>
        <v>0.10800889291777649</v>
      </c>
      <c r="AD156" s="277">
        <f t="shared" si="607"/>
        <v>0.11730636144593976</v>
      </c>
      <c r="AE156" s="277">
        <f t="shared" si="607"/>
        <v>0.11166884501485197</v>
      </c>
      <c r="AF156" s="277">
        <f t="shared" si="607"/>
        <v>0.10728014468753488</v>
      </c>
      <c r="AG156" s="330">
        <f t="shared" si="607"/>
        <v>0.11081176333954357</v>
      </c>
      <c r="AH156" s="277">
        <f t="shared" si="607"/>
        <v>0.10610768847787599</v>
      </c>
      <c r="AI156" s="277">
        <f t="shared" si="607"/>
        <v>0.10841678229372276</v>
      </c>
      <c r="AJ156" s="277">
        <f t="shared" si="607"/>
        <v>0.10248205695328561</v>
      </c>
      <c r="AK156" s="277">
        <f t="shared" si="607"/>
        <v>0.10096583377376511</v>
      </c>
      <c r="AL156" s="55">
        <f t="shared" si="607"/>
        <v>0.10427931701722781</v>
      </c>
      <c r="AM156" s="277">
        <f t="shared" ref="AM156" si="608">AM42/AH42-1</f>
        <v>0.10588449948760181</v>
      </c>
      <c r="AN156" s="277">
        <f t="shared" ref="AN156" si="609">AN42/AI42-1</f>
        <v>0.10793187114133174</v>
      </c>
      <c r="AO156" s="277">
        <f t="shared" ref="AO156" si="610">AO42/AJ42-1</f>
        <v>0.10044647062531031</v>
      </c>
      <c r="AP156" s="277">
        <f t="shared" ref="AP156" si="611">AP42/AK42-1</f>
        <v>9.6517164411991319E-2</v>
      </c>
      <c r="AQ156" s="55">
        <f t="shared" ref="AQ156" si="612">AQ42/AL42-1</f>
        <v>0.10237446052770949</v>
      </c>
    </row>
    <row r="157" spans="1:43" s="43" customFormat="1" outlineLevel="1" x14ac:dyDescent="0.25">
      <c r="A157" s="307"/>
      <c r="B157" s="394" t="s">
        <v>317</v>
      </c>
      <c r="C157" s="395"/>
      <c r="D157" s="53"/>
      <c r="E157" s="53"/>
      <c r="F157" s="53"/>
      <c r="G157" s="53"/>
      <c r="H157" s="55"/>
      <c r="I157" s="53">
        <f>I260/D260-1</f>
        <v>-0.22820512820512895</v>
      </c>
      <c r="J157" s="53">
        <f t="shared" ref="J157:AL157" si="613">J260/E260-1</f>
        <v>-4.4869364754098413</v>
      </c>
      <c r="K157" s="53">
        <f t="shared" si="613"/>
        <v>-1.314434752864716</v>
      </c>
      <c r="L157" s="277">
        <f t="shared" si="613"/>
        <v>0.34527569713924766</v>
      </c>
      <c r="M157" s="330">
        <f t="shared" si="613"/>
        <v>-0.68340961778517451</v>
      </c>
      <c r="N157" s="277">
        <f t="shared" si="613"/>
        <v>-2.1785305811139466E-4</v>
      </c>
      <c r="O157" s="277">
        <f t="shared" si="613"/>
        <v>-1.649232351428781</v>
      </c>
      <c r="P157" s="277">
        <f t="shared" si="613"/>
        <v>-5.7565950503127619</v>
      </c>
      <c r="Q157" s="277">
        <f t="shared" si="613"/>
        <v>-0.28759265113488464</v>
      </c>
      <c r="R157" s="55">
        <f t="shared" si="613"/>
        <v>2.4613128269828595</v>
      </c>
      <c r="S157" s="277">
        <f t="shared" si="613"/>
        <v>0.39302018506105707</v>
      </c>
      <c r="T157" s="277">
        <f t="shared" si="613"/>
        <v>0.12302420284957249</v>
      </c>
      <c r="U157" s="277">
        <f t="shared" si="613"/>
        <v>7.2917554939941454E-2</v>
      </c>
      <c r="V157" s="277">
        <f t="shared" si="613"/>
        <v>6.3173826140376921E-3</v>
      </c>
      <c r="W157" s="330">
        <f t="shared" si="613"/>
        <v>0.17438571963305693</v>
      </c>
      <c r="X157" s="277">
        <f t="shared" si="613"/>
        <v>-6.161153984072687E-3</v>
      </c>
      <c r="Y157" s="277">
        <f t="shared" si="613"/>
        <v>0.16674662494551007</v>
      </c>
      <c r="Z157" s="277">
        <f t="shared" si="613"/>
        <v>4.2780635505394793E-2</v>
      </c>
      <c r="AA157" s="277">
        <f t="shared" si="613"/>
        <v>-8.6469992836222809E-2</v>
      </c>
      <c r="AB157" s="55">
        <f t="shared" si="613"/>
        <v>2.1188083214691567E-2</v>
      </c>
      <c r="AC157" s="277">
        <f t="shared" si="613"/>
        <v>0.12871399552240925</v>
      </c>
      <c r="AD157" s="277">
        <f t="shared" si="613"/>
        <v>0.12468675947765173</v>
      </c>
      <c r="AE157" s="277">
        <f t="shared" si="613"/>
        <v>0.13298030545447093</v>
      </c>
      <c r="AF157" s="277">
        <f t="shared" si="613"/>
        <v>7.5568325467312292E-4</v>
      </c>
      <c r="AG157" s="330">
        <f t="shared" si="613"/>
        <v>0.1104345655016028</v>
      </c>
      <c r="AH157" s="277">
        <f t="shared" si="613"/>
        <v>8.8809410291354141E-2</v>
      </c>
      <c r="AI157" s="277">
        <f t="shared" si="613"/>
        <v>0.10551011741900562</v>
      </c>
      <c r="AJ157" s="277">
        <f t="shared" si="613"/>
        <v>8.5280202361426527E-2</v>
      </c>
      <c r="AK157" s="277">
        <f t="shared" si="613"/>
        <v>0.1279432326573251</v>
      </c>
      <c r="AL157" s="55">
        <f t="shared" si="613"/>
        <v>9.5891773745516273E-2</v>
      </c>
      <c r="AM157" s="277">
        <f t="shared" ref="AM157" si="614">AM260/AH260-1</f>
        <v>8.1070530957930043E-2</v>
      </c>
      <c r="AN157" s="277">
        <f t="shared" ref="AN157" si="615">AN260/AI260-1</f>
        <v>9.7908896648803978E-2</v>
      </c>
      <c r="AO157" s="277">
        <f t="shared" ref="AO157" si="616">AO260/AJ260-1</f>
        <v>9.2622001879715476E-2</v>
      </c>
      <c r="AP157" s="277">
        <f t="shared" ref="AP157" si="617">AP260/AK260-1</f>
        <v>9.2053800747671E-2</v>
      </c>
      <c r="AQ157" s="55">
        <f t="shared" ref="AQ157" si="618">AQ260/AL260-1</f>
        <v>8.9017554761703588E-2</v>
      </c>
    </row>
    <row r="158" spans="1:43" s="43" customFormat="1" outlineLevel="1" x14ac:dyDescent="0.25">
      <c r="A158" s="307"/>
      <c r="B158" s="394" t="s">
        <v>318</v>
      </c>
      <c r="C158" s="395"/>
      <c r="D158" s="53"/>
      <c r="E158" s="53"/>
      <c r="F158" s="53"/>
      <c r="G158" s="53"/>
      <c r="H158" s="55"/>
      <c r="I158" s="53">
        <f>I280/D280-1</f>
        <v>-0.24544961022931089</v>
      </c>
      <c r="J158" s="53">
        <f>J280/E280-1</f>
        <v>-49.018348371692475</v>
      </c>
      <c r="K158" s="53">
        <f t="shared" ref="K158:AL158" si="619">K280/F280-1</f>
        <v>-1.8137500863297529</v>
      </c>
      <c r="L158" s="277">
        <f t="shared" si="619"/>
        <v>0.89184120998466665</v>
      </c>
      <c r="M158" s="330">
        <f t="shared" si="619"/>
        <v>-0.86924273418614029</v>
      </c>
      <c r="N158" s="277">
        <f t="shared" si="619"/>
        <v>6.0991495940522222E-2</v>
      </c>
      <c r="O158" s="277">
        <f t="shared" si="619"/>
        <v>-1.3949013016826202</v>
      </c>
      <c r="P158" s="277">
        <f t="shared" si="619"/>
        <v>-3.2982873492055349</v>
      </c>
      <c r="Q158" s="277">
        <f t="shared" si="619"/>
        <v>-0.65048145372816513</v>
      </c>
      <c r="R158" s="55">
        <f t="shared" si="619"/>
        <v>8.1584034032082151</v>
      </c>
      <c r="S158" s="277">
        <f t="shared" si="619"/>
        <v>0.34249782626927083</v>
      </c>
      <c r="T158" s="277">
        <f t="shared" si="619"/>
        <v>-6.7471228998614241E-2</v>
      </c>
      <c r="U158" s="277">
        <f t="shared" si="619"/>
        <v>-4.1296558966057884E-2</v>
      </c>
      <c r="V158" s="277">
        <f t="shared" si="619"/>
        <v>0.46836564179062656</v>
      </c>
      <c r="W158" s="330">
        <f t="shared" si="619"/>
        <v>0.15456743899160164</v>
      </c>
      <c r="X158" s="277">
        <f t="shared" si="619"/>
        <v>-1.0328233591155311E-2</v>
      </c>
      <c r="Y158" s="277">
        <f t="shared" si="619"/>
        <v>0.25229769653424317</v>
      </c>
      <c r="Z158" s="277">
        <f t="shared" si="619"/>
        <v>4.9020825924767752E-2</v>
      </c>
      <c r="AA158" s="277">
        <f t="shared" si="619"/>
        <v>-0.14993576517352336</v>
      </c>
      <c r="AB158" s="55">
        <f t="shared" si="619"/>
        <v>2.1814190243235609E-2</v>
      </c>
      <c r="AC158" s="277">
        <f t="shared" si="619"/>
        <v>0.15461755268018451</v>
      </c>
      <c r="AD158" s="277">
        <f t="shared" si="619"/>
        <v>0.19048174124928408</v>
      </c>
      <c r="AE158" s="277">
        <f t="shared" si="619"/>
        <v>0.17189175410139557</v>
      </c>
      <c r="AF158" s="277">
        <f t="shared" si="619"/>
        <v>-5.4978687567791007E-2</v>
      </c>
      <c r="AG158" s="330">
        <f t="shared" si="619"/>
        <v>0.14240011237906858</v>
      </c>
      <c r="AH158" s="277">
        <f t="shared" si="619"/>
        <v>8.3515133879928483E-2</v>
      </c>
      <c r="AI158" s="277">
        <f t="shared" si="619"/>
        <v>9.8704660610979156E-2</v>
      </c>
      <c r="AJ158" s="277">
        <f t="shared" si="619"/>
        <v>7.7753688458551684E-2</v>
      </c>
      <c r="AK158" s="277">
        <f t="shared" si="619"/>
        <v>0.15277398846183399</v>
      </c>
      <c r="AL158" s="55">
        <f t="shared" si="619"/>
        <v>9.0429524646818749E-2</v>
      </c>
      <c r="AM158" s="277">
        <f t="shared" ref="AM158" si="620">AM280/AH280-1</f>
        <v>7.625298032336425E-2</v>
      </c>
      <c r="AN158" s="277">
        <f t="shared" ref="AN158" si="621">AN280/AI280-1</f>
        <v>9.3249585113023281E-2</v>
      </c>
      <c r="AO158" s="277">
        <f t="shared" ref="AO158" si="622">AO280/AJ280-1</f>
        <v>9.0123682121827642E-2</v>
      </c>
      <c r="AP158" s="277">
        <f t="shared" ref="AP158" si="623">AP280/AK280-1</f>
        <v>8.4823975447944511E-2</v>
      </c>
      <c r="AQ158" s="55">
        <f t="shared" ref="AQ158" si="624">AQ280/AL280-1</f>
        <v>8.4107582423747829E-2</v>
      </c>
    </row>
    <row r="159" spans="1:43" ht="18" x14ac:dyDescent="0.4">
      <c r="A159" s="254"/>
      <c r="B159" s="565" t="s">
        <v>306</v>
      </c>
      <c r="C159" s="566"/>
      <c r="D159" s="32" t="s">
        <v>119</v>
      </c>
      <c r="E159" s="32" t="s">
        <v>243</v>
      </c>
      <c r="F159" s="32" t="s">
        <v>247</v>
      </c>
      <c r="G159" s="32" t="s">
        <v>257</v>
      </c>
      <c r="H159" s="86" t="s">
        <v>258</v>
      </c>
      <c r="I159" s="32" t="s">
        <v>259</v>
      </c>
      <c r="J159" s="32" t="s">
        <v>260</v>
      </c>
      <c r="K159" s="32" t="s">
        <v>261</v>
      </c>
      <c r="L159" s="32" t="s">
        <v>322</v>
      </c>
      <c r="M159" s="86" t="s">
        <v>333</v>
      </c>
      <c r="N159" s="32" t="s">
        <v>339</v>
      </c>
      <c r="O159" s="32" t="s">
        <v>347</v>
      </c>
      <c r="P159" s="32" t="s">
        <v>349</v>
      </c>
      <c r="Q159" s="30" t="s">
        <v>129</v>
      </c>
      <c r="R159" s="89" t="s">
        <v>130</v>
      </c>
      <c r="S159" s="30" t="s">
        <v>131</v>
      </c>
      <c r="T159" s="30" t="s">
        <v>132</v>
      </c>
      <c r="U159" s="30" t="s">
        <v>133</v>
      </c>
      <c r="V159" s="30" t="s">
        <v>134</v>
      </c>
      <c r="W159" s="89" t="s">
        <v>135</v>
      </c>
      <c r="X159" s="30" t="s">
        <v>136</v>
      </c>
      <c r="Y159" s="30" t="s">
        <v>137</v>
      </c>
      <c r="Z159" s="30" t="s">
        <v>138</v>
      </c>
      <c r="AA159" s="30" t="s">
        <v>139</v>
      </c>
      <c r="AB159" s="89" t="s">
        <v>140</v>
      </c>
      <c r="AC159" s="30" t="s">
        <v>252</v>
      </c>
      <c r="AD159" s="30" t="s">
        <v>253</v>
      </c>
      <c r="AE159" s="30" t="s">
        <v>254</v>
      </c>
      <c r="AF159" s="30" t="s">
        <v>255</v>
      </c>
      <c r="AG159" s="89" t="s">
        <v>256</v>
      </c>
      <c r="AH159" s="30" t="s">
        <v>285</v>
      </c>
      <c r="AI159" s="30" t="s">
        <v>286</v>
      </c>
      <c r="AJ159" s="30" t="s">
        <v>287</v>
      </c>
      <c r="AK159" s="30" t="s">
        <v>288</v>
      </c>
      <c r="AL159" s="89" t="s">
        <v>289</v>
      </c>
      <c r="AM159" s="30" t="s">
        <v>356</v>
      </c>
      <c r="AN159" s="30" t="s">
        <v>357</v>
      </c>
      <c r="AO159" s="30" t="s">
        <v>358</v>
      </c>
      <c r="AP159" s="30" t="s">
        <v>359</v>
      </c>
      <c r="AQ159" s="89" t="s">
        <v>360</v>
      </c>
    </row>
    <row r="160" spans="1:43" outlineLevel="1" x14ac:dyDescent="0.25">
      <c r="A160" s="254"/>
      <c r="B160" s="595" t="s">
        <v>51</v>
      </c>
      <c r="C160" s="596"/>
      <c r="D160" s="53"/>
      <c r="E160" s="53">
        <f>(E38+E164+E167+E170)/D38-1</f>
        <v>2.777764747303535E-2</v>
      </c>
      <c r="F160" s="53">
        <f>(F38+F164+F167+F170)/E38-1</f>
        <v>-1.7269004124131682E-2</v>
      </c>
      <c r="G160" s="53">
        <f>(G38+G164+G167+G170)/F38-1</f>
        <v>1.9258933156590885E-2</v>
      </c>
      <c r="H160" s="21"/>
      <c r="I160" s="53">
        <f>(I38+I164+I167+I170)/G38-1</f>
        <v>-1.436336111538794E-2</v>
      </c>
      <c r="J160" s="53">
        <f>(J38+J164+J167+J170)/I38-1</f>
        <v>-1.1333810572689007E-3</v>
      </c>
      <c r="K160" s="53">
        <f>(K38+K164+K167+K170)/J38-1</f>
        <v>-2.8161802355349819E-3</v>
      </c>
      <c r="L160" s="53">
        <f>(L38+L164+L167+L170)/K38-1</f>
        <v>-9.5210569021197955E-4</v>
      </c>
      <c r="M160" s="21"/>
      <c r="N160" s="277">
        <v>-1.4291996843950673E-2</v>
      </c>
      <c r="O160" s="53">
        <f>(O38+O164+O167+O170)/N38-1</f>
        <v>2.1276595744681437E-3</v>
      </c>
      <c r="P160" s="53">
        <f>(P38+P164+P167+P170)/O38-1</f>
        <v>8.4925690021231404E-4</v>
      </c>
      <c r="Q160" s="65">
        <f>P160</f>
        <v>8.4925690021231404E-4</v>
      </c>
      <c r="R160" s="21"/>
      <c r="S160" s="65">
        <f>Q160</f>
        <v>8.4925690021231404E-4</v>
      </c>
      <c r="T160" s="65">
        <f>S160</f>
        <v>8.4925690021231404E-4</v>
      </c>
      <c r="U160" s="65">
        <f t="shared" ref="U160:V160" si="625">T160</f>
        <v>8.4925690021231404E-4</v>
      </c>
      <c r="V160" s="65">
        <f t="shared" si="625"/>
        <v>8.4925690021231404E-4</v>
      </c>
      <c r="W160" s="21"/>
      <c r="X160" s="65">
        <f t="shared" ref="X160:X161" si="626">AVERAGE(S160,T160,U160,V160)</f>
        <v>8.4925690021231404E-4</v>
      </c>
      <c r="Y160" s="65">
        <f t="shared" ref="Y160:Y161" si="627">AVERAGE(T160,U160,V160,X160)</f>
        <v>8.4925690021231404E-4</v>
      </c>
      <c r="Z160" s="65">
        <f t="shared" ref="Z160:Z161" si="628">AVERAGE(U160,V160,X160,Y160)</f>
        <v>8.4925690021231404E-4</v>
      </c>
      <c r="AA160" s="65">
        <f t="shared" ref="AA160:AA161" si="629">AVERAGE(V160,X160,Y160,Z160)</f>
        <v>8.4925690021231404E-4</v>
      </c>
      <c r="AB160" s="21"/>
      <c r="AC160" s="65">
        <f t="shared" ref="AC160:AC161" si="630">AVERAGE(X160,Y160,Z160,AA160)</f>
        <v>8.4925690021231404E-4</v>
      </c>
      <c r="AD160" s="65">
        <f t="shared" ref="AD160:AD161" si="631">AVERAGE(Y160,Z160,AA160,AC160)</f>
        <v>8.4925690021231404E-4</v>
      </c>
      <c r="AE160" s="65">
        <f t="shared" ref="AE160:AE161" si="632">AVERAGE(Z160,AA160,AC160,AD160)</f>
        <v>8.4925690021231404E-4</v>
      </c>
      <c r="AF160" s="65">
        <f t="shared" ref="AF160:AF161" si="633">AVERAGE(AA160,AC160,AD160,AE160)</f>
        <v>8.4925690021231404E-4</v>
      </c>
      <c r="AG160" s="21"/>
      <c r="AH160" s="65">
        <f t="shared" ref="AH160:AH161" si="634">AVERAGE(AC160,AD160,AE160,AF160)</f>
        <v>8.4925690021231404E-4</v>
      </c>
      <c r="AI160" s="65">
        <f t="shared" ref="AI160:AI161" si="635">AVERAGE(AD160,AE160,AF160,AH160)</f>
        <v>8.4925690021231404E-4</v>
      </c>
      <c r="AJ160" s="65">
        <f t="shared" ref="AJ160:AJ161" si="636">AVERAGE(AE160,AF160,AH160,AI160)</f>
        <v>8.4925690021231404E-4</v>
      </c>
      <c r="AK160" s="65">
        <f t="shared" ref="AK160:AK161" si="637">AVERAGE(AF160,AH160,AI160,AJ160)</f>
        <v>8.4925690021231404E-4</v>
      </c>
      <c r="AL160" s="21"/>
      <c r="AM160" s="65">
        <f t="shared" ref="AM160:AM161" si="638">AVERAGE(AH160,AI160,AJ160,AK160)</f>
        <v>8.4925690021231404E-4</v>
      </c>
      <c r="AN160" s="65">
        <f t="shared" ref="AN160:AN161" si="639">AVERAGE(AI160,AJ160,AK160,AM160)</f>
        <v>8.4925690021231404E-4</v>
      </c>
      <c r="AO160" s="65">
        <f t="shared" ref="AO160:AO161" si="640">AVERAGE(AJ160,AK160,AM160,AN160)</f>
        <v>8.4925690021231404E-4</v>
      </c>
      <c r="AP160" s="65">
        <f t="shared" ref="AP160:AP161" si="641">AVERAGE(AK160,AM160,AN160,AO160)</f>
        <v>8.4925690021231404E-4</v>
      </c>
      <c r="AQ160" s="21"/>
    </row>
    <row r="161" spans="1:43" outlineLevel="1" x14ac:dyDescent="0.25">
      <c r="A161" s="254"/>
      <c r="B161" s="595" t="s">
        <v>52</v>
      </c>
      <c r="C161" s="596"/>
      <c r="D161" s="53"/>
      <c r="E161" s="53">
        <f>(E39+E164+E167+E170)/D39-1</f>
        <v>2.7604785512613583E-2</v>
      </c>
      <c r="F161" s="53">
        <f>(F39+F164+F167+F170)/E39-1</f>
        <v>-1.6710442080933863E-2</v>
      </c>
      <c r="G161" s="53">
        <f>(G39+G164+G167+G170)/F39-1</f>
        <v>1.9089589576967603E-2</v>
      </c>
      <c r="H161" s="21"/>
      <c r="I161" s="53">
        <f>(I39+I164+I167+I170)/G39-1</f>
        <v>-1.5386652077945762E-2</v>
      </c>
      <c r="J161" s="53">
        <f>(J39+J164+J167+J170)/I39-1</f>
        <v>-2.5506658270361138E-3</v>
      </c>
      <c r="K161" s="53">
        <f>(K39+K164+K167+K170)/J39-1</f>
        <v>-1.0332853392055585E-2</v>
      </c>
      <c r="L161" s="53">
        <f>(L39+L164+L167+L170)/K39-1</f>
        <v>8.9858793324775199E-3</v>
      </c>
      <c r="M161" s="21"/>
      <c r="N161" s="277">
        <v>-1.4291996843950673E-2</v>
      </c>
      <c r="O161" s="53">
        <f>(O39+O164+O167+O170)/N39-1</f>
        <v>1.5215553677092597E-3</v>
      </c>
      <c r="P161" s="53">
        <f>(P39+P164+P167+P170)/O39-1</f>
        <v>1.1816340310601969E-3</v>
      </c>
      <c r="Q161" s="65">
        <f>P161</f>
        <v>1.1816340310601969E-3</v>
      </c>
      <c r="R161" s="21"/>
      <c r="S161" s="65">
        <f>Q161</f>
        <v>1.1816340310601969E-3</v>
      </c>
      <c r="T161" s="65">
        <f>S161</f>
        <v>1.1816340310601969E-3</v>
      </c>
      <c r="U161" s="65">
        <f t="shared" ref="U161:V161" si="642">T161</f>
        <v>1.1816340310601969E-3</v>
      </c>
      <c r="V161" s="65">
        <f t="shared" si="642"/>
        <v>1.1816340310601969E-3</v>
      </c>
      <c r="W161" s="21"/>
      <c r="X161" s="65">
        <f t="shared" si="626"/>
        <v>1.1816340310601969E-3</v>
      </c>
      <c r="Y161" s="65">
        <f t="shared" si="627"/>
        <v>1.1816340310601969E-3</v>
      </c>
      <c r="Z161" s="65">
        <f t="shared" si="628"/>
        <v>1.1816340310601969E-3</v>
      </c>
      <c r="AA161" s="65">
        <f t="shared" si="629"/>
        <v>1.1816340310601969E-3</v>
      </c>
      <c r="AB161" s="21"/>
      <c r="AC161" s="65">
        <f t="shared" si="630"/>
        <v>1.1816340310601969E-3</v>
      </c>
      <c r="AD161" s="65">
        <f t="shared" si="631"/>
        <v>1.1816340310601969E-3</v>
      </c>
      <c r="AE161" s="65">
        <f t="shared" si="632"/>
        <v>1.1816340310601969E-3</v>
      </c>
      <c r="AF161" s="65">
        <f t="shared" si="633"/>
        <v>1.1816340310601969E-3</v>
      </c>
      <c r="AG161" s="21"/>
      <c r="AH161" s="65">
        <f t="shared" si="634"/>
        <v>1.1816340310601969E-3</v>
      </c>
      <c r="AI161" s="65">
        <f t="shared" si="635"/>
        <v>1.1816340310601969E-3</v>
      </c>
      <c r="AJ161" s="65">
        <f t="shared" si="636"/>
        <v>1.1816340310601969E-3</v>
      </c>
      <c r="AK161" s="65">
        <f t="shared" si="637"/>
        <v>1.1816340310601969E-3</v>
      </c>
      <c r="AL161" s="21"/>
      <c r="AM161" s="65">
        <f t="shared" si="638"/>
        <v>1.1816340310601969E-3</v>
      </c>
      <c r="AN161" s="65">
        <f t="shared" si="639"/>
        <v>1.1816340310601969E-3</v>
      </c>
      <c r="AO161" s="65">
        <f t="shared" si="640"/>
        <v>1.1816340310601969E-3</v>
      </c>
      <c r="AP161" s="65">
        <f t="shared" si="641"/>
        <v>1.1816340310601969E-3</v>
      </c>
      <c r="AQ161" s="21"/>
    </row>
    <row r="162" spans="1:43" outlineLevel="1" x14ac:dyDescent="0.25">
      <c r="A162" s="254"/>
      <c r="B162" s="595" t="s">
        <v>313</v>
      </c>
      <c r="C162" s="596"/>
      <c r="D162" s="67"/>
      <c r="E162" s="271">
        <v>69.922678056926543</v>
      </c>
      <c r="F162" s="271">
        <v>83.13076202744692</v>
      </c>
      <c r="G162" s="271">
        <v>92.52</v>
      </c>
      <c r="H162" s="68"/>
      <c r="I162" s="271">
        <v>85.23</v>
      </c>
      <c r="J162" s="271">
        <v>78.08</v>
      </c>
      <c r="K162" s="271">
        <v>0</v>
      </c>
      <c r="L162" s="271">
        <v>72</v>
      </c>
      <c r="M162" s="68"/>
      <c r="N162" s="271">
        <v>88</v>
      </c>
      <c r="O162" s="271">
        <v>122.5</v>
      </c>
      <c r="P162" s="271">
        <f>O162</f>
        <v>122.5</v>
      </c>
      <c r="Q162" s="69">
        <v>120</v>
      </c>
      <c r="R162" s="68"/>
      <c r="S162" s="69">
        <f>+Q162</f>
        <v>120</v>
      </c>
      <c r="T162" s="69">
        <f>+S162</f>
        <v>120</v>
      </c>
      <c r="U162" s="69">
        <f>+T162</f>
        <v>120</v>
      </c>
      <c r="V162" s="69">
        <f>+U162</f>
        <v>120</v>
      </c>
      <c r="W162" s="68"/>
      <c r="X162" s="69">
        <f>+V162</f>
        <v>120</v>
      </c>
      <c r="Y162" s="69">
        <f>+X162</f>
        <v>120</v>
      </c>
      <c r="Z162" s="69">
        <f>+Y162</f>
        <v>120</v>
      </c>
      <c r="AA162" s="69">
        <f>+Z162</f>
        <v>120</v>
      </c>
      <c r="AB162" s="68"/>
      <c r="AC162" s="69">
        <f>+AA162</f>
        <v>120</v>
      </c>
      <c r="AD162" s="69">
        <f>+AC162</f>
        <v>120</v>
      </c>
      <c r="AE162" s="69">
        <f>+AD162</f>
        <v>120</v>
      </c>
      <c r="AF162" s="69">
        <f>+AE162</f>
        <v>120</v>
      </c>
      <c r="AG162" s="68"/>
      <c r="AH162" s="69">
        <f>+AF162</f>
        <v>120</v>
      </c>
      <c r="AI162" s="69">
        <f>+AH162</f>
        <v>120</v>
      </c>
      <c r="AJ162" s="69">
        <f>+AI162</f>
        <v>120</v>
      </c>
      <c r="AK162" s="69">
        <f>+AJ162</f>
        <v>120</v>
      </c>
      <c r="AL162" s="68"/>
      <c r="AM162" s="69">
        <f>+AK162</f>
        <v>120</v>
      </c>
      <c r="AN162" s="69">
        <f>+AM162</f>
        <v>120</v>
      </c>
      <c r="AO162" s="69">
        <f>+AN162</f>
        <v>120</v>
      </c>
      <c r="AP162" s="69">
        <f>+AO162</f>
        <v>120</v>
      </c>
      <c r="AQ162" s="68"/>
    </row>
    <row r="163" spans="1:43" outlineLevel="1" x14ac:dyDescent="0.25">
      <c r="A163" s="254"/>
      <c r="B163" s="595" t="s">
        <v>314</v>
      </c>
      <c r="C163" s="596"/>
      <c r="D163" s="34"/>
      <c r="E163" s="261">
        <v>713.2</v>
      </c>
      <c r="F163" s="261">
        <f>954.3-713.2</f>
        <v>241.09999999999991</v>
      </c>
      <c r="G163" s="256">
        <v>2177.1942404399997</v>
      </c>
      <c r="H163" s="35">
        <f>+SUM(D163:G163)</f>
        <v>3131.4942404399999</v>
      </c>
      <c r="I163" s="256">
        <v>1107.9389472300002</v>
      </c>
      <c r="J163" s="256">
        <v>567.02921856000012</v>
      </c>
      <c r="K163" s="256">
        <v>0</v>
      </c>
      <c r="L163" s="256">
        <v>0</v>
      </c>
      <c r="M163" s="35">
        <f>+SUM(I163:L163)</f>
        <v>1674.9681657900003</v>
      </c>
      <c r="N163" s="256">
        <v>0</v>
      </c>
      <c r="O163" s="256">
        <v>0</v>
      </c>
      <c r="P163" s="256">
        <v>0</v>
      </c>
      <c r="Q163" s="63">
        <v>0</v>
      </c>
      <c r="R163" s="35">
        <f>+SUM(N163:Q163)</f>
        <v>0</v>
      </c>
      <c r="S163" s="63">
        <v>500</v>
      </c>
      <c r="T163" s="63">
        <v>500</v>
      </c>
      <c r="U163" s="63">
        <v>500</v>
      </c>
      <c r="V163" s="63">
        <v>500</v>
      </c>
      <c r="W163" s="350">
        <f>+SUM(S163:V163)</f>
        <v>2000</v>
      </c>
      <c r="X163" s="63">
        <v>500</v>
      </c>
      <c r="Y163" s="63">
        <v>500</v>
      </c>
      <c r="Z163" s="63">
        <v>500</v>
      </c>
      <c r="AA163" s="63">
        <v>500</v>
      </c>
      <c r="AB163" s="35">
        <f>+SUM(X163:AA163)</f>
        <v>2000</v>
      </c>
      <c r="AC163" s="63">
        <v>250</v>
      </c>
      <c r="AD163" s="63">
        <v>250</v>
      </c>
      <c r="AE163" s="63">
        <v>250</v>
      </c>
      <c r="AF163" s="63">
        <v>250</v>
      </c>
      <c r="AG163" s="35">
        <f>+SUM(AC163:AF163)</f>
        <v>1000</v>
      </c>
      <c r="AH163" s="63">
        <v>250</v>
      </c>
      <c r="AI163" s="63">
        <v>250</v>
      </c>
      <c r="AJ163" s="63">
        <v>250</v>
      </c>
      <c r="AK163" s="63">
        <v>250</v>
      </c>
      <c r="AL163" s="35">
        <f>+SUM(AH163:AK163)</f>
        <v>1000</v>
      </c>
      <c r="AM163" s="63">
        <v>250</v>
      </c>
      <c r="AN163" s="63">
        <v>250</v>
      </c>
      <c r="AO163" s="63">
        <v>250</v>
      </c>
      <c r="AP163" s="63">
        <v>250</v>
      </c>
      <c r="AQ163" s="35">
        <f>+SUM(AM163:AP163)</f>
        <v>1000</v>
      </c>
    </row>
    <row r="164" spans="1:43" outlineLevel="1" x14ac:dyDescent="0.25">
      <c r="A164" s="254"/>
      <c r="B164" s="595" t="s">
        <v>315</v>
      </c>
      <c r="C164" s="596"/>
      <c r="D164" s="336"/>
      <c r="E164" s="336">
        <f>IF((E163)&gt;0,(E163/E162),0)</f>
        <v>10.199838161509755</v>
      </c>
      <c r="F164" s="339">
        <f>IF((F163)&gt;0,(F163/F162),0)</f>
        <v>2.9002500893760241</v>
      </c>
      <c r="G164" s="339">
        <f>IF((G163)&gt;0,(G163/G162),0)</f>
        <v>23.532146999999998</v>
      </c>
      <c r="H164" s="170">
        <f>+SUM(D164:G164)</f>
        <v>36.632235250885778</v>
      </c>
      <c r="I164" s="336">
        <f>IF((I163)&gt;0,(I163/I162),0)</f>
        <v>12.999401000000001</v>
      </c>
      <c r="J164" s="339">
        <f>IF((J163)&gt;0,(J163/J162),0)</f>
        <v>7.262157000000002</v>
      </c>
      <c r="K164" s="336">
        <f>IF((K163)&gt;0,(K163/K162),0)</f>
        <v>0</v>
      </c>
      <c r="L164" s="336">
        <f>IF((L163)&gt;0,(L163/L162),0)</f>
        <v>0</v>
      </c>
      <c r="M164" s="170">
        <f>+SUM(I164:L164)</f>
        <v>20.261558000000001</v>
      </c>
      <c r="N164" s="336">
        <f>IF((N163)&gt;0,(N163/N162),0)</f>
        <v>0</v>
      </c>
      <c r="O164" s="336">
        <f>IF((O163)&gt;0,(O163/O162),0)</f>
        <v>0</v>
      </c>
      <c r="P164" s="336">
        <f>IF((P163)&gt;0,(P163/P162),0)</f>
        <v>0</v>
      </c>
      <c r="Q164" s="336">
        <f>IF((Q163)&gt;0,(Q163/Q162),0)</f>
        <v>0</v>
      </c>
      <c r="R164" s="170">
        <f>+SUM(N164:Q164)</f>
        <v>0</v>
      </c>
      <c r="S164" s="336">
        <f>IF((S163)&gt;0,(S163/S162),0)</f>
        <v>4.166666666666667</v>
      </c>
      <c r="T164" s="336">
        <f>IF((T163)&gt;0,(T163/T162),0)</f>
        <v>4.166666666666667</v>
      </c>
      <c r="U164" s="336">
        <f>IF((U163)&gt;0,(U163/U162),0)</f>
        <v>4.166666666666667</v>
      </c>
      <c r="V164" s="336">
        <f>IF((V163)&gt;0,(V163/V162),0)</f>
        <v>4.166666666666667</v>
      </c>
      <c r="W164" s="170">
        <f>+SUM(S164:V164)</f>
        <v>16.666666666666668</v>
      </c>
      <c r="X164" s="336">
        <f>IF((X163)&gt;0,(X163/X162),0)</f>
        <v>4.166666666666667</v>
      </c>
      <c r="Y164" s="336">
        <f>IF((Y163)&gt;0,(Y163/Y162),0)</f>
        <v>4.166666666666667</v>
      </c>
      <c r="Z164" s="336">
        <f>IF((Z163)&gt;0,(Z163/Z162),0)</f>
        <v>4.166666666666667</v>
      </c>
      <c r="AA164" s="336">
        <f>IF((AA163)&gt;0,(AA163/AA162),0)</f>
        <v>4.166666666666667</v>
      </c>
      <c r="AB164" s="170">
        <f>+SUM(X164:AA164)</f>
        <v>16.666666666666668</v>
      </c>
      <c r="AC164" s="336">
        <f>IF((AC163)&gt;0,(AC163/AC162),0)</f>
        <v>2.0833333333333335</v>
      </c>
      <c r="AD164" s="336">
        <f>IF((AD163)&gt;0,(AD163/AD162),0)</f>
        <v>2.0833333333333335</v>
      </c>
      <c r="AE164" s="336">
        <f>IF((AE163)&gt;0,(AE163/AE162),0)</f>
        <v>2.0833333333333335</v>
      </c>
      <c r="AF164" s="336">
        <f>IF((AF163)&gt;0,(AF163/AF162),0)</f>
        <v>2.0833333333333335</v>
      </c>
      <c r="AG164" s="170">
        <f>+SUM(AC164:AF164)</f>
        <v>8.3333333333333339</v>
      </c>
      <c r="AH164" s="336">
        <f>IF((AH163)&gt;0,(AH163/AH162),0)</f>
        <v>2.0833333333333335</v>
      </c>
      <c r="AI164" s="336">
        <f>IF((AI163)&gt;0,(AI163/AI162),0)</f>
        <v>2.0833333333333335</v>
      </c>
      <c r="AJ164" s="336">
        <f>IF((AJ163)&gt;0,(AJ163/AJ162),0)</f>
        <v>2.0833333333333335</v>
      </c>
      <c r="AK164" s="336">
        <f>IF((AK163)&gt;0,(AK163/AK162),0)</f>
        <v>2.0833333333333335</v>
      </c>
      <c r="AL164" s="170">
        <f>+SUM(AH164:AK164)</f>
        <v>8.3333333333333339</v>
      </c>
      <c r="AM164" s="336">
        <f>IF((AM163)&gt;0,(AM163/AM162),0)</f>
        <v>2.0833333333333335</v>
      </c>
      <c r="AN164" s="336">
        <f>IF((AN163)&gt;0,(AN163/AN162),0)</f>
        <v>2.0833333333333335</v>
      </c>
      <c r="AO164" s="336">
        <f>IF((AO163)&gt;0,(AO163/AO162),0)</f>
        <v>2.0833333333333335</v>
      </c>
      <c r="AP164" s="336">
        <f>IF((AP163)&gt;0,(AP163/AP162),0)</f>
        <v>2.0833333333333335</v>
      </c>
      <c r="AQ164" s="170">
        <f>+SUM(AM164:AP164)</f>
        <v>8.3333333333333339</v>
      </c>
    </row>
    <row r="165" spans="1:43" outlineLevel="1" x14ac:dyDescent="0.25">
      <c r="A165" s="254"/>
      <c r="B165" s="607" t="s">
        <v>307</v>
      </c>
      <c r="C165" s="608"/>
      <c r="D165" s="340">
        <v>55.58</v>
      </c>
      <c r="E165" s="341">
        <v>65.03</v>
      </c>
      <c r="F165" s="233"/>
      <c r="G165" s="233"/>
      <c r="H165" s="209"/>
      <c r="I165" s="233"/>
      <c r="J165" s="233"/>
      <c r="K165" s="233"/>
      <c r="L165" s="233"/>
      <c r="M165" s="209"/>
      <c r="N165" s="233"/>
      <c r="O165" s="233"/>
      <c r="P165" s="233"/>
      <c r="Q165" s="233"/>
      <c r="R165" s="209"/>
      <c r="S165" s="233"/>
      <c r="T165" s="233"/>
      <c r="U165" s="233"/>
      <c r="V165" s="233"/>
      <c r="W165" s="209"/>
      <c r="X165" s="233"/>
      <c r="Y165" s="233"/>
      <c r="Z165" s="233"/>
      <c r="AA165" s="233"/>
      <c r="AB165" s="209"/>
      <c r="AC165" s="233"/>
      <c r="AD165" s="233"/>
      <c r="AE165" s="233"/>
      <c r="AF165" s="233"/>
      <c r="AG165" s="209"/>
      <c r="AH165" s="233"/>
      <c r="AI165" s="233"/>
      <c r="AJ165" s="233"/>
      <c r="AK165" s="233"/>
      <c r="AL165" s="209"/>
      <c r="AM165" s="233"/>
      <c r="AN165" s="233"/>
      <c r="AO165" s="233"/>
      <c r="AP165" s="233"/>
      <c r="AQ165" s="209"/>
    </row>
    <row r="166" spans="1:43" outlineLevel="1" x14ac:dyDescent="0.25">
      <c r="A166" s="254"/>
      <c r="B166" s="609" t="s">
        <v>308</v>
      </c>
      <c r="C166" s="610"/>
      <c r="D166" s="342">
        <f>71.968334*55.58</f>
        <v>4000.0000037199998</v>
      </c>
      <c r="E166" s="343">
        <v>318.64700000000005</v>
      </c>
      <c r="F166" s="336"/>
      <c r="G166" s="336"/>
      <c r="H166" s="170"/>
      <c r="I166" s="336"/>
      <c r="J166" s="336"/>
      <c r="K166" s="336"/>
      <c r="L166" s="336"/>
      <c r="M166" s="170"/>
      <c r="N166" s="336"/>
      <c r="O166" s="336"/>
      <c r="P166" s="336"/>
      <c r="Q166" s="336"/>
      <c r="R166" s="170"/>
      <c r="S166" s="336"/>
      <c r="T166" s="336"/>
      <c r="U166" s="336"/>
      <c r="V166" s="336"/>
      <c r="W166" s="330"/>
      <c r="X166" s="336"/>
      <c r="Y166" s="336"/>
      <c r="Z166" s="336"/>
      <c r="AA166" s="336"/>
      <c r="AB166" s="170"/>
      <c r="AC166" s="336"/>
      <c r="AD166" s="336"/>
      <c r="AE166" s="336"/>
      <c r="AF166" s="336"/>
      <c r="AG166" s="170"/>
      <c r="AH166" s="336"/>
      <c r="AI166" s="336"/>
      <c r="AJ166" s="336"/>
      <c r="AK166" s="336"/>
      <c r="AL166" s="170"/>
      <c r="AM166" s="336"/>
      <c r="AN166" s="336"/>
      <c r="AO166" s="336"/>
      <c r="AP166" s="336"/>
      <c r="AQ166" s="170"/>
    </row>
    <row r="167" spans="1:43" outlineLevel="1" x14ac:dyDescent="0.25">
      <c r="A167" s="254"/>
      <c r="B167" s="611" t="s">
        <v>309</v>
      </c>
      <c r="C167" s="612"/>
      <c r="D167" s="344">
        <f>IF((D166)&gt;0,(D166/D165),0)</f>
        <v>71.968333999999999</v>
      </c>
      <c r="E167" s="337">
        <f>IF((E166)&gt;0,(E166/E165),0)</f>
        <v>4.9000000000000004</v>
      </c>
      <c r="F167" s="337"/>
      <c r="G167" s="337"/>
      <c r="H167" s="338"/>
      <c r="I167" s="337"/>
      <c r="J167" s="337"/>
      <c r="K167" s="337"/>
      <c r="L167" s="337"/>
      <c r="M167" s="338"/>
      <c r="N167" s="337"/>
      <c r="O167" s="337"/>
      <c r="P167" s="337"/>
      <c r="Q167" s="337"/>
      <c r="R167" s="338"/>
      <c r="S167" s="337"/>
      <c r="T167" s="337"/>
      <c r="U167" s="337"/>
      <c r="V167" s="337"/>
      <c r="W167" s="526"/>
      <c r="X167" s="337"/>
      <c r="Y167" s="337"/>
      <c r="Z167" s="337"/>
      <c r="AA167" s="337"/>
      <c r="AB167" s="338"/>
      <c r="AC167" s="337"/>
      <c r="AD167" s="337"/>
      <c r="AE167" s="337"/>
      <c r="AF167" s="337"/>
      <c r="AG167" s="338"/>
      <c r="AH167" s="337"/>
      <c r="AI167" s="337"/>
      <c r="AJ167" s="337"/>
      <c r="AK167" s="337"/>
      <c r="AL167" s="338"/>
      <c r="AM167" s="337"/>
      <c r="AN167" s="337"/>
      <c r="AO167" s="337"/>
      <c r="AP167" s="337"/>
      <c r="AQ167" s="338"/>
    </row>
    <row r="168" spans="1:43" outlineLevel="1" x14ac:dyDescent="0.25">
      <c r="A168" s="254"/>
      <c r="B168" s="394" t="s">
        <v>310</v>
      </c>
      <c r="C168" s="395"/>
      <c r="D168" s="336"/>
      <c r="E168" s="67">
        <v>71.959999999999994</v>
      </c>
      <c r="F168" s="67">
        <v>76.5</v>
      </c>
      <c r="G168" s="336"/>
      <c r="H168" s="170"/>
      <c r="I168" s="336"/>
      <c r="J168" s="336"/>
      <c r="K168" s="336"/>
      <c r="L168" s="336"/>
      <c r="M168" s="170"/>
      <c r="N168" s="336"/>
      <c r="O168" s="336"/>
      <c r="P168" s="336"/>
      <c r="Q168" s="336"/>
      <c r="R168" s="170"/>
      <c r="S168" s="336"/>
      <c r="T168" s="336"/>
      <c r="U168" s="336"/>
      <c r="V168" s="336"/>
      <c r="W168" s="170"/>
      <c r="X168" s="336"/>
      <c r="Y168" s="336"/>
      <c r="Z168" s="336"/>
      <c r="AA168" s="336"/>
      <c r="AB168" s="170"/>
      <c r="AC168" s="336"/>
      <c r="AD168" s="336"/>
      <c r="AE168" s="336"/>
      <c r="AF168" s="336"/>
      <c r="AG168" s="170"/>
      <c r="AH168" s="336"/>
      <c r="AI168" s="336"/>
      <c r="AJ168" s="336"/>
      <c r="AK168" s="336"/>
      <c r="AL168" s="170"/>
      <c r="AM168" s="336"/>
      <c r="AN168" s="336"/>
      <c r="AO168" s="336"/>
      <c r="AP168" s="336"/>
      <c r="AQ168" s="170"/>
    </row>
    <row r="169" spans="1:43" outlineLevel="1" x14ac:dyDescent="0.25">
      <c r="A169" s="254"/>
      <c r="B169" s="394" t="s">
        <v>311</v>
      </c>
      <c r="C169" s="395"/>
      <c r="D169" s="336"/>
      <c r="E169" s="34">
        <v>1597.5119999999997</v>
      </c>
      <c r="F169" s="34">
        <v>298.35000000000002</v>
      </c>
      <c r="G169" s="336"/>
      <c r="H169" s="170"/>
      <c r="I169" s="336"/>
      <c r="J169" s="336"/>
      <c r="K169" s="336"/>
      <c r="L169" s="336"/>
      <c r="M169" s="170"/>
      <c r="N169" s="462"/>
      <c r="O169" s="336"/>
      <c r="P169" s="336"/>
      <c r="Q169" s="336"/>
      <c r="R169" s="170"/>
      <c r="S169" s="336"/>
      <c r="T169" s="336"/>
      <c r="U169" s="336"/>
      <c r="V169" s="336"/>
      <c r="W169" s="170"/>
      <c r="X169" s="336"/>
      <c r="Y169" s="336"/>
      <c r="Z169" s="336"/>
      <c r="AA169" s="336"/>
      <c r="AB169" s="170"/>
      <c r="AC169" s="336"/>
      <c r="AD169" s="336"/>
      <c r="AE169" s="336"/>
      <c r="AF169" s="336"/>
      <c r="AG169" s="170"/>
      <c r="AH169" s="336"/>
      <c r="AI169" s="336"/>
      <c r="AJ169" s="336"/>
      <c r="AK169" s="336"/>
      <c r="AL169" s="170"/>
      <c r="AM169" s="336"/>
      <c r="AN169" s="336"/>
      <c r="AO169" s="336"/>
      <c r="AP169" s="336"/>
      <c r="AQ169" s="170"/>
    </row>
    <row r="170" spans="1:43" outlineLevel="1" x14ac:dyDescent="0.25">
      <c r="A170" s="254"/>
      <c r="B170" s="394" t="s">
        <v>312</v>
      </c>
      <c r="C170" s="395"/>
      <c r="D170" s="336"/>
      <c r="E170" s="336">
        <f>IF((E169)&gt;0,(E169/E168),0)</f>
        <v>22.2</v>
      </c>
      <c r="F170" s="336">
        <f>IF((F169)&gt;0,(F169/F168),0)</f>
        <v>3.9000000000000004</v>
      </c>
      <c r="G170" s="336"/>
      <c r="H170" s="170"/>
      <c r="I170" s="336"/>
      <c r="J170" s="336"/>
      <c r="K170" s="336"/>
      <c r="L170" s="336"/>
      <c r="M170" s="170"/>
      <c r="N170" s="336"/>
      <c r="O170" s="336"/>
      <c r="P170" s="336"/>
      <c r="Q170" s="336"/>
      <c r="R170" s="170"/>
      <c r="S170" s="336"/>
      <c r="T170" s="336"/>
      <c r="U170" s="336"/>
      <c r="V170" s="336"/>
      <c r="W170" s="170"/>
      <c r="X170" s="336"/>
      <c r="Y170" s="336"/>
      <c r="Z170" s="336"/>
      <c r="AA170" s="336"/>
      <c r="AB170" s="170"/>
      <c r="AC170" s="336"/>
      <c r="AD170" s="336"/>
      <c r="AE170" s="336"/>
      <c r="AF170" s="336"/>
      <c r="AG170" s="170"/>
      <c r="AH170" s="336"/>
      <c r="AI170" s="336"/>
      <c r="AJ170" s="336"/>
      <c r="AK170" s="336"/>
      <c r="AL170" s="170"/>
      <c r="AM170" s="336"/>
      <c r="AN170" s="336"/>
      <c r="AO170" s="336"/>
      <c r="AP170" s="336"/>
      <c r="AQ170" s="170"/>
    </row>
    <row r="171" spans="1:43" ht="18" x14ac:dyDescent="0.4">
      <c r="A171" s="254"/>
      <c r="B171" s="565" t="s">
        <v>75</v>
      </c>
      <c r="C171" s="566"/>
      <c r="D171" s="32" t="s">
        <v>119</v>
      </c>
      <c r="E171" s="32" t="s">
        <v>243</v>
      </c>
      <c r="F171" s="32" t="s">
        <v>247</v>
      </c>
      <c r="G171" s="32" t="s">
        <v>257</v>
      </c>
      <c r="H171" s="86" t="s">
        <v>258</v>
      </c>
      <c r="I171" s="32" t="s">
        <v>259</v>
      </c>
      <c r="J171" s="32" t="s">
        <v>260</v>
      </c>
      <c r="K171" s="32" t="s">
        <v>261</v>
      </c>
      <c r="L171" s="32" t="s">
        <v>322</v>
      </c>
      <c r="M171" s="86" t="s">
        <v>333</v>
      </c>
      <c r="N171" s="32" t="s">
        <v>339</v>
      </c>
      <c r="O171" s="32" t="s">
        <v>347</v>
      </c>
      <c r="P171" s="32" t="s">
        <v>349</v>
      </c>
      <c r="Q171" s="30" t="s">
        <v>129</v>
      </c>
      <c r="R171" s="89" t="s">
        <v>130</v>
      </c>
      <c r="S171" s="30" t="s">
        <v>131</v>
      </c>
      <c r="T171" s="30" t="s">
        <v>132</v>
      </c>
      <c r="U171" s="30" t="s">
        <v>133</v>
      </c>
      <c r="V171" s="30" t="s">
        <v>134</v>
      </c>
      <c r="W171" s="89" t="s">
        <v>135</v>
      </c>
      <c r="X171" s="30" t="s">
        <v>136</v>
      </c>
      <c r="Y171" s="30" t="s">
        <v>137</v>
      </c>
      <c r="Z171" s="30" t="s">
        <v>138</v>
      </c>
      <c r="AA171" s="30" t="s">
        <v>139</v>
      </c>
      <c r="AB171" s="89" t="s">
        <v>140</v>
      </c>
      <c r="AC171" s="30" t="s">
        <v>252</v>
      </c>
      <c r="AD171" s="30" t="s">
        <v>253</v>
      </c>
      <c r="AE171" s="30" t="s">
        <v>254</v>
      </c>
      <c r="AF171" s="30" t="s">
        <v>255</v>
      </c>
      <c r="AG171" s="89" t="s">
        <v>256</v>
      </c>
      <c r="AH171" s="30" t="s">
        <v>285</v>
      </c>
      <c r="AI171" s="30" t="s">
        <v>286</v>
      </c>
      <c r="AJ171" s="30" t="s">
        <v>287</v>
      </c>
      <c r="AK171" s="30" t="s">
        <v>288</v>
      </c>
      <c r="AL171" s="89" t="s">
        <v>289</v>
      </c>
      <c r="AM171" s="30" t="s">
        <v>356</v>
      </c>
      <c r="AN171" s="30" t="s">
        <v>357</v>
      </c>
      <c r="AO171" s="30" t="s">
        <v>358</v>
      </c>
      <c r="AP171" s="30" t="s">
        <v>359</v>
      </c>
      <c r="AQ171" s="89" t="s">
        <v>360</v>
      </c>
    </row>
    <row r="172" spans="1:43" outlineLevel="1" x14ac:dyDescent="0.25">
      <c r="A172" s="254"/>
      <c r="B172" s="595" t="s">
        <v>189</v>
      </c>
      <c r="C172" s="596"/>
      <c r="D172" s="258">
        <f>-(22+5.3+0.6+20.9)</f>
        <v>-48.8</v>
      </c>
      <c r="E172" s="258">
        <v>-45.1</v>
      </c>
      <c r="F172" s="258">
        <v>-39.6</v>
      </c>
      <c r="G172" s="258">
        <f>-146.2+133.5</f>
        <v>-12.699999999999989</v>
      </c>
      <c r="H172" s="368">
        <f>SUM(D172:G172)</f>
        <v>-146.19999999999999</v>
      </c>
      <c r="I172" s="258">
        <v>-7.1</v>
      </c>
      <c r="J172" s="258">
        <v>0.1</v>
      </c>
      <c r="K172" s="261">
        <f>-K22</f>
        <v>-78.099999999999994</v>
      </c>
      <c r="L172" s="256">
        <v>-195.5</v>
      </c>
      <c r="M172" s="35"/>
      <c r="N172" s="34">
        <v>-72.2</v>
      </c>
      <c r="O172" s="34">
        <v>-23</v>
      </c>
      <c r="P172" s="34">
        <v>-19.8</v>
      </c>
      <c r="Q172" s="34">
        <f>P172</f>
        <v>-19.8</v>
      </c>
      <c r="R172" s="35"/>
      <c r="S172" s="34">
        <f>-S22</f>
        <v>0</v>
      </c>
      <c r="T172" s="34">
        <f>-T22</f>
        <v>0</v>
      </c>
      <c r="U172" s="34">
        <f>-U22</f>
        <v>0</v>
      </c>
      <c r="V172" s="34">
        <f>-V22</f>
        <v>0</v>
      </c>
      <c r="W172" s="35"/>
      <c r="X172" s="34">
        <f>-X22</f>
        <v>0</v>
      </c>
      <c r="Y172" s="34">
        <f>-Y22</f>
        <v>0</v>
      </c>
      <c r="Z172" s="34">
        <f>-Z22</f>
        <v>0</v>
      </c>
      <c r="AA172" s="34">
        <f>-AA22</f>
        <v>0</v>
      </c>
      <c r="AB172" s="35"/>
      <c r="AC172" s="34">
        <f>-AC22</f>
        <v>0</v>
      </c>
      <c r="AD172" s="34">
        <f>-AD22</f>
        <v>0</v>
      </c>
      <c r="AE172" s="34">
        <f>-AE22</f>
        <v>0</v>
      </c>
      <c r="AF172" s="34">
        <f>-AF22</f>
        <v>0</v>
      </c>
      <c r="AG172" s="35"/>
      <c r="AH172" s="34">
        <f>-AH22</f>
        <v>0</v>
      </c>
      <c r="AI172" s="34">
        <f>-AI22</f>
        <v>0</v>
      </c>
      <c r="AJ172" s="34">
        <f>-AJ22</f>
        <v>0</v>
      </c>
      <c r="AK172" s="34">
        <f>-AK22</f>
        <v>0</v>
      </c>
      <c r="AL172" s="35"/>
      <c r="AM172" s="34">
        <f>-AM22</f>
        <v>0</v>
      </c>
      <c r="AN172" s="34">
        <f>-AN22</f>
        <v>0</v>
      </c>
      <c r="AO172" s="34">
        <f>-AO22</f>
        <v>0</v>
      </c>
      <c r="AP172" s="34">
        <f>-AP22</f>
        <v>0</v>
      </c>
      <c r="AQ172" s="35"/>
    </row>
    <row r="173" spans="1:43" outlineLevel="1" x14ac:dyDescent="0.25">
      <c r="A173" s="254"/>
      <c r="B173" s="394" t="s">
        <v>188</v>
      </c>
      <c r="C173" s="395"/>
      <c r="D173" s="258">
        <f>-(5.3+0.5)</f>
        <v>-5.8</v>
      </c>
      <c r="E173" s="258">
        <v>-4.3</v>
      </c>
      <c r="F173" s="258">
        <v>-2.2999999999999998</v>
      </c>
      <c r="G173" s="258">
        <v>-0.2</v>
      </c>
      <c r="H173" s="368">
        <f t="shared" ref="H173:H176" si="643">SUM(D173:G173)</f>
        <v>-12.599999999999998</v>
      </c>
      <c r="I173" s="258">
        <v>-5.6</v>
      </c>
      <c r="J173" s="258">
        <v>-6.8</v>
      </c>
      <c r="K173" s="261">
        <v>-35.04</v>
      </c>
      <c r="L173" s="256">
        <v>0</v>
      </c>
      <c r="M173" s="35"/>
      <c r="N173" s="34">
        <v>0</v>
      </c>
      <c r="O173" s="34">
        <v>0</v>
      </c>
      <c r="P173" s="34">
        <v>22.8</v>
      </c>
      <c r="Q173" s="34">
        <f t="shared" ref="Q173:Q174" si="644">P173</f>
        <v>22.8</v>
      </c>
      <c r="R173" s="35"/>
      <c r="S173" s="34"/>
      <c r="T173" s="34"/>
      <c r="U173" s="34"/>
      <c r="V173" s="34"/>
      <c r="W173" s="35"/>
      <c r="X173" s="34"/>
      <c r="Y173" s="34"/>
      <c r="Z173" s="34"/>
      <c r="AA173" s="34"/>
      <c r="AB173" s="35"/>
      <c r="AC173" s="34"/>
      <c r="AD173" s="34"/>
      <c r="AE173" s="34"/>
      <c r="AF173" s="34"/>
      <c r="AG173" s="35"/>
      <c r="AH173" s="34"/>
      <c r="AI173" s="34"/>
      <c r="AJ173" s="34"/>
      <c r="AK173" s="34"/>
      <c r="AL173" s="35"/>
      <c r="AM173" s="34"/>
      <c r="AN173" s="34"/>
      <c r="AO173" s="34"/>
      <c r="AP173" s="34"/>
      <c r="AQ173" s="35"/>
    </row>
    <row r="174" spans="1:43" outlineLevel="1" x14ac:dyDescent="0.25">
      <c r="A174" s="254"/>
      <c r="B174" s="595" t="s">
        <v>305</v>
      </c>
      <c r="C174" s="596"/>
      <c r="D174" s="258">
        <f>-(60.6-0.3)</f>
        <v>-60.300000000000004</v>
      </c>
      <c r="E174" s="258">
        <v>-68.2</v>
      </c>
      <c r="F174" s="258">
        <v>-69</v>
      </c>
      <c r="G174" s="258">
        <f>-262+197.5</f>
        <v>-64.5</v>
      </c>
      <c r="H174" s="368">
        <f>SUM(D174:G174)</f>
        <v>-262</v>
      </c>
      <c r="I174" s="258">
        <v>-58.9</v>
      </c>
      <c r="J174" s="258">
        <v>-60.1</v>
      </c>
      <c r="K174" s="261">
        <v>-60.54</v>
      </c>
      <c r="L174" s="256">
        <v>-64</v>
      </c>
      <c r="M174" s="35"/>
      <c r="N174" s="34">
        <v>-62.7</v>
      </c>
      <c r="O174" s="34">
        <v>-65.2</v>
      </c>
      <c r="P174" s="34">
        <v>-54.7</v>
      </c>
      <c r="Q174" s="34">
        <f t="shared" si="644"/>
        <v>-54.7</v>
      </c>
      <c r="R174" s="35"/>
      <c r="S174" s="34"/>
      <c r="T174" s="34"/>
      <c r="U174" s="34"/>
      <c r="V174" s="34"/>
      <c r="W174" s="35"/>
      <c r="X174" s="34"/>
      <c r="Y174" s="34"/>
      <c r="Z174" s="34"/>
      <c r="AA174" s="34"/>
      <c r="AB174" s="35"/>
      <c r="AC174" s="34"/>
      <c r="AD174" s="34"/>
      <c r="AE174" s="34"/>
      <c r="AF174" s="34"/>
      <c r="AG174" s="35"/>
      <c r="AH174" s="34"/>
      <c r="AI174" s="34"/>
      <c r="AJ174" s="34"/>
      <c r="AK174" s="34"/>
      <c r="AL174" s="35"/>
      <c r="AM174" s="34"/>
      <c r="AN174" s="34"/>
      <c r="AO174" s="34"/>
      <c r="AP174" s="34"/>
      <c r="AQ174" s="35"/>
    </row>
    <row r="175" spans="1:43" outlineLevel="1" x14ac:dyDescent="0.25">
      <c r="A175" s="254"/>
      <c r="B175" s="394" t="s">
        <v>190</v>
      </c>
      <c r="C175" s="395"/>
      <c r="D175" s="258">
        <v>-23.1</v>
      </c>
      <c r="E175" s="258">
        <v>-23.8</v>
      </c>
      <c r="F175" s="258">
        <v>-14.4</v>
      </c>
      <c r="G175" s="258">
        <v>0</v>
      </c>
      <c r="H175" s="368">
        <f t="shared" si="643"/>
        <v>-61.300000000000004</v>
      </c>
      <c r="I175" s="258"/>
      <c r="J175" s="258"/>
      <c r="K175" s="256"/>
      <c r="L175" s="256"/>
      <c r="M175" s="35"/>
      <c r="N175" s="34"/>
      <c r="O175" s="34"/>
      <c r="P175" s="34"/>
      <c r="Q175" s="34"/>
      <c r="R175" s="35"/>
      <c r="S175" s="34"/>
      <c r="T175" s="34"/>
      <c r="U175" s="34"/>
      <c r="V175" s="34"/>
      <c r="W175" s="35"/>
      <c r="X175" s="34"/>
      <c r="Y175" s="34"/>
      <c r="Z175" s="34"/>
      <c r="AA175" s="34"/>
      <c r="AB175" s="35"/>
      <c r="AC175" s="34"/>
      <c r="AD175" s="34"/>
      <c r="AE175" s="34"/>
      <c r="AF175" s="34"/>
      <c r="AG175" s="35"/>
      <c r="AH175" s="34"/>
      <c r="AI175" s="34"/>
      <c r="AJ175" s="34"/>
      <c r="AK175" s="34"/>
      <c r="AL175" s="35"/>
      <c r="AM175" s="34"/>
      <c r="AN175" s="34"/>
      <c r="AO175" s="34"/>
      <c r="AP175" s="34"/>
      <c r="AQ175" s="35"/>
    </row>
    <row r="176" spans="1:43" ht="17.25" outlineLevel="1" x14ac:dyDescent="0.4">
      <c r="A176" s="254"/>
      <c r="B176" s="394" t="s">
        <v>237</v>
      </c>
      <c r="C176" s="395"/>
      <c r="D176" s="331">
        <v>0</v>
      </c>
      <c r="E176" s="331">
        <v>0</v>
      </c>
      <c r="F176" s="331">
        <v>0</v>
      </c>
      <c r="G176" s="331">
        <v>0</v>
      </c>
      <c r="H176" s="369">
        <f t="shared" si="643"/>
        <v>0</v>
      </c>
      <c r="I176" s="331">
        <v>0</v>
      </c>
      <c r="J176" s="331">
        <v>0</v>
      </c>
      <c r="K176" s="270">
        <v>0</v>
      </c>
      <c r="L176" s="270">
        <v>0</v>
      </c>
      <c r="M176" s="35"/>
      <c r="N176" s="270">
        <v>0</v>
      </c>
      <c r="O176" s="270">
        <v>0</v>
      </c>
      <c r="P176" s="270">
        <v>0</v>
      </c>
      <c r="Q176" s="61">
        <v>0</v>
      </c>
      <c r="R176" s="35"/>
      <c r="S176" s="61">
        <f>AVERAGE(I177,J177,K177,L177,N177,O177,P177,Q177)-S172</f>
        <v>-112.26</v>
      </c>
      <c r="T176" s="61">
        <f>AVERAGE(J177,K177,L177,N177,O177,P177,Q177,S177)-T172</f>
        <v>-117.34250000000002</v>
      </c>
      <c r="U176" s="61">
        <f>AVERAGE(K177,L177,N177,O177,P177,Q177,S177,T177)-U172</f>
        <v>-123.6603125</v>
      </c>
      <c r="V176" s="61">
        <f>AVERAGE(L177,N177,O177,P177,Q177,S177,T177,U177)-V172</f>
        <v>-117.4078515625</v>
      </c>
      <c r="W176" s="35"/>
      <c r="X176" s="61">
        <f>AVERAGE(N177,O177,P177,Q177,S177,T177,U177,V177)-X172</f>
        <v>-99.646333007812501</v>
      </c>
      <c r="Y176" s="61">
        <f>AVERAGE(O177,P177,Q177,S177,T177,U177,V177,X177)-Y172</f>
        <v>-95.239624633789063</v>
      </c>
      <c r="Z176" s="61">
        <f>AVERAGE(P177,Q177,S177,T177,U177,V177,X177,Y177)-Z172</f>
        <v>-96.119577713012703</v>
      </c>
      <c r="AA176" s="61">
        <f>AVERAGE(Q177,S177,T177,U177,V177,X177,Y177,Z177)-AA172</f>
        <v>-101.67202492713929</v>
      </c>
      <c r="AB176" s="35"/>
      <c r="AC176" s="61">
        <f>AVERAGE(S177,T177,U177,V177,X177,Y177,Z177,AA177)-AC172</f>
        <v>-107.9185280430317</v>
      </c>
      <c r="AD176" s="61">
        <f>AVERAGE(T177,U177,V177,X177,Y177,Z177,AA177,AC177)-AD172</f>
        <v>-107.37584404841067</v>
      </c>
      <c r="AE176" s="61">
        <f>AVERAGE(U177,V177,X177,Y177,Z177,AA177,AC177,AD177)-AE172</f>
        <v>-106.13001205446201</v>
      </c>
      <c r="AF176" s="61">
        <f>AVERAGE(V177,X177,Y177,Z177,AA177,AC177,AD177,AE177)-AF172</f>
        <v>-103.93872449876974</v>
      </c>
      <c r="AG176" s="35"/>
      <c r="AH176" s="61">
        <f>AVERAGE(X177,Y177,Z177,AA177,AC177,AD177,AE177,AF177)-AH172</f>
        <v>-102.25508361580346</v>
      </c>
      <c r="AI176" s="61">
        <f>AVERAGE(Y177,Z177,AA177,AC177,AD177,AE177,AF177,AH177)-AI172</f>
        <v>-102.58117744180232</v>
      </c>
      <c r="AJ176" s="61">
        <f>AVERAGE(Z177,AA177,AC177,AD177,AE177,AF177,AH177,AI177)-AJ172</f>
        <v>-103.49887154280398</v>
      </c>
      <c r="AK176" s="61">
        <f>AVERAGE(AA177,AC177,AD177,AE177,AF177,AH177,AI177,AJ177)-AK172</f>
        <v>-104.42128327152788</v>
      </c>
      <c r="AL176" s="35"/>
      <c r="AM176" s="61">
        <f>AVERAGE(AC177,AD177,AE177,AF177,AH177,AI177,AJ177,AK177)-AM172</f>
        <v>-104.76494056457645</v>
      </c>
      <c r="AN176" s="61">
        <f>AVERAGE(AD177,AE177,AF177,AH177,AI177,AJ177,AK177,AM177)-AN172</f>
        <v>-104.37074212976957</v>
      </c>
      <c r="AO176" s="61">
        <f>AVERAGE(AE177,AF177,AH177,AI177,AJ177,AK177,AM177,AN177)-AO172</f>
        <v>-103.99510438993943</v>
      </c>
      <c r="AP176" s="61">
        <f>AVERAGE(AF177,AH177,AI177,AJ177,AK177,AM177,AN177,AO177)-AP172</f>
        <v>-103.72824093187411</v>
      </c>
      <c r="AQ176" s="35"/>
    </row>
    <row r="177" spans="1:43" s="20" customFormat="1" outlineLevel="1" x14ac:dyDescent="0.25">
      <c r="A177" s="269"/>
      <c r="B177" s="390" t="s">
        <v>191</v>
      </c>
      <c r="C177" s="402"/>
      <c r="D177" s="171">
        <f t="shared" ref="D177:L177" si="645">SUM(D172:D176)</f>
        <v>-138</v>
      </c>
      <c r="E177" s="171">
        <f t="shared" si="645"/>
        <v>-141.4</v>
      </c>
      <c r="F177" s="171">
        <f t="shared" si="645"/>
        <v>-125.30000000000001</v>
      </c>
      <c r="G177" s="171">
        <f t="shared" si="645"/>
        <v>-77.399999999999991</v>
      </c>
      <c r="H177" s="172">
        <f t="shared" si="645"/>
        <v>-482.09999999999997</v>
      </c>
      <c r="I177" s="171">
        <f t="shared" si="645"/>
        <v>-71.599999999999994</v>
      </c>
      <c r="J177" s="171">
        <f t="shared" si="645"/>
        <v>-66.8</v>
      </c>
      <c r="K177" s="171">
        <f t="shared" si="645"/>
        <v>-173.67999999999998</v>
      </c>
      <c r="L177" s="171">
        <f t="shared" si="645"/>
        <v>-259.5</v>
      </c>
      <c r="M177" s="42"/>
      <c r="N177" s="171">
        <f>SUM(N172:N176)</f>
        <v>-134.9</v>
      </c>
      <c r="O177" s="171">
        <f>SUM(O172:O176)</f>
        <v>-88.2</v>
      </c>
      <c r="P177" s="171">
        <f>SUM(P172:P176)</f>
        <v>-51.7</v>
      </c>
      <c r="Q177" s="171">
        <f>SUM(Q172:Q176)</f>
        <v>-51.7</v>
      </c>
      <c r="R177" s="42"/>
      <c r="S177" s="171">
        <f>SUM(S172:S176)</f>
        <v>-112.26</v>
      </c>
      <c r="T177" s="171">
        <f>SUM(T172:T176)</f>
        <v>-117.34250000000002</v>
      </c>
      <c r="U177" s="171">
        <f>SUM(U172:U176)</f>
        <v>-123.6603125</v>
      </c>
      <c r="V177" s="171">
        <f>SUM(V172:V176)</f>
        <v>-117.4078515625</v>
      </c>
      <c r="W177" s="42"/>
      <c r="X177" s="171">
        <f>SUM(X172:X176)</f>
        <v>-99.646333007812501</v>
      </c>
      <c r="Y177" s="171">
        <f>SUM(Y172:Y176)</f>
        <v>-95.239624633789063</v>
      </c>
      <c r="Z177" s="171">
        <f>SUM(Z172:Z176)</f>
        <v>-96.119577713012703</v>
      </c>
      <c r="AA177" s="171">
        <f>SUM(AA172:AA176)</f>
        <v>-101.67202492713929</v>
      </c>
      <c r="AB177" s="42"/>
      <c r="AC177" s="171">
        <f>SUM(AC172:AC176)</f>
        <v>-107.9185280430317</v>
      </c>
      <c r="AD177" s="171">
        <f>SUM(AD172:AD176)</f>
        <v>-107.37584404841067</v>
      </c>
      <c r="AE177" s="171">
        <f>SUM(AE172:AE176)</f>
        <v>-106.13001205446201</v>
      </c>
      <c r="AF177" s="171">
        <f>SUM(AF172:AF176)</f>
        <v>-103.93872449876974</v>
      </c>
      <c r="AG177" s="42"/>
      <c r="AH177" s="171">
        <f>SUM(AH172:AH176)</f>
        <v>-102.25508361580346</v>
      </c>
      <c r="AI177" s="171">
        <f>SUM(AI172:AI176)</f>
        <v>-102.58117744180232</v>
      </c>
      <c r="AJ177" s="171">
        <f>SUM(AJ172:AJ176)</f>
        <v>-103.49887154280398</v>
      </c>
      <c r="AK177" s="171">
        <f>SUM(AK172:AK176)</f>
        <v>-104.42128327152788</v>
      </c>
      <c r="AL177" s="42"/>
      <c r="AM177" s="171">
        <f>SUM(AM172:AM176)</f>
        <v>-104.76494056457645</v>
      </c>
      <c r="AN177" s="171">
        <f>SUM(AN172:AN176)</f>
        <v>-104.37074212976957</v>
      </c>
      <c r="AO177" s="171">
        <f>SUM(AO172:AO176)</f>
        <v>-103.99510438993943</v>
      </c>
      <c r="AP177" s="171">
        <f>SUM(AP172:AP176)</f>
        <v>-103.72824093187411</v>
      </c>
      <c r="AQ177" s="42"/>
    </row>
    <row r="178" spans="1:43" ht="17.25" outlineLevel="1" x14ac:dyDescent="0.4">
      <c r="A178" s="254"/>
      <c r="B178" s="394" t="s">
        <v>345</v>
      </c>
      <c r="C178" s="395"/>
      <c r="D178" s="173">
        <v>0</v>
      </c>
      <c r="E178" s="173">
        <v>0</v>
      </c>
      <c r="F178" s="173">
        <v>0</v>
      </c>
      <c r="G178" s="173">
        <v>0</v>
      </c>
      <c r="H178" s="35"/>
      <c r="I178" s="173">
        <v>0</v>
      </c>
      <c r="J178" s="173">
        <v>0</v>
      </c>
      <c r="K178" s="173">
        <v>0</v>
      </c>
      <c r="L178" s="173">
        <v>0</v>
      </c>
      <c r="M178" s="35"/>
      <c r="N178" s="173">
        <v>0</v>
      </c>
      <c r="O178" s="173">
        <v>0</v>
      </c>
      <c r="P178" s="173">
        <v>0</v>
      </c>
      <c r="Q178" s="491">
        <v>0</v>
      </c>
      <c r="R178" s="35"/>
      <c r="S178" s="173">
        <v>0</v>
      </c>
      <c r="T178" s="173">
        <v>0</v>
      </c>
      <c r="U178" s="173">
        <v>0</v>
      </c>
      <c r="V178" s="173">
        <v>0</v>
      </c>
      <c r="W178" s="35"/>
      <c r="X178" s="173">
        <v>0</v>
      </c>
      <c r="Y178" s="173">
        <v>0</v>
      </c>
      <c r="Z178" s="173">
        <v>0</v>
      </c>
      <c r="AA178" s="173">
        <v>0</v>
      </c>
      <c r="AB178" s="35"/>
      <c r="AC178" s="173">
        <v>0</v>
      </c>
      <c r="AD178" s="173">
        <v>0</v>
      </c>
      <c r="AE178" s="173">
        <v>0</v>
      </c>
      <c r="AF178" s="173">
        <v>0</v>
      </c>
      <c r="AG178" s="35"/>
      <c r="AH178" s="173">
        <v>0</v>
      </c>
      <c r="AI178" s="173">
        <v>0</v>
      </c>
      <c r="AJ178" s="173">
        <v>0</v>
      </c>
      <c r="AK178" s="173">
        <v>0</v>
      </c>
      <c r="AL178" s="35"/>
      <c r="AM178" s="173">
        <v>0</v>
      </c>
      <c r="AN178" s="173">
        <v>0</v>
      </c>
      <c r="AO178" s="173">
        <v>0</v>
      </c>
      <c r="AP178" s="173">
        <v>0</v>
      </c>
      <c r="AQ178" s="35"/>
    </row>
    <row r="179" spans="1:43" s="20" customFormat="1" outlineLevel="1" x14ac:dyDescent="0.25">
      <c r="A179" s="269"/>
      <c r="B179" s="390" t="s">
        <v>192</v>
      </c>
      <c r="C179" s="402"/>
      <c r="D179" s="171">
        <f t="shared" ref="D179:G179" si="646">-D177+D178</f>
        <v>138</v>
      </c>
      <c r="E179" s="171">
        <f t="shared" si="646"/>
        <v>141.4</v>
      </c>
      <c r="F179" s="171">
        <f t="shared" si="646"/>
        <v>125.30000000000001</v>
      </c>
      <c r="G179" s="171">
        <f t="shared" si="646"/>
        <v>77.399999999999991</v>
      </c>
      <c r="H179" s="42"/>
      <c r="I179" s="171">
        <f t="shared" ref="I179:L179" si="647">-I177+I178</f>
        <v>71.599999999999994</v>
      </c>
      <c r="J179" s="171">
        <f t="shared" si="647"/>
        <v>66.8</v>
      </c>
      <c r="K179" s="171">
        <f t="shared" si="647"/>
        <v>173.67999999999998</v>
      </c>
      <c r="L179" s="171">
        <f t="shared" si="647"/>
        <v>259.5</v>
      </c>
      <c r="M179" s="42"/>
      <c r="N179" s="171">
        <f t="shared" ref="N179:Q179" si="648">-N177+N178</f>
        <v>134.9</v>
      </c>
      <c r="O179" s="171">
        <f t="shared" si="648"/>
        <v>88.2</v>
      </c>
      <c r="P179" s="171">
        <f t="shared" si="648"/>
        <v>51.7</v>
      </c>
      <c r="Q179" s="171">
        <f t="shared" si="648"/>
        <v>51.7</v>
      </c>
      <c r="R179" s="42"/>
      <c r="S179" s="171">
        <f t="shared" ref="S179:V179" si="649">-S177+S178</f>
        <v>112.26</v>
      </c>
      <c r="T179" s="171">
        <f t="shared" si="649"/>
        <v>117.34250000000002</v>
      </c>
      <c r="U179" s="171">
        <f t="shared" si="649"/>
        <v>123.6603125</v>
      </c>
      <c r="V179" s="171">
        <f t="shared" si="649"/>
        <v>117.4078515625</v>
      </c>
      <c r="W179" s="42"/>
      <c r="X179" s="171">
        <f t="shared" ref="X179:AA179" si="650">-X177+X178</f>
        <v>99.646333007812501</v>
      </c>
      <c r="Y179" s="171">
        <f t="shared" si="650"/>
        <v>95.239624633789063</v>
      </c>
      <c r="Z179" s="171">
        <f t="shared" si="650"/>
        <v>96.119577713012703</v>
      </c>
      <c r="AA179" s="171">
        <f t="shared" si="650"/>
        <v>101.67202492713929</v>
      </c>
      <c r="AB179" s="42"/>
      <c r="AC179" s="171">
        <f t="shared" ref="AC179:AF179" si="651">-AC177+AC178</f>
        <v>107.9185280430317</v>
      </c>
      <c r="AD179" s="171">
        <f t="shared" si="651"/>
        <v>107.37584404841067</v>
      </c>
      <c r="AE179" s="171">
        <f t="shared" si="651"/>
        <v>106.13001205446201</v>
      </c>
      <c r="AF179" s="171">
        <f t="shared" si="651"/>
        <v>103.93872449876974</v>
      </c>
      <c r="AG179" s="42"/>
      <c r="AH179" s="171">
        <f t="shared" ref="AH179:AK179" si="652">-AH177+AH178</f>
        <v>102.25508361580346</v>
      </c>
      <c r="AI179" s="171">
        <f t="shared" si="652"/>
        <v>102.58117744180232</v>
      </c>
      <c r="AJ179" s="171">
        <f t="shared" si="652"/>
        <v>103.49887154280398</v>
      </c>
      <c r="AK179" s="171">
        <f t="shared" si="652"/>
        <v>104.42128327152788</v>
      </c>
      <c r="AL179" s="42"/>
      <c r="AM179" s="171">
        <f t="shared" ref="AM179:AP179" si="653">-AM177+AM178</f>
        <v>104.76494056457645</v>
      </c>
      <c r="AN179" s="171">
        <f t="shared" si="653"/>
        <v>104.37074212976957</v>
      </c>
      <c r="AO179" s="171">
        <f t="shared" si="653"/>
        <v>103.99510438993943</v>
      </c>
      <c r="AP179" s="171">
        <f t="shared" si="653"/>
        <v>103.72824093187411</v>
      </c>
      <c r="AQ179" s="42"/>
    </row>
    <row r="180" spans="1:43" outlineLevel="1" x14ac:dyDescent="0.25">
      <c r="A180" s="254"/>
      <c r="B180" s="394" t="s">
        <v>193</v>
      </c>
      <c r="C180" s="395"/>
      <c r="D180" s="169">
        <v>0</v>
      </c>
      <c r="E180" s="256">
        <f>-0.02*E39</f>
        <v>-25.014000000000003</v>
      </c>
      <c r="F180" s="256">
        <f>0.49*F39</f>
        <v>599.27</v>
      </c>
      <c r="G180" s="256">
        <v>0</v>
      </c>
      <c r="H180" s="257"/>
      <c r="I180" s="256">
        <v>0</v>
      </c>
      <c r="J180" s="256">
        <v>0</v>
      </c>
      <c r="K180" s="256">
        <v>0</v>
      </c>
      <c r="L180" s="256">
        <v>0</v>
      </c>
      <c r="M180" s="35"/>
      <c r="N180" s="256">
        <v>0</v>
      </c>
      <c r="O180" s="256">
        <v>0</v>
      </c>
      <c r="P180" s="256">
        <v>0</v>
      </c>
      <c r="Q180" s="63">
        <v>0</v>
      </c>
      <c r="R180" s="35"/>
      <c r="S180" s="63">
        <v>0</v>
      </c>
      <c r="T180" s="63">
        <v>0</v>
      </c>
      <c r="U180" s="63">
        <v>0</v>
      </c>
      <c r="V180" s="63">
        <v>0</v>
      </c>
      <c r="W180" s="35"/>
      <c r="X180" s="63">
        <v>0</v>
      </c>
      <c r="Y180" s="63">
        <v>0</v>
      </c>
      <c r="Z180" s="63">
        <v>0</v>
      </c>
      <c r="AA180" s="63">
        <v>0</v>
      </c>
      <c r="AB180" s="35"/>
      <c r="AC180" s="63">
        <v>0</v>
      </c>
      <c r="AD180" s="63">
        <v>0</v>
      </c>
      <c r="AE180" s="63">
        <v>0</v>
      </c>
      <c r="AF180" s="63">
        <v>0</v>
      </c>
      <c r="AG180" s="35"/>
      <c r="AH180" s="63">
        <v>0</v>
      </c>
      <c r="AI180" s="63">
        <v>0</v>
      </c>
      <c r="AJ180" s="63">
        <v>0</v>
      </c>
      <c r="AK180" s="63">
        <v>0</v>
      </c>
      <c r="AL180" s="35"/>
      <c r="AM180" s="63">
        <v>0</v>
      </c>
      <c r="AN180" s="63">
        <v>0</v>
      </c>
      <c r="AO180" s="63">
        <v>0</v>
      </c>
      <c r="AP180" s="63">
        <v>0</v>
      </c>
      <c r="AQ180" s="35"/>
    </row>
    <row r="181" spans="1:43" outlineLevel="1" x14ac:dyDescent="0.25">
      <c r="A181" s="254"/>
      <c r="B181" s="595" t="s">
        <v>199</v>
      </c>
      <c r="C181" s="596"/>
      <c r="D181" s="169">
        <v>-41.449999999998646</v>
      </c>
      <c r="E181" s="34">
        <v>79.193999999999548</v>
      </c>
      <c r="F181" s="34">
        <v>-55.109999999999197</v>
      </c>
      <c r="G181" s="34">
        <v>30</v>
      </c>
      <c r="H181" s="35"/>
      <c r="I181" s="34">
        <v>11</v>
      </c>
      <c r="J181" s="34">
        <v>23</v>
      </c>
      <c r="K181" s="34">
        <f>0.03*K39</f>
        <v>35.055</v>
      </c>
      <c r="L181" s="256">
        <v>50.810000000000372</v>
      </c>
      <c r="M181" s="35"/>
      <c r="N181" s="34">
        <f>0.03*N39</f>
        <v>35.49</v>
      </c>
      <c r="O181" s="34">
        <f>0.01*O39</f>
        <v>11.847999999999999</v>
      </c>
      <c r="P181" s="34">
        <f>0.01*P39</f>
        <v>11.862</v>
      </c>
      <c r="Q181" s="34">
        <f t="shared" ref="Q181" si="654">+Q179*Q182</f>
        <v>12.925000000000001</v>
      </c>
      <c r="R181" s="35"/>
      <c r="S181" s="34">
        <f>+S179*S182</f>
        <v>28.065000000000001</v>
      </c>
      <c r="T181" s="34">
        <f>+T179*T182</f>
        <v>29.335625000000004</v>
      </c>
      <c r="U181" s="34">
        <f t="shared" ref="U181:V181" si="655">+U179*U182</f>
        <v>30.915078125000001</v>
      </c>
      <c r="V181" s="34">
        <f t="shared" si="655"/>
        <v>29.351962890625</v>
      </c>
      <c r="W181" s="35"/>
      <c r="X181" s="34">
        <f>+X179*X182</f>
        <v>24.911583251953125</v>
      </c>
      <c r="Y181" s="34">
        <f>+Y179*Y182</f>
        <v>23.809906158447266</v>
      </c>
      <c r="Z181" s="34">
        <f t="shared" ref="Z181:AA181" si="656">+Z179*Z182</f>
        <v>24.029894428253176</v>
      </c>
      <c r="AA181" s="34">
        <f t="shared" si="656"/>
        <v>25.418006231784823</v>
      </c>
      <c r="AB181" s="35"/>
      <c r="AC181" s="34">
        <f>+AC179*AC182</f>
        <v>26.979632010757925</v>
      </c>
      <c r="AD181" s="34">
        <f>+AD179*AD182</f>
        <v>26.843961012102667</v>
      </c>
      <c r="AE181" s="34">
        <f t="shared" ref="AE181:AF181" si="657">+AE179*AE182</f>
        <v>26.532503013615504</v>
      </c>
      <c r="AF181" s="34">
        <f t="shared" si="657"/>
        <v>25.984681124692436</v>
      </c>
      <c r="AG181" s="35"/>
      <c r="AH181" s="34">
        <f>+AH179*AH182</f>
        <v>25.563770903950864</v>
      </c>
      <c r="AI181" s="34">
        <f>+AI179*AI182</f>
        <v>25.645294360450581</v>
      </c>
      <c r="AJ181" s="34">
        <f t="shared" ref="AJ181:AK181" si="658">+AJ179*AJ182</f>
        <v>25.874717885700996</v>
      </c>
      <c r="AK181" s="34">
        <f t="shared" si="658"/>
        <v>26.105320817881971</v>
      </c>
      <c r="AL181" s="35"/>
      <c r="AM181" s="34">
        <f>+AM179*AM182</f>
        <v>26.191235141144112</v>
      </c>
      <c r="AN181" s="34">
        <f>+AN179*AN182</f>
        <v>26.092685532442392</v>
      </c>
      <c r="AO181" s="34">
        <f t="shared" ref="AO181:AP181" si="659">+AO179*AO182</f>
        <v>25.998776097484857</v>
      </c>
      <c r="AP181" s="34">
        <f t="shared" si="659"/>
        <v>25.932060232968528</v>
      </c>
      <c r="AQ181" s="35"/>
    </row>
    <row r="182" spans="1:43" outlineLevel="1" x14ac:dyDescent="0.25">
      <c r="A182" s="254"/>
      <c r="B182" s="399" t="s">
        <v>200</v>
      </c>
      <c r="C182" s="400"/>
      <c r="D182" s="230">
        <f t="shared" ref="D182:G182" si="660">D181/D179</f>
        <v>-0.30036231884056991</v>
      </c>
      <c r="E182" s="230">
        <f t="shared" si="660"/>
        <v>0.56007072135784686</v>
      </c>
      <c r="F182" s="230">
        <f t="shared" si="660"/>
        <v>-0.43982442138866074</v>
      </c>
      <c r="G182" s="230">
        <f t="shared" si="660"/>
        <v>0.38759689922480622</v>
      </c>
      <c r="H182" s="73"/>
      <c r="I182" s="230">
        <f t="shared" ref="I182:P182" si="661">I181/I179</f>
        <v>0.15363128491620112</v>
      </c>
      <c r="J182" s="230">
        <f t="shared" si="661"/>
        <v>0.34431137724550898</v>
      </c>
      <c r="K182" s="230">
        <f t="shared" si="661"/>
        <v>0.20183671119299865</v>
      </c>
      <c r="L182" s="230">
        <f t="shared" si="661"/>
        <v>0.1957996146435467</v>
      </c>
      <c r="M182" s="73"/>
      <c r="N182" s="230">
        <f t="shared" si="661"/>
        <v>0.26308376575240922</v>
      </c>
      <c r="O182" s="230">
        <f t="shared" si="661"/>
        <v>0.13433106575963719</v>
      </c>
      <c r="P182" s="230">
        <f t="shared" si="661"/>
        <v>0.22943907156673113</v>
      </c>
      <c r="Q182" s="231">
        <v>0.25</v>
      </c>
      <c r="R182" s="73"/>
      <c r="S182" s="231">
        <f>Q182</f>
        <v>0.25</v>
      </c>
      <c r="T182" s="231">
        <f>S182</f>
        <v>0.25</v>
      </c>
      <c r="U182" s="231">
        <f>T182</f>
        <v>0.25</v>
      </c>
      <c r="V182" s="231">
        <f>U182</f>
        <v>0.25</v>
      </c>
      <c r="W182" s="73"/>
      <c r="X182" s="231">
        <f>V182</f>
        <v>0.25</v>
      </c>
      <c r="Y182" s="231">
        <f>X182</f>
        <v>0.25</v>
      </c>
      <c r="Z182" s="231">
        <f>Y182</f>
        <v>0.25</v>
      </c>
      <c r="AA182" s="231">
        <f>Z182</f>
        <v>0.25</v>
      </c>
      <c r="AB182" s="73"/>
      <c r="AC182" s="231">
        <f>AA182</f>
        <v>0.25</v>
      </c>
      <c r="AD182" s="231">
        <f>AC182</f>
        <v>0.25</v>
      </c>
      <c r="AE182" s="231">
        <f>AD182</f>
        <v>0.25</v>
      </c>
      <c r="AF182" s="231">
        <f>AE182</f>
        <v>0.25</v>
      </c>
      <c r="AG182" s="73"/>
      <c r="AH182" s="231">
        <f>AF182</f>
        <v>0.25</v>
      </c>
      <c r="AI182" s="231">
        <f>AH182</f>
        <v>0.25</v>
      </c>
      <c r="AJ182" s="231">
        <f>AI182</f>
        <v>0.25</v>
      </c>
      <c r="AK182" s="231">
        <f>AJ182</f>
        <v>0.25</v>
      </c>
      <c r="AL182" s="73"/>
      <c r="AM182" s="231">
        <f>AK182</f>
        <v>0.25</v>
      </c>
      <c r="AN182" s="231">
        <f>AM182</f>
        <v>0.25</v>
      </c>
      <c r="AO182" s="231">
        <f>AN182</f>
        <v>0.25</v>
      </c>
      <c r="AP182" s="231">
        <f>AO182</f>
        <v>0.25</v>
      </c>
      <c r="AQ182" s="73"/>
    </row>
    <row r="183" spans="1:43" s="186" customFormat="1" x14ac:dyDescent="0.25">
      <c r="A183" s="272"/>
      <c r="B183" s="501" t="s">
        <v>361</v>
      </c>
      <c r="C183" s="501"/>
      <c r="D183" s="502"/>
      <c r="E183" s="503"/>
      <c r="F183" s="503"/>
      <c r="G183" s="503"/>
      <c r="H183" s="503"/>
      <c r="I183" s="503"/>
      <c r="J183" s="503"/>
      <c r="K183" s="503"/>
      <c r="L183" s="503"/>
      <c r="M183" s="503"/>
      <c r="N183" s="504"/>
      <c r="O183" s="195"/>
      <c r="P183" s="195"/>
      <c r="Q183" s="195"/>
      <c r="R183" s="503"/>
      <c r="S183" s="195"/>
      <c r="T183" s="195"/>
      <c r="U183" s="195"/>
      <c r="V183" s="195"/>
      <c r="W183" s="503"/>
      <c r="X183" s="195"/>
      <c r="Y183" s="195"/>
      <c r="Z183" s="195"/>
      <c r="AA183" s="195"/>
      <c r="AB183" s="505">
        <f>(AB102+AB67)/(AVERAGE(S101:V101)+AVERAGE(S66:V66))</f>
        <v>5.7694018294336777E-2</v>
      </c>
      <c r="AC183" s="195"/>
      <c r="AD183" s="195"/>
      <c r="AE183" s="195"/>
      <c r="AF183" s="195"/>
      <c r="AG183" s="505">
        <f>(AG102+AG67)/(AVERAGE(X101:AA101)+AVERAGE(X66:AA66))</f>
        <v>5.8369938543015754E-2</v>
      </c>
      <c r="AH183" s="195"/>
      <c r="AI183" s="195"/>
      <c r="AJ183" s="195"/>
      <c r="AK183" s="195"/>
      <c r="AL183" s="506">
        <f>(AL102+AL67)/(AVERAGE(AC101:AF101)+AVERAGE(AC66:AF66))</f>
        <v>5.5212618435503638E-2</v>
      </c>
      <c r="AM183" s="275"/>
      <c r="AN183" s="275"/>
      <c r="AO183" s="275"/>
      <c r="AP183" s="275"/>
      <c r="AQ183" s="506">
        <f>(AQ102+AQ67)/(AVERAGE(AH101:AK101)+AVERAGE(AH66:AK66))</f>
        <v>5.2323690478004205E-2</v>
      </c>
    </row>
    <row r="184" spans="1:43" ht="15.75" x14ac:dyDescent="0.25">
      <c r="A184" s="254"/>
      <c r="B184" s="565" t="s">
        <v>117</v>
      </c>
      <c r="C184" s="566"/>
      <c r="D184" s="31" t="s">
        <v>106</v>
      </c>
      <c r="E184" s="31" t="s">
        <v>244</v>
      </c>
      <c r="F184" s="31" t="s">
        <v>246</v>
      </c>
      <c r="G184" s="31" t="s">
        <v>337</v>
      </c>
      <c r="H184" s="85" t="s">
        <v>337</v>
      </c>
      <c r="I184" s="31" t="s">
        <v>336</v>
      </c>
      <c r="J184" s="31" t="s">
        <v>335</v>
      </c>
      <c r="K184" s="31" t="s">
        <v>334</v>
      </c>
      <c r="L184" s="31" t="s">
        <v>321</v>
      </c>
      <c r="M184" s="85" t="s">
        <v>321</v>
      </c>
      <c r="N184" s="31" t="s">
        <v>338</v>
      </c>
      <c r="O184" s="31" t="s">
        <v>346</v>
      </c>
      <c r="P184" s="31" t="s">
        <v>348</v>
      </c>
      <c r="Q184" s="33" t="s">
        <v>120</v>
      </c>
      <c r="R184" s="88" t="s">
        <v>120</v>
      </c>
      <c r="S184" s="33" t="s">
        <v>121</v>
      </c>
      <c r="T184" s="33" t="s">
        <v>122</v>
      </c>
      <c r="U184" s="33" t="s">
        <v>123</v>
      </c>
      <c r="V184" s="33" t="s">
        <v>124</v>
      </c>
      <c r="W184" s="88" t="s">
        <v>124</v>
      </c>
      <c r="X184" s="33" t="s">
        <v>125</v>
      </c>
      <c r="Y184" s="33" t="s">
        <v>126</v>
      </c>
      <c r="Z184" s="33" t="s">
        <v>127</v>
      </c>
      <c r="AA184" s="33" t="s">
        <v>128</v>
      </c>
      <c r="AB184" s="88" t="s">
        <v>128</v>
      </c>
      <c r="AC184" s="33" t="s">
        <v>248</v>
      </c>
      <c r="AD184" s="33" t="s">
        <v>249</v>
      </c>
      <c r="AE184" s="33" t="s">
        <v>250</v>
      </c>
      <c r="AF184" s="33" t="s">
        <v>251</v>
      </c>
      <c r="AG184" s="88" t="s">
        <v>251</v>
      </c>
      <c r="AH184" s="33" t="s">
        <v>281</v>
      </c>
      <c r="AI184" s="33" t="s">
        <v>282</v>
      </c>
      <c r="AJ184" s="33" t="s">
        <v>283</v>
      </c>
      <c r="AK184" s="33" t="s">
        <v>284</v>
      </c>
      <c r="AL184" s="88" t="s">
        <v>284</v>
      </c>
      <c r="AM184" s="33" t="s">
        <v>352</v>
      </c>
      <c r="AN184" s="33" t="s">
        <v>353</v>
      </c>
      <c r="AO184" s="33" t="s">
        <v>354</v>
      </c>
      <c r="AP184" s="33" t="s">
        <v>355</v>
      </c>
      <c r="AQ184" s="88" t="s">
        <v>355</v>
      </c>
    </row>
    <row r="185" spans="1:43" ht="17.25" x14ac:dyDescent="0.4">
      <c r="A185" s="254"/>
      <c r="B185" s="392" t="s">
        <v>3</v>
      </c>
      <c r="C185" s="393"/>
      <c r="D185" s="32" t="s">
        <v>119</v>
      </c>
      <c r="E185" s="32" t="s">
        <v>243</v>
      </c>
      <c r="F185" s="32" t="s">
        <v>247</v>
      </c>
      <c r="G185" s="32" t="s">
        <v>257</v>
      </c>
      <c r="H185" s="86" t="s">
        <v>258</v>
      </c>
      <c r="I185" s="32" t="s">
        <v>259</v>
      </c>
      <c r="J185" s="32" t="s">
        <v>260</v>
      </c>
      <c r="K185" s="32" t="s">
        <v>261</v>
      </c>
      <c r="L185" s="32" t="s">
        <v>322</v>
      </c>
      <c r="M185" s="86" t="s">
        <v>333</v>
      </c>
      <c r="N185" s="32" t="s">
        <v>339</v>
      </c>
      <c r="O185" s="32" t="s">
        <v>347</v>
      </c>
      <c r="P185" s="32" t="s">
        <v>349</v>
      </c>
      <c r="Q185" s="30" t="s">
        <v>129</v>
      </c>
      <c r="R185" s="89" t="s">
        <v>130</v>
      </c>
      <c r="S185" s="30" t="s">
        <v>131</v>
      </c>
      <c r="T185" s="30" t="s">
        <v>132</v>
      </c>
      <c r="U185" s="30" t="s">
        <v>133</v>
      </c>
      <c r="V185" s="30" t="s">
        <v>134</v>
      </c>
      <c r="W185" s="89" t="s">
        <v>135</v>
      </c>
      <c r="X185" s="30" t="s">
        <v>136</v>
      </c>
      <c r="Y185" s="30" t="s">
        <v>137</v>
      </c>
      <c r="Z185" s="30" t="s">
        <v>138</v>
      </c>
      <c r="AA185" s="30" t="s">
        <v>139</v>
      </c>
      <c r="AB185" s="89" t="s">
        <v>140</v>
      </c>
      <c r="AC185" s="30" t="s">
        <v>252</v>
      </c>
      <c r="AD185" s="30" t="s">
        <v>253</v>
      </c>
      <c r="AE185" s="30" t="s">
        <v>254</v>
      </c>
      <c r="AF185" s="30" t="s">
        <v>255</v>
      </c>
      <c r="AG185" s="89" t="s">
        <v>256</v>
      </c>
      <c r="AH185" s="30" t="s">
        <v>285</v>
      </c>
      <c r="AI185" s="30" t="s">
        <v>286</v>
      </c>
      <c r="AJ185" s="30" t="s">
        <v>287</v>
      </c>
      <c r="AK185" s="30" t="s">
        <v>288</v>
      </c>
      <c r="AL185" s="89" t="s">
        <v>289</v>
      </c>
      <c r="AM185" s="30" t="s">
        <v>356</v>
      </c>
      <c r="AN185" s="30" t="s">
        <v>357</v>
      </c>
      <c r="AO185" s="30" t="s">
        <v>358</v>
      </c>
      <c r="AP185" s="30" t="s">
        <v>359</v>
      </c>
      <c r="AQ185" s="89" t="s">
        <v>360</v>
      </c>
    </row>
    <row r="186" spans="1:43" ht="14.65" customHeight="1" x14ac:dyDescent="0.25">
      <c r="A186" s="254"/>
      <c r="B186" s="565" t="s">
        <v>6</v>
      </c>
      <c r="C186" s="566"/>
      <c r="D186" s="31"/>
      <c r="E186" s="31"/>
      <c r="F186" s="31"/>
      <c r="G186" s="297"/>
      <c r="H186" s="298"/>
      <c r="I186" s="297"/>
      <c r="J186" s="31"/>
      <c r="K186" s="31"/>
      <c r="L186" s="297"/>
      <c r="M186" s="298"/>
      <c r="N186" s="297"/>
      <c r="O186" s="31"/>
      <c r="P186" s="31"/>
      <c r="Q186" s="33"/>
      <c r="R186" s="88"/>
      <c r="S186" s="33"/>
      <c r="T186" s="33"/>
      <c r="U186" s="33"/>
      <c r="V186" s="33"/>
      <c r="W186" s="88"/>
      <c r="X186" s="33"/>
      <c r="Y186" s="33"/>
      <c r="Z186" s="33"/>
      <c r="AA186" s="33"/>
      <c r="AB186" s="88"/>
      <c r="AC186" s="33"/>
      <c r="AD186" s="33"/>
      <c r="AE186" s="33"/>
      <c r="AF186" s="33"/>
      <c r="AG186" s="88"/>
      <c r="AH186" s="33"/>
      <c r="AI186" s="33"/>
      <c r="AJ186" s="33"/>
      <c r="AK186" s="33"/>
      <c r="AL186" s="88"/>
      <c r="AM186" s="33"/>
      <c r="AN186" s="33"/>
      <c r="AO186" s="33"/>
      <c r="AP186" s="33"/>
      <c r="AQ186" s="88"/>
    </row>
    <row r="187" spans="1:43" ht="14.65" customHeight="1" outlineLevel="1" x14ac:dyDescent="0.25">
      <c r="A187" s="254"/>
      <c r="B187" s="595" t="s">
        <v>35</v>
      </c>
      <c r="C187" s="596"/>
      <c r="D187" s="34">
        <f>D279</f>
        <v>4761.6000000000004</v>
      </c>
      <c r="E187" s="34">
        <f t="shared" ref="E187:G187" si="662">E279</f>
        <v>2055.1000000000004</v>
      </c>
      <c r="F187" s="34">
        <f t="shared" si="662"/>
        <v>4763.4000000000015</v>
      </c>
      <c r="G187" s="256">
        <f t="shared" si="662"/>
        <v>2686.6000000000022</v>
      </c>
      <c r="H187" s="35">
        <f>G187</f>
        <v>2686.6000000000022</v>
      </c>
      <c r="I187" s="34">
        <f>I279</f>
        <v>3040.5000000000036</v>
      </c>
      <c r="J187" s="34">
        <f>J279</f>
        <v>2572.3000000000029</v>
      </c>
      <c r="K187" s="34">
        <f>K279</f>
        <v>3965.9000000000042</v>
      </c>
      <c r="L187" s="256">
        <f>L279</f>
        <v>4350.900000000006</v>
      </c>
      <c r="M187" s="35">
        <f>L187</f>
        <v>4350.900000000006</v>
      </c>
      <c r="N187" s="34">
        <f>N279</f>
        <v>5028.00000000001</v>
      </c>
      <c r="O187" s="34">
        <f>O279</f>
        <v>3880.6000000000104</v>
      </c>
      <c r="P187" s="34">
        <f>P279</f>
        <v>4753.1000000000095</v>
      </c>
      <c r="Q187" s="34">
        <f>Q279</f>
        <v>4266.8782926887607</v>
      </c>
      <c r="R187" s="35">
        <f>Q187</f>
        <v>4266.8782926887607</v>
      </c>
      <c r="S187" s="34">
        <f>S279</f>
        <v>4801.0645050542289</v>
      </c>
      <c r="T187" s="34">
        <f>T279</f>
        <v>3805.8304979979825</v>
      </c>
      <c r="U187" s="34">
        <f>U279</f>
        <v>3613.9891430872262</v>
      </c>
      <c r="V187" s="34">
        <f>V279</f>
        <v>2843.4518865682412</v>
      </c>
      <c r="W187" s="35">
        <f>V187</f>
        <v>2843.4518865682412</v>
      </c>
      <c r="X187" s="34">
        <f>X279</f>
        <v>3566.7182517602478</v>
      </c>
      <c r="Y187" s="34">
        <f>Y279</f>
        <v>2944.3287501463383</v>
      </c>
      <c r="Z187" s="34">
        <f>Z279</f>
        <v>3043.7743546763222</v>
      </c>
      <c r="AA187" s="34">
        <f>AA279</f>
        <v>2158.8386814100913</v>
      </c>
      <c r="AB187" s="35">
        <f>AA187</f>
        <v>2158.8386814100913</v>
      </c>
      <c r="AC187" s="34">
        <f>AC279</f>
        <v>3316.1805726043303</v>
      </c>
      <c r="AD187" s="34">
        <f>AD279</f>
        <v>2922.7172707801465</v>
      </c>
      <c r="AE187" s="34">
        <f>AE279</f>
        <v>3361.2206910158193</v>
      </c>
      <c r="AF187" s="34">
        <f>AF279</f>
        <v>2560.7348821998248</v>
      </c>
      <c r="AG187" s="35">
        <f>AF187</f>
        <v>2560.7348821998248</v>
      </c>
      <c r="AH187" s="34">
        <f>AH279</f>
        <v>3970.6122569091576</v>
      </c>
      <c r="AI187" s="34">
        <f>AI279</f>
        <v>3740.6823743160198</v>
      </c>
      <c r="AJ187" s="34">
        <f>AJ279</f>
        <v>4388.6885885855454</v>
      </c>
      <c r="AK187" s="34">
        <f>AK279</f>
        <v>3678.186935029396</v>
      </c>
      <c r="AL187" s="35">
        <f>AK187</f>
        <v>3678.186935029396</v>
      </c>
      <c r="AM187" s="34">
        <f>AM279</f>
        <v>5232.3684513589105</v>
      </c>
      <c r="AN187" s="34">
        <f>AN279</f>
        <v>5038.3258740023175</v>
      </c>
      <c r="AO187" s="34">
        <f>AO279</f>
        <v>5798.5970200713</v>
      </c>
      <c r="AP187" s="34">
        <f>AP279</f>
        <v>5094.3504529098427</v>
      </c>
      <c r="AQ187" s="35">
        <f>AP187</f>
        <v>5094.3504529098427</v>
      </c>
    </row>
    <row r="188" spans="1:43" ht="14.65" customHeight="1" outlineLevel="1" x14ac:dyDescent="0.25">
      <c r="A188" s="372"/>
      <c r="B188" s="394" t="s">
        <v>201</v>
      </c>
      <c r="C188" s="395"/>
      <c r="D188" s="34">
        <v>230.2</v>
      </c>
      <c r="E188" s="34">
        <v>76.599999999999994</v>
      </c>
      <c r="F188" s="34">
        <v>72.099999999999994</v>
      </c>
      <c r="G188" s="34">
        <v>70.5</v>
      </c>
      <c r="H188" s="35">
        <f>+G188</f>
        <v>70.5</v>
      </c>
      <c r="I188" s="34">
        <v>68.400000000000006</v>
      </c>
      <c r="J188" s="34">
        <v>52.9</v>
      </c>
      <c r="K188" s="34">
        <v>229.9</v>
      </c>
      <c r="L188" s="34">
        <v>281.2</v>
      </c>
      <c r="M188" s="35">
        <f>+L188</f>
        <v>281.2</v>
      </c>
      <c r="N188" s="34">
        <v>235.5</v>
      </c>
      <c r="O188" s="34">
        <v>123</v>
      </c>
      <c r="P188" s="34">
        <v>153.6</v>
      </c>
      <c r="Q188" s="34">
        <f>+Q234*Q223*Q235</f>
        <v>202.15342199001981</v>
      </c>
      <c r="R188" s="35">
        <f>+Q188</f>
        <v>202.15342199001981</v>
      </c>
      <c r="S188" s="34">
        <f>+S234*S223*S235</f>
        <v>181.325540126569</v>
      </c>
      <c r="T188" s="34">
        <f>+T234*T223*T235</f>
        <v>161.00645922314408</v>
      </c>
      <c r="U188" s="34">
        <f>+U234*U223*U235</f>
        <v>169.19507649032789</v>
      </c>
      <c r="V188" s="34">
        <f>+V234*V223*V235</f>
        <v>173.97726290815424</v>
      </c>
      <c r="W188" s="35">
        <f>+V188</f>
        <v>173.97726290815424</v>
      </c>
      <c r="X188" s="34">
        <f>+X234*X223*X235</f>
        <v>170.26300220221529</v>
      </c>
      <c r="Y188" s="34">
        <f>+Y234*Y223*Y235</f>
        <v>165.09505154279853</v>
      </c>
      <c r="Z188" s="34">
        <f>+Z234*Z223*Z235</f>
        <v>168.02844976857631</v>
      </c>
      <c r="AA188" s="34">
        <f>+AA234*AA223*AA235</f>
        <v>167.70989039190204</v>
      </c>
      <c r="AB188" s="35">
        <f>+AA188</f>
        <v>167.70989039190204</v>
      </c>
      <c r="AC188" s="34">
        <f>+AC234*AC223*AC235</f>
        <v>169.8913064609676</v>
      </c>
      <c r="AD188" s="34">
        <f>+AD234*AD223*AD235</f>
        <v>167.24316399597009</v>
      </c>
      <c r="AE188" s="34">
        <f>+AE234*AE223*AE235</f>
        <v>170.60304543373252</v>
      </c>
      <c r="AF188" s="34">
        <f>+AF234*AF223*AF235</f>
        <v>171.1117327864894</v>
      </c>
      <c r="AG188" s="35">
        <f>+AF188</f>
        <v>171.1117327864894</v>
      </c>
      <c r="AH188" s="34">
        <f>+AH234*AH223*AH235</f>
        <v>175.3575624637316</v>
      </c>
      <c r="AI188" s="34">
        <f>+AI234*AI223*AI235</f>
        <v>173.88015682365895</v>
      </c>
      <c r="AJ188" s="34">
        <f>+AJ234*AJ223*AJ235</f>
        <v>178.42707244212829</v>
      </c>
      <c r="AK188" s="34">
        <f>+AK234*AK223*AK235</f>
        <v>180.13963494159299</v>
      </c>
      <c r="AL188" s="35">
        <f>+AK188</f>
        <v>180.13963494159299</v>
      </c>
      <c r="AM188" s="34">
        <f>+AM234*AM223*AM235</f>
        <v>185.25284420475626</v>
      </c>
      <c r="AN188" s="34">
        <f>+AN234*AN223*AN235</f>
        <v>184.09771315649462</v>
      </c>
      <c r="AO188" s="34">
        <f>+AO234*AO223*AO235</f>
        <v>189.44141867846713</v>
      </c>
      <c r="AP188" s="34">
        <f>+AP234*AP223*AP235</f>
        <v>191.84419031389882</v>
      </c>
      <c r="AQ188" s="35">
        <f>+AP188</f>
        <v>191.84419031389882</v>
      </c>
    </row>
    <row r="189" spans="1:43" s="43" customFormat="1" ht="14.65" customHeight="1" outlineLevel="1" x14ac:dyDescent="0.25">
      <c r="A189" s="372"/>
      <c r="B189" s="595" t="s">
        <v>202</v>
      </c>
      <c r="C189" s="596"/>
      <c r="D189" s="34">
        <v>721.4</v>
      </c>
      <c r="E189" s="34">
        <v>703.6</v>
      </c>
      <c r="F189" s="34">
        <v>790.6</v>
      </c>
      <c r="G189" s="34">
        <v>879</v>
      </c>
      <c r="H189" s="35">
        <f>G189</f>
        <v>879</v>
      </c>
      <c r="I189" s="34">
        <v>908.1</v>
      </c>
      <c r="J189" s="34">
        <v>941</v>
      </c>
      <c r="K189" s="34">
        <v>881.1</v>
      </c>
      <c r="L189" s="34">
        <v>883.4</v>
      </c>
      <c r="M189" s="35">
        <f>L189</f>
        <v>883.4</v>
      </c>
      <c r="N189" s="34">
        <v>888</v>
      </c>
      <c r="O189" s="34">
        <v>880.2</v>
      </c>
      <c r="P189" s="34">
        <v>911.2</v>
      </c>
      <c r="Q189" s="34">
        <f>Q16/Q228</f>
        <v>1072.7724439961057</v>
      </c>
      <c r="R189" s="35">
        <f>Q189</f>
        <v>1072.7724439961057</v>
      </c>
      <c r="S189" s="34">
        <f>S16/S228</f>
        <v>1023.5580200744643</v>
      </c>
      <c r="T189" s="34">
        <f>T16/T228</f>
        <v>990.23925448759542</v>
      </c>
      <c r="U189" s="34">
        <f>U16/U228</f>
        <v>1008.003084304193</v>
      </c>
      <c r="V189" s="34">
        <f>V16/V228</f>
        <v>1091.0724672228635</v>
      </c>
      <c r="W189" s="35">
        <f>V189</f>
        <v>1091.0724672228635</v>
      </c>
      <c r="X189" s="34">
        <f>X16/X228</f>
        <v>1104.1086546195504</v>
      </c>
      <c r="Y189" s="34">
        <f>Y16/Y228</f>
        <v>1084.3839090001713</v>
      </c>
      <c r="Z189" s="34">
        <f>Z16/Z228</f>
        <v>1100.0986028872201</v>
      </c>
      <c r="AA189" s="34">
        <f>AA16/AA228</f>
        <v>1185.5276303124351</v>
      </c>
      <c r="AB189" s="35">
        <f>AA189</f>
        <v>1185.5276303124351</v>
      </c>
      <c r="AC189" s="34">
        <f>AC16/AC228</f>
        <v>1187.1131676474997</v>
      </c>
      <c r="AD189" s="34">
        <f>AD16/AD228</f>
        <v>1170.1466908958339</v>
      </c>
      <c r="AE189" s="34">
        <f>AE16/AE228</f>
        <v>1189.5380552895522</v>
      </c>
      <c r="AF189" s="34">
        <f>AF16/AF228</f>
        <v>1285.537476272601</v>
      </c>
      <c r="AG189" s="35">
        <f>AF189</f>
        <v>1285.537476272601</v>
      </c>
      <c r="AH189" s="34">
        <f>AH16/AH228</f>
        <v>1283.2805940426854</v>
      </c>
      <c r="AI189" s="34">
        <f>AI16/AI228</f>
        <v>1264.4694214723754</v>
      </c>
      <c r="AJ189" s="34">
        <f>AJ16/AJ228</f>
        <v>1283.7316355767121</v>
      </c>
      <c r="AK189" s="34">
        <f>AK16/AK228</f>
        <v>1388.3014257420932</v>
      </c>
      <c r="AL189" s="35">
        <f>AK189</f>
        <v>1388.3014257420932</v>
      </c>
      <c r="AM189" s="34">
        <f>AM16/AM228</f>
        <v>1386.7470938901745</v>
      </c>
      <c r="AN189" s="34">
        <f>AN16/AN228</f>
        <v>1365.5722118301173</v>
      </c>
      <c r="AO189" s="34">
        <f>AO16/AO228</f>
        <v>1384.0133393991168</v>
      </c>
      <c r="AP189" s="34">
        <f>AP16/AP228</f>
        <v>1497.2084350531409</v>
      </c>
      <c r="AQ189" s="35">
        <f>AP189</f>
        <v>1497.2084350531409</v>
      </c>
    </row>
    <row r="190" spans="1:43" s="43" customFormat="1" ht="14.65" customHeight="1" outlineLevel="1" x14ac:dyDescent="0.25">
      <c r="A190" s="372"/>
      <c r="B190" s="394" t="s">
        <v>203</v>
      </c>
      <c r="C190" s="395"/>
      <c r="D190" s="34">
        <v>1354.6</v>
      </c>
      <c r="E190" s="34">
        <v>1443</v>
      </c>
      <c r="F190" s="34">
        <v>1517.2</v>
      </c>
      <c r="G190" s="34">
        <v>1529.4</v>
      </c>
      <c r="H190" s="35">
        <f>G190</f>
        <v>1529.4</v>
      </c>
      <c r="I190" s="34">
        <v>1408.7</v>
      </c>
      <c r="J190" s="34">
        <v>1492.2</v>
      </c>
      <c r="K190" s="34">
        <v>1583.8</v>
      </c>
      <c r="L190" s="34">
        <v>1551.4</v>
      </c>
      <c r="M190" s="35">
        <f>L190</f>
        <v>1551.4</v>
      </c>
      <c r="N190" s="34">
        <v>1471.5</v>
      </c>
      <c r="O190" s="34">
        <v>1503.6</v>
      </c>
      <c r="P190" s="34">
        <v>1548.2</v>
      </c>
      <c r="Q190" s="34">
        <f>Q17/Q230</f>
        <v>2432.5099678959355</v>
      </c>
      <c r="R190" s="35">
        <f>Q190</f>
        <v>2432.5099678959355</v>
      </c>
      <c r="S190" s="34">
        <f>S17/S230</f>
        <v>1719.4343716522335</v>
      </c>
      <c r="T190" s="34">
        <f>T17/T230</f>
        <v>1783.7518104634769</v>
      </c>
      <c r="U190" s="34">
        <f>U17/U230</f>
        <v>1789.8512229957862</v>
      </c>
      <c r="V190" s="34">
        <f>V17/V230</f>
        <v>2508.9122643216501</v>
      </c>
      <c r="W190" s="35">
        <f>V190</f>
        <v>2508.9122643216501</v>
      </c>
      <c r="X190" s="34">
        <f>X17/X230</f>
        <v>1842.0178764128295</v>
      </c>
      <c r="Y190" s="34">
        <f>Y17/Y230</f>
        <v>1936.5456387162887</v>
      </c>
      <c r="Z190" s="34">
        <f>Z17/Z230</f>
        <v>1981.3324884970159</v>
      </c>
      <c r="AA190" s="34">
        <f>AA17/AA230</f>
        <v>2715.4301764285437</v>
      </c>
      <c r="AB190" s="35">
        <f>AA190</f>
        <v>2715.4301764285437</v>
      </c>
      <c r="AC190" s="34">
        <f>AC17/AC230</f>
        <v>1983.3940767353836</v>
      </c>
      <c r="AD190" s="34">
        <f>AD17/AD230</f>
        <v>2091.9731444915074</v>
      </c>
      <c r="AE190" s="34">
        <f>AE17/AE230</f>
        <v>2144.3540775987835</v>
      </c>
      <c r="AF190" s="34">
        <f>AF17/AF230</f>
        <v>2948.9704381241013</v>
      </c>
      <c r="AG190" s="35">
        <f>AF190</f>
        <v>2948.9704381241013</v>
      </c>
      <c r="AH190" s="34">
        <f>AH17/AH230</f>
        <v>2142.7854000665016</v>
      </c>
      <c r="AI190" s="34">
        <f>AI17/AI230</f>
        <v>2258.5972271537553</v>
      </c>
      <c r="AJ190" s="34">
        <f>AJ17/AJ230</f>
        <v>2312.1898066594772</v>
      </c>
      <c r="AK190" s="34">
        <f>AK17/AK230</f>
        <v>3183.2060775962641</v>
      </c>
      <c r="AL190" s="35">
        <f>AK190</f>
        <v>3183.2060775962641</v>
      </c>
      <c r="AM190" s="34">
        <f>AM17/AM230</f>
        <v>2314.5314219696434</v>
      </c>
      <c r="AN190" s="34">
        <f>AN17/AN230</f>
        <v>2437.3997918592631</v>
      </c>
      <c r="AO190" s="34">
        <f>AO17/AO230</f>
        <v>2491.067336087182</v>
      </c>
      <c r="AP190" s="34">
        <f>AP17/AP230</f>
        <v>3431.7230935011094</v>
      </c>
      <c r="AQ190" s="35">
        <f>AP190</f>
        <v>3431.7230935011094</v>
      </c>
    </row>
    <row r="191" spans="1:43" ht="16.149999999999999" customHeight="1" outlineLevel="1" x14ac:dyDescent="0.4">
      <c r="A191" s="372"/>
      <c r="B191" s="595" t="s">
        <v>71</v>
      </c>
      <c r="C191" s="596"/>
      <c r="D191" s="37">
        <v>608.5</v>
      </c>
      <c r="E191" s="270">
        <v>674</v>
      </c>
      <c r="F191" s="270">
        <v>591.6</v>
      </c>
      <c r="G191" s="270">
        <v>488.2</v>
      </c>
      <c r="H191" s="38">
        <f>G191</f>
        <v>488.2</v>
      </c>
      <c r="I191" s="270">
        <v>474</v>
      </c>
      <c r="J191" s="270">
        <v>691.5</v>
      </c>
      <c r="K191" s="270">
        <v>920.3</v>
      </c>
      <c r="L191" s="270">
        <v>739.5</v>
      </c>
      <c r="M191" s="38">
        <f>L191</f>
        <v>739.5</v>
      </c>
      <c r="N191" s="270">
        <v>734.4</v>
      </c>
      <c r="O191" s="270">
        <v>592</v>
      </c>
      <c r="P191" s="270">
        <v>565.6</v>
      </c>
      <c r="Q191" s="61">
        <f>P191*1.01</f>
        <v>571.25599999999997</v>
      </c>
      <c r="R191" s="38">
        <f>Q191</f>
        <v>571.25599999999997</v>
      </c>
      <c r="S191" s="61">
        <f>Q191*1.01</f>
        <v>576.96856000000002</v>
      </c>
      <c r="T191" s="61">
        <f t="shared" ref="T191:V191" si="663">S191*1.01</f>
        <v>582.73824560000003</v>
      </c>
      <c r="U191" s="61">
        <f t="shared" si="663"/>
        <v>588.56562805600004</v>
      </c>
      <c r="V191" s="61">
        <f t="shared" si="663"/>
        <v>594.45128433656009</v>
      </c>
      <c r="W191" s="38">
        <f>V191</f>
        <v>594.45128433656009</v>
      </c>
      <c r="X191" s="61">
        <f>V191*1.01</f>
        <v>600.39579717992569</v>
      </c>
      <c r="Y191" s="61">
        <f t="shared" ref="Y191:AA191" si="664">X191*1.01</f>
        <v>606.399755151725</v>
      </c>
      <c r="Z191" s="61">
        <f t="shared" si="664"/>
        <v>612.46375270324222</v>
      </c>
      <c r="AA191" s="61">
        <f t="shared" si="664"/>
        <v>618.58839023027463</v>
      </c>
      <c r="AB191" s="38">
        <f>AA191</f>
        <v>618.58839023027463</v>
      </c>
      <c r="AC191" s="61">
        <f>AA191*1.01</f>
        <v>624.77427413257737</v>
      </c>
      <c r="AD191" s="61">
        <f t="shared" ref="AD191:AF191" si="665">AC191*1.01</f>
        <v>631.02201687390311</v>
      </c>
      <c r="AE191" s="61">
        <f t="shared" si="665"/>
        <v>637.33223704264219</v>
      </c>
      <c r="AF191" s="61">
        <f t="shared" si="665"/>
        <v>643.70555941306861</v>
      </c>
      <c r="AG191" s="38">
        <f>AF191</f>
        <v>643.70555941306861</v>
      </c>
      <c r="AH191" s="61">
        <f>AF191*1.01</f>
        <v>650.14261500719931</v>
      </c>
      <c r="AI191" s="61">
        <f t="shared" ref="AI191:AK191" si="666">AH191*1.01</f>
        <v>656.64404115727132</v>
      </c>
      <c r="AJ191" s="61">
        <f t="shared" si="666"/>
        <v>663.21048156884399</v>
      </c>
      <c r="AK191" s="61">
        <f t="shared" si="666"/>
        <v>669.84258638453241</v>
      </c>
      <c r="AL191" s="38">
        <f>AK191</f>
        <v>669.84258638453241</v>
      </c>
      <c r="AM191" s="61">
        <f>AK191*1.01</f>
        <v>676.5410122483778</v>
      </c>
      <c r="AN191" s="61">
        <f t="shared" ref="AN191" si="667">AM191*1.01</f>
        <v>683.30642237086158</v>
      </c>
      <c r="AO191" s="61">
        <f t="shared" ref="AO191" si="668">AN191*1.01</f>
        <v>690.13948659457026</v>
      </c>
      <c r="AP191" s="61">
        <f t="shared" ref="AP191" si="669">AO191*1.01</f>
        <v>697.04088146051595</v>
      </c>
      <c r="AQ191" s="38">
        <f>AP191</f>
        <v>697.04088146051595</v>
      </c>
    </row>
    <row r="192" spans="1:43" ht="14.65" customHeight="1" outlineLevel="1" x14ac:dyDescent="0.25">
      <c r="A192" s="372"/>
      <c r="B192" s="390" t="s">
        <v>4</v>
      </c>
      <c r="C192" s="391"/>
      <c r="D192" s="41">
        <f t="shared" ref="D192:AL192" si="670">SUM(D187:D191)</f>
        <v>7676.2999999999993</v>
      </c>
      <c r="E192" s="41">
        <f t="shared" si="670"/>
        <v>4952.3</v>
      </c>
      <c r="F192" s="41">
        <f t="shared" si="670"/>
        <v>7734.9000000000024</v>
      </c>
      <c r="G192" s="41">
        <f t="shared" si="670"/>
        <v>5653.7000000000016</v>
      </c>
      <c r="H192" s="42">
        <f t="shared" si="670"/>
        <v>5653.7000000000016</v>
      </c>
      <c r="I192" s="41">
        <f t="shared" si="670"/>
        <v>5899.7000000000035</v>
      </c>
      <c r="J192" s="41">
        <f t="shared" si="670"/>
        <v>5749.9000000000033</v>
      </c>
      <c r="K192" s="41">
        <f t="shared" si="670"/>
        <v>7581.0000000000045</v>
      </c>
      <c r="L192" s="283">
        <f t="shared" si="670"/>
        <v>7806.4000000000051</v>
      </c>
      <c r="M192" s="42">
        <f t="shared" si="670"/>
        <v>7806.4000000000051</v>
      </c>
      <c r="N192" s="41">
        <f t="shared" si="670"/>
        <v>8357.4000000000106</v>
      </c>
      <c r="O192" s="41">
        <f t="shared" si="670"/>
        <v>6979.4000000000106</v>
      </c>
      <c r="P192" s="41">
        <f t="shared" si="670"/>
        <v>7931.7000000000098</v>
      </c>
      <c r="Q192" s="41">
        <f t="shared" si="670"/>
        <v>8545.5701265708212</v>
      </c>
      <c r="R192" s="42">
        <f t="shared" si="670"/>
        <v>8545.5701265708212</v>
      </c>
      <c r="S192" s="41">
        <f t="shared" si="670"/>
        <v>8302.3509969074948</v>
      </c>
      <c r="T192" s="41">
        <f t="shared" si="670"/>
        <v>7323.5662677721994</v>
      </c>
      <c r="U192" s="41">
        <f t="shared" si="670"/>
        <v>7169.6041549335332</v>
      </c>
      <c r="V192" s="41">
        <f t="shared" si="670"/>
        <v>7211.8651653574698</v>
      </c>
      <c r="W192" s="42">
        <f t="shared" si="670"/>
        <v>7211.8651653574698</v>
      </c>
      <c r="X192" s="41">
        <f t="shared" si="670"/>
        <v>7283.5035821747688</v>
      </c>
      <c r="Y192" s="41">
        <f t="shared" si="670"/>
        <v>6736.7531045573214</v>
      </c>
      <c r="Z192" s="41">
        <f t="shared" si="670"/>
        <v>6905.6976485323767</v>
      </c>
      <c r="AA192" s="41">
        <f t="shared" si="670"/>
        <v>6846.0947687732469</v>
      </c>
      <c r="AB192" s="42">
        <f t="shared" si="670"/>
        <v>6846.0947687732469</v>
      </c>
      <c r="AC192" s="41">
        <f t="shared" si="670"/>
        <v>7281.3533975807586</v>
      </c>
      <c r="AD192" s="41">
        <f t="shared" si="670"/>
        <v>6983.1022870373617</v>
      </c>
      <c r="AE192" s="41">
        <f t="shared" si="670"/>
        <v>7503.04810638053</v>
      </c>
      <c r="AF192" s="41">
        <f t="shared" si="670"/>
        <v>7610.0600887960854</v>
      </c>
      <c r="AG192" s="42">
        <f t="shared" si="670"/>
        <v>7610.0600887960854</v>
      </c>
      <c r="AH192" s="41">
        <f t="shared" si="670"/>
        <v>8222.1784284892747</v>
      </c>
      <c r="AI192" s="41">
        <f t="shared" si="670"/>
        <v>8094.2732209230817</v>
      </c>
      <c r="AJ192" s="41">
        <f t="shared" si="670"/>
        <v>8826.2475848327067</v>
      </c>
      <c r="AK192" s="41">
        <f t="shared" si="670"/>
        <v>9099.6766596938796</v>
      </c>
      <c r="AL192" s="42">
        <f t="shared" si="670"/>
        <v>9099.6766596938796</v>
      </c>
      <c r="AM192" s="41">
        <f t="shared" ref="AM192:AQ192" si="671">SUM(AM187:AM191)</f>
        <v>9795.4408236718609</v>
      </c>
      <c r="AN192" s="41">
        <f t="shared" si="671"/>
        <v>9708.7020132190555</v>
      </c>
      <c r="AO192" s="41">
        <f t="shared" si="671"/>
        <v>10553.258600830635</v>
      </c>
      <c r="AP192" s="41">
        <f t="shared" si="671"/>
        <v>10912.167053238509</v>
      </c>
      <c r="AQ192" s="42">
        <f t="shared" si="671"/>
        <v>10912.167053238509</v>
      </c>
    </row>
    <row r="193" spans="1:43" ht="14.65" customHeight="1" outlineLevel="1" x14ac:dyDescent="0.25">
      <c r="A193" s="372"/>
      <c r="B193" s="394" t="s">
        <v>204</v>
      </c>
      <c r="C193" s="409"/>
      <c r="D193" s="34">
        <v>265</v>
      </c>
      <c r="E193" s="34">
        <v>251.9</v>
      </c>
      <c r="F193" s="34">
        <v>222.6</v>
      </c>
      <c r="G193" s="34">
        <v>220</v>
      </c>
      <c r="H193" s="35">
        <f t="shared" ref="H193:H194" si="672">+G193</f>
        <v>220</v>
      </c>
      <c r="I193" s="34">
        <v>199.8</v>
      </c>
      <c r="J193" s="34">
        <v>198.8</v>
      </c>
      <c r="K193" s="34">
        <v>223.4</v>
      </c>
      <c r="L193" s="256">
        <v>206.1</v>
      </c>
      <c r="M193" s="35">
        <f t="shared" ref="M193:M194" si="673">+L193</f>
        <v>206.1</v>
      </c>
      <c r="N193" s="34">
        <v>190.9</v>
      </c>
      <c r="O193" s="34">
        <v>284.8</v>
      </c>
      <c r="P193" s="34">
        <v>285.89999999999998</v>
      </c>
      <c r="Q193" s="34">
        <f>+Q234*Q223*(1-Q235)</f>
        <v>252.00603796053173</v>
      </c>
      <c r="R193" s="35">
        <f t="shared" ref="R193:R194" si="674">+Q193</f>
        <v>252.00603796053173</v>
      </c>
      <c r="S193" s="34">
        <f>+S234*S223*(1-S235)</f>
        <v>258.64608229338091</v>
      </c>
      <c r="T193" s="34">
        <f>+T234*T223*(1-T235)</f>
        <v>265.96668643782766</v>
      </c>
      <c r="U193" s="34">
        <f>+U234*U223*(1-U235)</f>
        <v>258.11332417235673</v>
      </c>
      <c r="V193" s="34">
        <f>+V234*V223*(1-V235)</f>
        <v>252.88511306951196</v>
      </c>
      <c r="W193" s="35">
        <f t="shared" ref="W193:W194" si="675">+V193</f>
        <v>252.88511306951196</v>
      </c>
      <c r="X193" s="34">
        <f>+X234*X223*(1-X235)</f>
        <v>257.33317616688112</v>
      </c>
      <c r="Y193" s="34">
        <f>+Y234*Y223*(1-Y235)</f>
        <v>253.18421684427591</v>
      </c>
      <c r="Z193" s="34">
        <f>+Z234*Z223*(1-Z235)</f>
        <v>252.98610018790359</v>
      </c>
      <c r="AA193" s="34">
        <f>+AA234*AA223*(1-AA235)</f>
        <v>251.6794061499655</v>
      </c>
      <c r="AB193" s="35">
        <f t="shared" ref="AB193:AB194" si="676">+AA193</f>
        <v>251.6794061499655</v>
      </c>
      <c r="AC193" s="34">
        <f>+AC234*AC223*(1-AC235)</f>
        <v>257.00308256579945</v>
      </c>
      <c r="AD193" s="34">
        <f>+AD234*AD223*(1-AD235)</f>
        <v>253.05416136545924</v>
      </c>
      <c r="AE193" s="34">
        <f>+AE234*AE223*(1-AE235)</f>
        <v>257.27349184169645</v>
      </c>
      <c r="AF193" s="34">
        <f>+AF234*AF223*(1-AF235)</f>
        <v>258.14379556616507</v>
      </c>
      <c r="AG193" s="35">
        <f t="shared" ref="AG193:AG194" si="677">+AF193</f>
        <v>258.14379556616507</v>
      </c>
      <c r="AH193" s="34">
        <f>+AH234*AH223*(1-AH235)</f>
        <v>264.89881085258872</v>
      </c>
      <c r="AI193" s="34">
        <f>+AI234*AI223*(1-AI235)</f>
        <v>262.57455760689516</v>
      </c>
      <c r="AJ193" s="34">
        <f>+AJ234*AJ223*(1-AJ235)</f>
        <v>269.30709872164806</v>
      </c>
      <c r="AK193" s="34">
        <f>+AK234*AK223*(1-AK235)</f>
        <v>271.95123640735579</v>
      </c>
      <c r="AL193" s="35">
        <f t="shared" ref="AL193:AL194" si="678">+AK193</f>
        <v>271.95123640735579</v>
      </c>
      <c r="AM193" s="34">
        <f>+AM234*AM223*(1-AM235)</f>
        <v>279.71877311810033</v>
      </c>
      <c r="AN193" s="34">
        <f>+AN234*AN223*(1-AN235)</f>
        <v>277.9428025478889</v>
      </c>
      <c r="AO193" s="34">
        <f>+AO234*AO223*(1-AO235)</f>
        <v>285.99476349301187</v>
      </c>
      <c r="AP193" s="34">
        <f>+AP234*AP223*(1-AP235)</f>
        <v>289.63818653485282</v>
      </c>
      <c r="AQ193" s="35">
        <f t="shared" ref="AQ193:AQ194" si="679">+AP193</f>
        <v>289.63818653485282</v>
      </c>
    </row>
    <row r="194" spans="1:43" ht="14.65" customHeight="1" outlineLevel="1" x14ac:dyDescent="0.25">
      <c r="A194" s="372"/>
      <c r="B194" s="394" t="s">
        <v>275</v>
      </c>
      <c r="C194" s="409"/>
      <c r="D194" s="34">
        <v>336.1</v>
      </c>
      <c r="E194" s="34">
        <v>309.3</v>
      </c>
      <c r="F194" s="34">
        <v>340.3</v>
      </c>
      <c r="G194" s="34">
        <v>396</v>
      </c>
      <c r="H194" s="35">
        <f t="shared" si="672"/>
        <v>396</v>
      </c>
      <c r="I194" s="34">
        <v>411.3</v>
      </c>
      <c r="J194" s="34">
        <v>420.9</v>
      </c>
      <c r="K194" s="34">
        <v>426.1</v>
      </c>
      <c r="L194" s="256">
        <v>478.7</v>
      </c>
      <c r="M194" s="35">
        <f t="shared" si="673"/>
        <v>478.7</v>
      </c>
      <c r="N194" s="34">
        <v>496</v>
      </c>
      <c r="O194" s="34">
        <v>499.4</v>
      </c>
      <c r="P194" s="34">
        <v>535.29999999999995</v>
      </c>
      <c r="Q194" s="34">
        <f t="shared" ref="Q194" si="680">P194</f>
        <v>535.29999999999995</v>
      </c>
      <c r="R194" s="35">
        <f t="shared" si="674"/>
        <v>535.29999999999995</v>
      </c>
      <c r="S194" s="34">
        <f>Q194</f>
        <v>535.29999999999995</v>
      </c>
      <c r="T194" s="34">
        <f>S194</f>
        <v>535.29999999999995</v>
      </c>
      <c r="U194" s="34">
        <f t="shared" ref="U194:V194" si="681">T194</f>
        <v>535.29999999999995</v>
      </c>
      <c r="V194" s="34">
        <f t="shared" si="681"/>
        <v>535.29999999999995</v>
      </c>
      <c r="W194" s="35">
        <f t="shared" si="675"/>
        <v>535.29999999999995</v>
      </c>
      <c r="X194" s="34">
        <f>V194</f>
        <v>535.29999999999995</v>
      </c>
      <c r="Y194" s="34">
        <f>X194</f>
        <v>535.29999999999995</v>
      </c>
      <c r="Z194" s="34">
        <f t="shared" ref="Z194:AA194" si="682">Y194</f>
        <v>535.29999999999995</v>
      </c>
      <c r="AA194" s="34">
        <f t="shared" si="682"/>
        <v>535.29999999999995</v>
      </c>
      <c r="AB194" s="35">
        <f t="shared" si="676"/>
        <v>535.29999999999995</v>
      </c>
      <c r="AC194" s="34">
        <f>AA194</f>
        <v>535.29999999999995</v>
      </c>
      <c r="AD194" s="34">
        <f>AC194</f>
        <v>535.29999999999995</v>
      </c>
      <c r="AE194" s="34">
        <f t="shared" ref="AE194:AF194" si="683">AD194</f>
        <v>535.29999999999995</v>
      </c>
      <c r="AF194" s="34">
        <f t="shared" si="683"/>
        <v>535.29999999999995</v>
      </c>
      <c r="AG194" s="35">
        <f t="shared" si="677"/>
        <v>535.29999999999995</v>
      </c>
      <c r="AH194" s="34">
        <f>AF194</f>
        <v>535.29999999999995</v>
      </c>
      <c r="AI194" s="34">
        <f>AH194</f>
        <v>535.29999999999995</v>
      </c>
      <c r="AJ194" s="34">
        <f t="shared" ref="AJ194:AK194" si="684">AI194</f>
        <v>535.29999999999995</v>
      </c>
      <c r="AK194" s="34">
        <f t="shared" si="684"/>
        <v>535.29999999999995</v>
      </c>
      <c r="AL194" s="35">
        <f t="shared" si="678"/>
        <v>535.29999999999995</v>
      </c>
      <c r="AM194" s="34">
        <f>AK194</f>
        <v>535.29999999999995</v>
      </c>
      <c r="AN194" s="34">
        <f>AM194</f>
        <v>535.29999999999995</v>
      </c>
      <c r="AO194" s="34">
        <f t="shared" ref="AO194" si="685">AN194</f>
        <v>535.29999999999995</v>
      </c>
      <c r="AP194" s="34">
        <f t="shared" ref="AP194" si="686">AO194</f>
        <v>535.29999999999995</v>
      </c>
      <c r="AQ194" s="35">
        <f t="shared" si="679"/>
        <v>535.29999999999995</v>
      </c>
    </row>
    <row r="195" spans="1:43" s="20" customFormat="1" outlineLevel="1" x14ac:dyDescent="0.25">
      <c r="A195" s="372"/>
      <c r="B195" s="394" t="s">
        <v>205</v>
      </c>
      <c r="C195" s="391"/>
      <c r="D195" s="34">
        <v>6039.3</v>
      </c>
      <c r="E195" s="34">
        <v>6135.5</v>
      </c>
      <c r="F195" s="34">
        <v>6187.8</v>
      </c>
      <c r="G195" s="34">
        <v>6431.7</v>
      </c>
      <c r="H195" s="35">
        <f>+G195</f>
        <v>6431.7</v>
      </c>
      <c r="I195" s="34">
        <v>6390.9</v>
      </c>
      <c r="J195" s="34">
        <v>6387</v>
      </c>
      <c r="K195" s="34">
        <v>6295.6</v>
      </c>
      <c r="L195" s="256">
        <v>6241.4</v>
      </c>
      <c r="M195" s="35">
        <f>+L195</f>
        <v>6241.4</v>
      </c>
      <c r="N195" s="34">
        <v>6177.9</v>
      </c>
      <c r="O195" s="34">
        <v>6123.1</v>
      </c>
      <c r="P195" s="34">
        <v>6151.4</v>
      </c>
      <c r="Q195" s="34">
        <f>+P195-Q263-Q245</f>
        <v>6486.8025479216003</v>
      </c>
      <c r="R195" s="35">
        <f>+Q195</f>
        <v>6486.8025479216003</v>
      </c>
      <c r="S195" s="34">
        <f>+Q195-S263-S245</f>
        <v>6571.6914235916583</v>
      </c>
      <c r="T195" s="34">
        <f>+S195-T263-T245</f>
        <v>6635.0574460548505</v>
      </c>
      <c r="U195" s="34">
        <f>+T195-U263-U245</f>
        <v>6745.3192367442662</v>
      </c>
      <c r="V195" s="34">
        <f>+U195-V263-V245</f>
        <v>6836.5943007008345</v>
      </c>
      <c r="W195" s="35">
        <f>+V195</f>
        <v>6836.5943007008345</v>
      </c>
      <c r="X195" s="34">
        <f>+V195-X263-X245</f>
        <v>6897.4216877337185</v>
      </c>
      <c r="Y195" s="34">
        <f>+X195-Y263-Y245</f>
        <v>6944.631595850261</v>
      </c>
      <c r="Z195" s="34">
        <f>+Y195-Z263-Z245</f>
        <v>7037.0997096910251</v>
      </c>
      <c r="AA195" s="34">
        <f>+Z195-AA263-AA245</f>
        <v>7107.8751482501239</v>
      </c>
      <c r="AB195" s="35">
        <f>+AA195</f>
        <v>7107.8751482501239</v>
      </c>
      <c r="AC195" s="34">
        <f>+AA195-AC263-AC245</f>
        <v>7143.3812450463165</v>
      </c>
      <c r="AD195" s="34">
        <f>+AC195-AD263-AD245</f>
        <v>7168.4476862439169</v>
      </c>
      <c r="AE195" s="34">
        <f>+AD195-AE263-AE245</f>
        <v>7240.3641177053823</v>
      </c>
      <c r="AF195" s="34">
        <f>+AE195-AF263-AF245</f>
        <v>7320.9851207854053</v>
      </c>
      <c r="AG195" s="35">
        <f>+AF195</f>
        <v>7320.9851207854053</v>
      </c>
      <c r="AH195" s="34">
        <f>+AF195-AH263-AH245</f>
        <v>7383.2655059544704</v>
      </c>
      <c r="AI195" s="34">
        <f>+AH195-AI263-AI245</f>
        <v>7432.8834575402952</v>
      </c>
      <c r="AJ195" s="34">
        <f>+AI195-AJ263-AJ245</f>
        <v>7531.7052041904026</v>
      </c>
      <c r="AK195" s="34">
        <f>+AJ195-AK263-AK245</f>
        <v>7633.1294004482734</v>
      </c>
      <c r="AL195" s="35">
        <f>+AK195</f>
        <v>7633.1294004482734</v>
      </c>
      <c r="AM195" s="34">
        <f>+AK195-AM263-AM245</f>
        <v>7718.2954568552141</v>
      </c>
      <c r="AN195" s="34">
        <f>+AM195-AN263-AN245</f>
        <v>7788.0941086654075</v>
      </c>
      <c r="AO195" s="34">
        <f>+AN195-AO263-AO245</f>
        <v>7908.64337090361</v>
      </c>
      <c r="AP195" s="34">
        <f>+AO195-AP263-AP245</f>
        <v>8030.6613646793867</v>
      </c>
      <c r="AQ195" s="35">
        <f>+AP195</f>
        <v>8030.6613646793867</v>
      </c>
    </row>
    <row r="196" spans="1:43" s="20" customFormat="1" outlineLevel="1" x14ac:dyDescent="0.25">
      <c r="A196" s="372"/>
      <c r="B196" s="394" t="s">
        <v>276</v>
      </c>
      <c r="C196" s="391"/>
      <c r="D196" s="34">
        <v>0</v>
      </c>
      <c r="E196" s="34">
        <v>0</v>
      </c>
      <c r="F196" s="34">
        <v>0</v>
      </c>
      <c r="G196" s="34">
        <v>0</v>
      </c>
      <c r="H196" s="35">
        <f>+G196</f>
        <v>0</v>
      </c>
      <c r="I196" s="34">
        <v>8358.5</v>
      </c>
      <c r="J196" s="34">
        <v>8260.7999999999993</v>
      </c>
      <c r="K196" s="34">
        <v>8214</v>
      </c>
      <c r="L196" s="256">
        <v>8134.1</v>
      </c>
      <c r="M196" s="35">
        <f>L196</f>
        <v>8134.1</v>
      </c>
      <c r="N196" s="34">
        <v>8199.4</v>
      </c>
      <c r="O196" s="34">
        <v>8036.8</v>
      </c>
      <c r="P196" s="34">
        <v>8065.2</v>
      </c>
      <c r="Q196" s="63">
        <f>P196*0.99</f>
        <v>7984.5479999999998</v>
      </c>
      <c r="R196" s="35">
        <f>Q196</f>
        <v>7984.5479999999998</v>
      </c>
      <c r="S196" s="63">
        <f>Q196*0.99</f>
        <v>7904.7025199999998</v>
      </c>
      <c r="T196" s="63">
        <f>S196*0.99</f>
        <v>7825.6554947999994</v>
      </c>
      <c r="U196" s="63">
        <f>T196*0.99</f>
        <v>7747.3989398519989</v>
      </c>
      <c r="V196" s="63">
        <f>U196*0.99</f>
        <v>7669.9249504534791</v>
      </c>
      <c r="W196" s="35">
        <f>V196</f>
        <v>7669.9249504534791</v>
      </c>
      <c r="X196" s="63">
        <f>V196*0.99</f>
        <v>7593.225700948944</v>
      </c>
      <c r="Y196" s="63">
        <f>X196*0.99</f>
        <v>7517.2934439394548</v>
      </c>
      <c r="Z196" s="63">
        <f>Y196*0.99</f>
        <v>7442.1205095000605</v>
      </c>
      <c r="AA196" s="63">
        <f>Z196*0.99</f>
        <v>7367.6993044050596</v>
      </c>
      <c r="AB196" s="35">
        <f>AA196</f>
        <v>7367.6993044050596</v>
      </c>
      <c r="AC196" s="63">
        <f>AA196*0.99</f>
        <v>7294.0223113610091</v>
      </c>
      <c r="AD196" s="63">
        <f>AC196*0.99</f>
        <v>7221.082088247399</v>
      </c>
      <c r="AE196" s="63">
        <f>AD196*0.99</f>
        <v>7148.8712673649252</v>
      </c>
      <c r="AF196" s="63">
        <f>AE196*0.99</f>
        <v>7077.3825546912758</v>
      </c>
      <c r="AG196" s="35">
        <f>AF196</f>
        <v>7077.3825546912758</v>
      </c>
      <c r="AH196" s="63">
        <f>AF196*0.99</f>
        <v>7006.6087291443628</v>
      </c>
      <c r="AI196" s="63">
        <f>AH196*0.99</f>
        <v>6936.5426418529187</v>
      </c>
      <c r="AJ196" s="63">
        <f>AI196*0.99</f>
        <v>6867.1772154343898</v>
      </c>
      <c r="AK196" s="63">
        <f>AJ196*0.99</f>
        <v>6798.5054432800462</v>
      </c>
      <c r="AL196" s="35">
        <f>AK196</f>
        <v>6798.5054432800462</v>
      </c>
      <c r="AM196" s="63">
        <f>AK196*0.99</f>
        <v>6730.5203888472461</v>
      </c>
      <c r="AN196" s="63">
        <f>AM196*0.99</f>
        <v>6663.2151849587735</v>
      </c>
      <c r="AO196" s="63">
        <f>AN196*0.99</f>
        <v>6596.5830331091856</v>
      </c>
      <c r="AP196" s="63">
        <f>AO196*0.99</f>
        <v>6530.617202778094</v>
      </c>
      <c r="AQ196" s="35">
        <f>AP196</f>
        <v>6530.617202778094</v>
      </c>
    </row>
    <row r="197" spans="1:43" s="20" customFormat="1" outlineLevel="1" x14ac:dyDescent="0.25">
      <c r="A197" s="372"/>
      <c r="B197" s="394" t="s">
        <v>214</v>
      </c>
      <c r="C197" s="391"/>
      <c r="D197" s="34">
        <v>650</v>
      </c>
      <c r="E197" s="34">
        <v>1006.6</v>
      </c>
      <c r="F197" s="34">
        <v>1533</v>
      </c>
      <c r="G197" s="34">
        <v>1765.8</v>
      </c>
      <c r="H197" s="35">
        <f t="shared" ref="H197:H198" si="687">+G197</f>
        <v>1765.8</v>
      </c>
      <c r="I197" s="34">
        <v>1731.4</v>
      </c>
      <c r="J197" s="34">
        <v>1709.7</v>
      </c>
      <c r="K197" s="34">
        <v>1740</v>
      </c>
      <c r="L197" s="256">
        <v>1789.9</v>
      </c>
      <c r="M197" s="35">
        <f t="shared" ref="M197:M198" si="688">+L197</f>
        <v>1789.9</v>
      </c>
      <c r="N197" s="34">
        <v>1792.4</v>
      </c>
      <c r="O197" s="34">
        <v>1770</v>
      </c>
      <c r="P197" s="34">
        <v>1851</v>
      </c>
      <c r="Q197" s="63">
        <f>Q238*(Q208+Q214)</f>
        <v>1774.7875297344281</v>
      </c>
      <c r="R197" s="35">
        <f t="shared" ref="R197:R198" si="689">+Q197</f>
        <v>1774.7875297344281</v>
      </c>
      <c r="S197" s="63">
        <f>S238*(S208+S214)</f>
        <v>1870.0533320715861</v>
      </c>
      <c r="T197" s="63">
        <f>T238*(T208+T214)</f>
        <v>1810.8091879436217</v>
      </c>
      <c r="U197" s="63">
        <f>U238*(U208+U214)</f>
        <v>1809.1451991194533</v>
      </c>
      <c r="V197" s="63">
        <f>V238*(V208+V214)</f>
        <v>1787.3422819709556</v>
      </c>
      <c r="W197" s="35">
        <f t="shared" ref="W197:W198" si="690">+V197</f>
        <v>1787.3422819709556</v>
      </c>
      <c r="X197" s="63">
        <f>X238*(X208+X214)</f>
        <v>1898.7071639960836</v>
      </c>
      <c r="Y197" s="63">
        <f>Y238*(Y208+Y214)</f>
        <v>1821.119094937018</v>
      </c>
      <c r="Z197" s="63">
        <f>Z238*(Z208+Z214)</f>
        <v>1811.3207755321814</v>
      </c>
      <c r="AA197" s="63">
        <f>AA238*(AA208+AA214)</f>
        <v>1799.6125356626708</v>
      </c>
      <c r="AB197" s="35">
        <f t="shared" ref="AB197:AB198" si="691">+AA197</f>
        <v>1799.6125356626708</v>
      </c>
      <c r="AC197" s="63">
        <f>AC238*(AC208+AC214)</f>
        <v>1920.0017682417192</v>
      </c>
      <c r="AD197" s="63">
        <f>AD238*(AD208+AD214)</f>
        <v>1833.541870791659</v>
      </c>
      <c r="AE197" s="63">
        <f>AE238*(AE208+AE214)</f>
        <v>1823.2442632144694</v>
      </c>
      <c r="AF197" s="63">
        <f>AF238*(AF208+AF214)</f>
        <v>1812.9575361668406</v>
      </c>
      <c r="AG197" s="35">
        <f t="shared" ref="AG197:AG198" si="692">+AF197</f>
        <v>1812.9575361668406</v>
      </c>
      <c r="AH197" s="63">
        <f>AH238*(AH208+AH214)</f>
        <v>1943.3587820254552</v>
      </c>
      <c r="AI197" s="63">
        <f>AI238*(AI208+AI214)</f>
        <v>1849.7965840858396</v>
      </c>
      <c r="AJ197" s="63">
        <f>AJ238*(AJ208+AJ214)</f>
        <v>1839.3408717028126</v>
      </c>
      <c r="AK197" s="63">
        <f>AK238*(AK208+AK214)</f>
        <v>1828.9917224229098</v>
      </c>
      <c r="AL197" s="35">
        <f t="shared" ref="AL197:AL198" si="693">+AK197</f>
        <v>1828.9917224229098</v>
      </c>
      <c r="AM197" s="63">
        <f>AM238*(AM208+AM214)</f>
        <v>1970.606400960324</v>
      </c>
      <c r="AN197" s="63">
        <f>AN238*(AN208+AN214)</f>
        <v>1869.7620018234875</v>
      </c>
      <c r="AO197" s="63">
        <f>AO238*(AO208+AO214)</f>
        <v>1859.0238668447178</v>
      </c>
      <c r="AP197" s="63">
        <f>AP238*(AP208+AP214)</f>
        <v>1848.3728991390699</v>
      </c>
      <c r="AQ197" s="35">
        <f t="shared" ref="AQ197:AQ198" si="694">+AP197</f>
        <v>1848.3728991390699</v>
      </c>
    </row>
    <row r="198" spans="1:43" s="20" customFormat="1" outlineLevel="1" x14ac:dyDescent="0.25">
      <c r="A198" s="372"/>
      <c r="B198" s="394" t="s">
        <v>277</v>
      </c>
      <c r="C198" s="391"/>
      <c r="D198" s="34">
        <v>472.7</v>
      </c>
      <c r="E198" s="34">
        <v>464.5</v>
      </c>
      <c r="F198" s="34">
        <v>458</v>
      </c>
      <c r="G198" s="34">
        <v>479.6</v>
      </c>
      <c r="H198" s="35">
        <f t="shared" si="687"/>
        <v>479.6</v>
      </c>
      <c r="I198" s="34">
        <v>484.7</v>
      </c>
      <c r="J198" s="34">
        <v>580.1</v>
      </c>
      <c r="K198" s="34">
        <v>550.79999999999995</v>
      </c>
      <c r="L198" s="256">
        <v>568.6</v>
      </c>
      <c r="M198" s="35">
        <f t="shared" si="688"/>
        <v>568.6</v>
      </c>
      <c r="N198" s="34">
        <v>541.1</v>
      </c>
      <c r="O198" s="34">
        <v>574.9</v>
      </c>
      <c r="P198" s="34">
        <v>586.29999999999995</v>
      </c>
      <c r="Q198" s="63">
        <f>+P198*(Q223/P223)</f>
        <v>601.20857050568361</v>
      </c>
      <c r="R198" s="35">
        <f t="shared" si="689"/>
        <v>601.20857050568361</v>
      </c>
      <c r="S198" s="63">
        <f>+Q198*(S223/Q223)</f>
        <v>597.98758685023881</v>
      </c>
      <c r="T198" s="63">
        <f>+S198*(T223/S223)</f>
        <v>576.32409276576971</v>
      </c>
      <c r="U198" s="63">
        <f>+T198*(U223/T223)</f>
        <v>573.25345650129293</v>
      </c>
      <c r="V198" s="63">
        <f>+U198*(V223/U223)</f>
        <v>573.46424224536293</v>
      </c>
      <c r="W198" s="35">
        <f t="shared" si="690"/>
        <v>573.46424224536293</v>
      </c>
      <c r="X198" s="63">
        <f>+V198*(X223/V223)</f>
        <v>576.59059121161749</v>
      </c>
      <c r="Y198" s="63">
        <f>+X198*(Y223/X223)</f>
        <v>562.91893800007415</v>
      </c>
      <c r="Z198" s="63">
        <f>+Y198*(Z223/Y223)</f>
        <v>566.18133241066312</v>
      </c>
      <c r="AA198" s="63">
        <f>+Z198*(AA223/Z223)</f>
        <v>564.33824154382205</v>
      </c>
      <c r="AB198" s="35">
        <f t="shared" si="691"/>
        <v>564.33824154382205</v>
      </c>
      <c r="AC198" s="63">
        <f>+AA198*(AC223/AA223)</f>
        <v>574.67020552175973</v>
      </c>
      <c r="AD198" s="63">
        <f>+AC198*(AD223/AC223)</f>
        <v>565.55022556252868</v>
      </c>
      <c r="AE198" s="63">
        <f>+AD198*(AE223/AD223)</f>
        <v>575.7272504420531</v>
      </c>
      <c r="AF198" s="63">
        <f>+AE198*(AF223/AE223)</f>
        <v>577.66253200786127</v>
      </c>
      <c r="AG198" s="35">
        <f t="shared" si="692"/>
        <v>577.66253200786127</v>
      </c>
      <c r="AH198" s="63">
        <f>+AF198*(AH223/AF223)</f>
        <v>592.4790462758325</v>
      </c>
      <c r="AI198" s="63">
        <f>+AH198*(AI223/AH223)</f>
        <v>587.31868314351709</v>
      </c>
      <c r="AJ198" s="63">
        <f>+AI198*(AJ223/AI223)</f>
        <v>602.50393421180877</v>
      </c>
      <c r="AK198" s="63">
        <f>+AJ198*(AK223/AJ223)</f>
        <v>608.38110528413188</v>
      </c>
      <c r="AL198" s="35">
        <f t="shared" si="693"/>
        <v>608.38110528413188</v>
      </c>
      <c r="AM198" s="63">
        <f>+AK198*(AM223/AK223)</f>
        <v>625.71179638114188</v>
      </c>
      <c r="AN198" s="63">
        <f>+AM198*(AN223/AM223)</f>
        <v>621.76045671851227</v>
      </c>
      <c r="AO198" s="63">
        <f>+AN198*(AO223/AN223)</f>
        <v>639.78988623936959</v>
      </c>
      <c r="AP198" s="63">
        <f>+AO198*(AP223/AO223)</f>
        <v>647.92824152614048</v>
      </c>
      <c r="AQ198" s="35">
        <f t="shared" si="694"/>
        <v>647.92824152614048</v>
      </c>
    </row>
    <row r="199" spans="1:43" s="20" customFormat="1" outlineLevel="1" x14ac:dyDescent="0.25">
      <c r="A199" s="372"/>
      <c r="B199" s="394" t="s">
        <v>206</v>
      </c>
      <c r="C199" s="391"/>
      <c r="D199" s="34">
        <v>981.6</v>
      </c>
      <c r="E199" s="34">
        <v>918.3</v>
      </c>
      <c r="F199" s="34">
        <v>853.2</v>
      </c>
      <c r="G199" s="34">
        <v>781.8</v>
      </c>
      <c r="H199" s="35">
        <f>+G199</f>
        <v>781.8</v>
      </c>
      <c r="I199" s="34">
        <v>739.1</v>
      </c>
      <c r="J199" s="34">
        <v>678.7</v>
      </c>
      <c r="K199" s="34">
        <v>599.6</v>
      </c>
      <c r="L199" s="256">
        <v>552.1</v>
      </c>
      <c r="M199" s="35">
        <f>+L199</f>
        <v>552.1</v>
      </c>
      <c r="N199" s="34">
        <v>506.4</v>
      </c>
      <c r="O199" s="34">
        <v>444.3</v>
      </c>
      <c r="P199" s="34">
        <v>398</v>
      </c>
      <c r="Q199" s="63">
        <f>+P199*0.94</f>
        <v>374.12</v>
      </c>
      <c r="R199" s="35">
        <f>+Q199</f>
        <v>374.12</v>
      </c>
      <c r="S199" s="63">
        <f>+Q199*0.94</f>
        <v>351.6728</v>
      </c>
      <c r="T199" s="63">
        <f>+S199*0.94</f>
        <v>330.57243199999999</v>
      </c>
      <c r="U199" s="63">
        <f>+T199*0.94</f>
        <v>310.73808607999996</v>
      </c>
      <c r="V199" s="63">
        <f>+U199*0.94</f>
        <v>292.09380091519995</v>
      </c>
      <c r="W199" s="35">
        <f>+V199</f>
        <v>292.09380091519995</v>
      </c>
      <c r="X199" s="63">
        <f>+V199*0.94</f>
        <v>274.56817286028792</v>
      </c>
      <c r="Y199" s="63">
        <f>+X199*0.94</f>
        <v>258.09408248867061</v>
      </c>
      <c r="Z199" s="63">
        <f>+Y199*0.94</f>
        <v>242.60843753935035</v>
      </c>
      <c r="AA199" s="63">
        <f>+Z199*0.94</f>
        <v>228.05193128698932</v>
      </c>
      <c r="AB199" s="35">
        <f>+AA199</f>
        <v>228.05193128698932</v>
      </c>
      <c r="AC199" s="63">
        <f>+AA199*0.94</f>
        <v>214.36881540976995</v>
      </c>
      <c r="AD199" s="63">
        <f>+AC199*0.94</f>
        <v>201.50668648518374</v>
      </c>
      <c r="AE199" s="63">
        <f>+AD199*0.94</f>
        <v>189.41628529607269</v>
      </c>
      <c r="AF199" s="63">
        <f>+AE199*0.94</f>
        <v>178.05130817830832</v>
      </c>
      <c r="AG199" s="35">
        <f>+AF199</f>
        <v>178.05130817830832</v>
      </c>
      <c r="AH199" s="63">
        <f>+AF199*0.94</f>
        <v>167.36822968760981</v>
      </c>
      <c r="AI199" s="63">
        <f>+AH199*0.94</f>
        <v>157.32613590635322</v>
      </c>
      <c r="AJ199" s="63">
        <f>+AI199*0.94</f>
        <v>147.88656775197202</v>
      </c>
      <c r="AK199" s="63">
        <f>+AJ199*0.94</f>
        <v>139.0133736868537</v>
      </c>
      <c r="AL199" s="35">
        <f>+AK199</f>
        <v>139.0133736868537</v>
      </c>
      <c r="AM199" s="63">
        <f>+AK199*0.94</f>
        <v>130.67257126564246</v>
      </c>
      <c r="AN199" s="63">
        <f>+AM199*0.94</f>
        <v>122.83221698970391</v>
      </c>
      <c r="AO199" s="63">
        <f>+AN199*0.94</f>
        <v>115.46228397032166</v>
      </c>
      <c r="AP199" s="63">
        <f>+AO199*0.94</f>
        <v>108.53454693210236</v>
      </c>
      <c r="AQ199" s="35">
        <f>+AP199</f>
        <v>108.53454693210236</v>
      </c>
    </row>
    <row r="200" spans="1:43" ht="17.25" outlineLevel="1" x14ac:dyDescent="0.4">
      <c r="A200" s="372"/>
      <c r="B200" s="595" t="s">
        <v>36</v>
      </c>
      <c r="C200" s="596"/>
      <c r="D200" s="37">
        <v>3560.3</v>
      </c>
      <c r="E200" s="37">
        <v>3603.5</v>
      </c>
      <c r="F200" s="37">
        <v>3564.7</v>
      </c>
      <c r="G200" s="37">
        <v>3490.8</v>
      </c>
      <c r="H200" s="38">
        <f>G200</f>
        <v>3490.8</v>
      </c>
      <c r="I200" s="37">
        <v>3515.9</v>
      </c>
      <c r="J200" s="37">
        <v>3493</v>
      </c>
      <c r="K200" s="37">
        <v>3510.1</v>
      </c>
      <c r="L200" s="270">
        <v>3597.2</v>
      </c>
      <c r="M200" s="38">
        <f>L200</f>
        <v>3597.2</v>
      </c>
      <c r="N200" s="37">
        <v>3706.8</v>
      </c>
      <c r="O200" s="37">
        <v>3658.9</v>
      </c>
      <c r="P200" s="37">
        <v>3672</v>
      </c>
      <c r="Q200" s="61">
        <f t="shared" ref="Q200" si="695">+P200</f>
        <v>3672</v>
      </c>
      <c r="R200" s="38">
        <f>Q200</f>
        <v>3672</v>
      </c>
      <c r="S200" s="61">
        <f>+Q200</f>
        <v>3672</v>
      </c>
      <c r="T200" s="61">
        <f>+S200</f>
        <v>3672</v>
      </c>
      <c r="U200" s="61">
        <f t="shared" ref="U200:V200" si="696">+T200</f>
        <v>3672</v>
      </c>
      <c r="V200" s="61">
        <f t="shared" si="696"/>
        <v>3672</v>
      </c>
      <c r="W200" s="38">
        <f>V200</f>
        <v>3672</v>
      </c>
      <c r="X200" s="61">
        <f>+V200</f>
        <v>3672</v>
      </c>
      <c r="Y200" s="61">
        <f>+X200</f>
        <v>3672</v>
      </c>
      <c r="Z200" s="61">
        <f t="shared" ref="Z200:AA200" si="697">+Y200</f>
        <v>3672</v>
      </c>
      <c r="AA200" s="61">
        <f t="shared" si="697"/>
        <v>3672</v>
      </c>
      <c r="AB200" s="38">
        <f>AA200</f>
        <v>3672</v>
      </c>
      <c r="AC200" s="61">
        <f>+AA200</f>
        <v>3672</v>
      </c>
      <c r="AD200" s="61">
        <f>+AC200</f>
        <v>3672</v>
      </c>
      <c r="AE200" s="61">
        <f t="shared" ref="AE200:AF200" si="698">+AD200</f>
        <v>3672</v>
      </c>
      <c r="AF200" s="61">
        <f t="shared" si="698"/>
        <v>3672</v>
      </c>
      <c r="AG200" s="38">
        <f>AF200</f>
        <v>3672</v>
      </c>
      <c r="AH200" s="61">
        <f>+AF200</f>
        <v>3672</v>
      </c>
      <c r="AI200" s="61">
        <f>+AH200</f>
        <v>3672</v>
      </c>
      <c r="AJ200" s="61">
        <f t="shared" ref="AJ200:AK200" si="699">+AI200</f>
        <v>3672</v>
      </c>
      <c r="AK200" s="61">
        <f t="shared" si="699"/>
        <v>3672</v>
      </c>
      <c r="AL200" s="38">
        <f>AK200</f>
        <v>3672</v>
      </c>
      <c r="AM200" s="61">
        <f>+AK200</f>
        <v>3672</v>
      </c>
      <c r="AN200" s="61">
        <f>+AM200</f>
        <v>3672</v>
      </c>
      <c r="AO200" s="61">
        <f t="shared" ref="AO200" si="700">+AN200</f>
        <v>3672</v>
      </c>
      <c r="AP200" s="61">
        <f t="shared" ref="AP200" si="701">+AO200</f>
        <v>3672</v>
      </c>
      <c r="AQ200" s="38">
        <f>AP200</f>
        <v>3672</v>
      </c>
    </row>
    <row r="201" spans="1:43" outlineLevel="1" x14ac:dyDescent="0.25">
      <c r="A201" s="372"/>
      <c r="B201" s="613" t="s">
        <v>5</v>
      </c>
      <c r="C201" s="614"/>
      <c r="D201" s="41">
        <f t="shared" ref="D201:AB201" si="702">+SUM(D192:D200)</f>
        <v>19981.3</v>
      </c>
      <c r="E201" s="41">
        <f t="shared" si="702"/>
        <v>17641.900000000001</v>
      </c>
      <c r="F201" s="41">
        <f t="shared" si="702"/>
        <v>20894.500000000004</v>
      </c>
      <c r="G201" s="41">
        <f t="shared" si="702"/>
        <v>19219.400000000001</v>
      </c>
      <c r="H201" s="42">
        <f t="shared" si="702"/>
        <v>19219.400000000001</v>
      </c>
      <c r="I201" s="41">
        <f t="shared" si="702"/>
        <v>27731.300000000007</v>
      </c>
      <c r="J201" s="41">
        <f t="shared" si="702"/>
        <v>27478.9</v>
      </c>
      <c r="K201" s="41">
        <f t="shared" si="702"/>
        <v>29140.600000000002</v>
      </c>
      <c r="L201" s="41">
        <f t="shared" si="702"/>
        <v>29374.500000000004</v>
      </c>
      <c r="M201" s="42">
        <f t="shared" si="702"/>
        <v>29374.500000000004</v>
      </c>
      <c r="N201" s="41">
        <f t="shared" si="702"/>
        <v>29968.30000000001</v>
      </c>
      <c r="O201" s="41">
        <f t="shared" si="702"/>
        <v>28371.600000000013</v>
      </c>
      <c r="P201" s="41">
        <f t="shared" si="702"/>
        <v>29476.800000000007</v>
      </c>
      <c r="Q201" s="41">
        <f t="shared" si="702"/>
        <v>30226.342812693063</v>
      </c>
      <c r="R201" s="42">
        <f t="shared" si="702"/>
        <v>30226.342812693063</v>
      </c>
      <c r="S201" s="41">
        <f t="shared" si="702"/>
        <v>30064.404741714359</v>
      </c>
      <c r="T201" s="41">
        <f t="shared" si="702"/>
        <v>28975.251607774266</v>
      </c>
      <c r="U201" s="41">
        <f t="shared" si="702"/>
        <v>28820.872397402902</v>
      </c>
      <c r="V201" s="41">
        <f t="shared" si="702"/>
        <v>28831.469854712814</v>
      </c>
      <c r="W201" s="42">
        <f t="shared" si="702"/>
        <v>28831.469854712814</v>
      </c>
      <c r="X201" s="41">
        <f t="shared" si="702"/>
        <v>28988.650075092304</v>
      </c>
      <c r="Y201" s="41">
        <f t="shared" si="702"/>
        <v>28301.294476617077</v>
      </c>
      <c r="Z201" s="41">
        <f t="shared" si="702"/>
        <v>28465.314513393561</v>
      </c>
      <c r="AA201" s="41">
        <f t="shared" si="702"/>
        <v>28372.651336071882</v>
      </c>
      <c r="AB201" s="42">
        <f t="shared" si="702"/>
        <v>28372.651336071882</v>
      </c>
      <c r="AC201" s="41">
        <f t="shared" ref="AC201:AG201" si="703">+SUM(AC192:AC200)</f>
        <v>28892.100825727135</v>
      </c>
      <c r="AD201" s="41">
        <f t="shared" si="703"/>
        <v>28433.585005733508</v>
      </c>
      <c r="AE201" s="41">
        <f t="shared" si="703"/>
        <v>28945.244782245129</v>
      </c>
      <c r="AF201" s="41">
        <f t="shared" si="703"/>
        <v>29042.542936191938</v>
      </c>
      <c r="AG201" s="42">
        <f t="shared" si="703"/>
        <v>29042.542936191938</v>
      </c>
      <c r="AH201" s="41">
        <f t="shared" ref="AH201:AL201" si="704">+SUM(AH192:AH200)</f>
        <v>29787.457532429591</v>
      </c>
      <c r="AI201" s="41">
        <f t="shared" si="704"/>
        <v>29528.015281058899</v>
      </c>
      <c r="AJ201" s="41">
        <f t="shared" si="704"/>
        <v>30291.468476845737</v>
      </c>
      <c r="AK201" s="41">
        <f t="shared" si="704"/>
        <v>30586.948941223447</v>
      </c>
      <c r="AL201" s="42">
        <f t="shared" si="704"/>
        <v>30586.948941223447</v>
      </c>
      <c r="AM201" s="41">
        <f t="shared" ref="AM201:AQ201" si="705">+SUM(AM192:AM200)</f>
        <v>31458.26621109953</v>
      </c>
      <c r="AN201" s="41">
        <f t="shared" si="705"/>
        <v>31259.608784922832</v>
      </c>
      <c r="AO201" s="41">
        <f t="shared" si="705"/>
        <v>32166.05580539085</v>
      </c>
      <c r="AP201" s="41">
        <f t="shared" si="705"/>
        <v>32575.219494828158</v>
      </c>
      <c r="AQ201" s="42">
        <f t="shared" si="705"/>
        <v>32575.219494828158</v>
      </c>
    </row>
    <row r="202" spans="1:43" ht="18" x14ac:dyDescent="0.4">
      <c r="A202" s="372"/>
      <c r="B202" s="565" t="s">
        <v>7</v>
      </c>
      <c r="C202" s="566"/>
      <c r="D202" s="32" t="s">
        <v>119</v>
      </c>
      <c r="E202" s="32" t="s">
        <v>243</v>
      </c>
      <c r="F202" s="32" t="s">
        <v>247</v>
      </c>
      <c r="G202" s="32" t="s">
        <v>257</v>
      </c>
      <c r="H202" s="86" t="s">
        <v>258</v>
      </c>
      <c r="I202" s="32" t="s">
        <v>259</v>
      </c>
      <c r="J202" s="32" t="s">
        <v>260</v>
      </c>
      <c r="K202" s="32" t="s">
        <v>261</v>
      </c>
      <c r="L202" s="32" t="s">
        <v>322</v>
      </c>
      <c r="M202" s="86" t="s">
        <v>333</v>
      </c>
      <c r="N202" s="32" t="s">
        <v>339</v>
      </c>
      <c r="O202" s="32" t="s">
        <v>347</v>
      </c>
      <c r="P202" s="32" t="s">
        <v>349</v>
      </c>
      <c r="Q202" s="30" t="s">
        <v>129</v>
      </c>
      <c r="R202" s="89" t="s">
        <v>130</v>
      </c>
      <c r="S202" s="30" t="s">
        <v>131</v>
      </c>
      <c r="T202" s="30" t="s">
        <v>132</v>
      </c>
      <c r="U202" s="30" t="s">
        <v>133</v>
      </c>
      <c r="V202" s="30" t="s">
        <v>134</v>
      </c>
      <c r="W202" s="89" t="s">
        <v>135</v>
      </c>
      <c r="X202" s="30" t="s">
        <v>136</v>
      </c>
      <c r="Y202" s="30" t="s">
        <v>137</v>
      </c>
      <c r="Z202" s="30" t="s">
        <v>138</v>
      </c>
      <c r="AA202" s="30" t="s">
        <v>139</v>
      </c>
      <c r="AB202" s="89" t="s">
        <v>140</v>
      </c>
      <c r="AC202" s="30" t="s">
        <v>252</v>
      </c>
      <c r="AD202" s="30" t="s">
        <v>253</v>
      </c>
      <c r="AE202" s="30" t="s">
        <v>254</v>
      </c>
      <c r="AF202" s="30" t="s">
        <v>255</v>
      </c>
      <c r="AG202" s="89" t="s">
        <v>256</v>
      </c>
      <c r="AH202" s="30" t="s">
        <v>285</v>
      </c>
      <c r="AI202" s="30" t="s">
        <v>286</v>
      </c>
      <c r="AJ202" s="30" t="s">
        <v>287</v>
      </c>
      <c r="AK202" s="30" t="s">
        <v>288</v>
      </c>
      <c r="AL202" s="89" t="s">
        <v>289</v>
      </c>
      <c r="AM202" s="30" t="s">
        <v>356</v>
      </c>
      <c r="AN202" s="30" t="s">
        <v>357</v>
      </c>
      <c r="AO202" s="30" t="s">
        <v>358</v>
      </c>
      <c r="AP202" s="30" t="s">
        <v>359</v>
      </c>
      <c r="AQ202" s="89" t="s">
        <v>360</v>
      </c>
    </row>
    <row r="203" spans="1:43" s="43" customFormat="1" outlineLevel="1" x14ac:dyDescent="0.25">
      <c r="A203" s="372"/>
      <c r="B203" s="619" t="s">
        <v>37</v>
      </c>
      <c r="C203" s="620"/>
      <c r="D203" s="81">
        <v>1100.5</v>
      </c>
      <c r="E203" s="81">
        <v>1096.7</v>
      </c>
      <c r="F203" s="81">
        <v>1145.4000000000001</v>
      </c>
      <c r="G203" s="81">
        <v>1189.7</v>
      </c>
      <c r="H203" s="82">
        <f>G203</f>
        <v>1189.7</v>
      </c>
      <c r="I203" s="81">
        <v>1085.5999999999999</v>
      </c>
      <c r="J203" s="81">
        <v>997.7</v>
      </c>
      <c r="K203" s="81">
        <v>860.8</v>
      </c>
      <c r="L203" s="81">
        <v>997.9</v>
      </c>
      <c r="M203" s="82">
        <f>L203</f>
        <v>997.9</v>
      </c>
      <c r="N203" s="81">
        <v>1050.5999999999999</v>
      </c>
      <c r="O203" s="81">
        <v>1033.5999999999999</v>
      </c>
      <c r="P203" s="81">
        <v>1127</v>
      </c>
      <c r="Q203" s="81">
        <f>(Q17/Q232)</f>
        <v>1322.6783584002073</v>
      </c>
      <c r="R203" s="82">
        <f>Q203</f>
        <v>1322.6783584002073</v>
      </c>
      <c r="S203" s="81">
        <f t="shared" ref="S203:AP203" si="706">(S17/S232)</f>
        <v>1194.052452204138</v>
      </c>
      <c r="T203" s="81">
        <f t="shared" si="706"/>
        <v>1202.8821032202045</v>
      </c>
      <c r="U203" s="81">
        <f t="shared" si="706"/>
        <v>1385.5236046261421</v>
      </c>
      <c r="V203" s="81">
        <f t="shared" si="706"/>
        <v>1332.0415828301684</v>
      </c>
      <c r="W203" s="82">
        <f>V203</f>
        <v>1332.0415828301684</v>
      </c>
      <c r="X203" s="81">
        <f t="shared" si="706"/>
        <v>1296.9092527079463</v>
      </c>
      <c r="Y203" s="81">
        <f t="shared" si="706"/>
        <v>1318.4454557623515</v>
      </c>
      <c r="Z203" s="81">
        <f t="shared" si="706"/>
        <v>1486.6171181250274</v>
      </c>
      <c r="AA203" s="81">
        <f t="shared" si="706"/>
        <v>1458.8937668716321</v>
      </c>
      <c r="AB203" s="82">
        <f>AA203</f>
        <v>1458.8937668716321</v>
      </c>
      <c r="AC203" s="81">
        <f t="shared" si="706"/>
        <v>1386.8372585146456</v>
      </c>
      <c r="AD203" s="81">
        <f t="shared" si="706"/>
        <v>1417.4661350425083</v>
      </c>
      <c r="AE203" s="81">
        <f t="shared" si="706"/>
        <v>1634.0411784072999</v>
      </c>
      <c r="AF203" s="81">
        <f t="shared" si="706"/>
        <v>1574.966953234755</v>
      </c>
      <c r="AG203" s="82">
        <f>AF203</f>
        <v>1574.966953234755</v>
      </c>
      <c r="AH203" s="81">
        <f t="shared" si="706"/>
        <v>1503.4611422300165</v>
      </c>
      <c r="AI203" s="81">
        <f t="shared" si="706"/>
        <v>1534.0271886802807</v>
      </c>
      <c r="AJ203" s="81">
        <f t="shared" si="706"/>
        <v>1748.294535071818</v>
      </c>
      <c r="AK203" s="81">
        <f t="shared" si="706"/>
        <v>1705.1235837708434</v>
      </c>
      <c r="AL203" s="82">
        <f>AK203</f>
        <v>1705.1235837708434</v>
      </c>
      <c r="AM203" s="81">
        <f t="shared" si="706"/>
        <v>1621.1658443869198</v>
      </c>
      <c r="AN203" s="81">
        <f t="shared" si="706"/>
        <v>1653.4911942620745</v>
      </c>
      <c r="AO203" s="81">
        <f t="shared" si="706"/>
        <v>1890.8670594651801</v>
      </c>
      <c r="AP203" s="81">
        <f t="shared" si="706"/>
        <v>1835.5145205580354</v>
      </c>
      <c r="AQ203" s="82">
        <f>AP203</f>
        <v>1835.5145205580354</v>
      </c>
    </row>
    <row r="204" spans="1:43" outlineLevel="1" x14ac:dyDescent="0.25">
      <c r="A204" s="372"/>
      <c r="B204" s="619" t="s">
        <v>207</v>
      </c>
      <c r="C204" s="620"/>
      <c r="D204" s="81">
        <v>2564</v>
      </c>
      <c r="E204" s="81">
        <v>2569.3000000000002</v>
      </c>
      <c r="F204" s="81">
        <v>3238.7</v>
      </c>
      <c r="G204" s="81">
        <v>1753.7</v>
      </c>
      <c r="H204" s="82">
        <f>G204</f>
        <v>1753.7</v>
      </c>
      <c r="I204" s="81">
        <v>1637.8</v>
      </c>
      <c r="J204" s="81">
        <v>1539</v>
      </c>
      <c r="K204" s="81">
        <v>1511.7</v>
      </c>
      <c r="L204" s="81">
        <v>1160.7</v>
      </c>
      <c r="M204" s="82">
        <f>L204</f>
        <v>1160.7</v>
      </c>
      <c r="N204" s="81">
        <v>1616.9</v>
      </c>
      <c r="O204" s="81">
        <v>1771.6</v>
      </c>
      <c r="P204" s="81">
        <v>1791.4</v>
      </c>
      <c r="Q204" s="63">
        <f>((L23-L22-L20)/(K23-K22-K20)*P204)</f>
        <v>2044.5783461023427</v>
      </c>
      <c r="R204" s="82">
        <f>Q204</f>
        <v>2044.5783461023427</v>
      </c>
      <c r="S204" s="63">
        <f>((N23-N22-N20)/(L23-L22-L20)*R204)</f>
        <v>2155.1619915263541</v>
      </c>
      <c r="T204" s="63">
        <f>((O23-O22-O20)/(N23-N22-N20)*S204)</f>
        <v>2110.920668232608</v>
      </c>
      <c r="U204" s="63">
        <f>((P23-P22-P20)/(O23-O22-O20)*T204)</f>
        <v>2256.9760235330277</v>
      </c>
      <c r="V204" s="63">
        <f>((Q23-Q22-Q20)/(P23-P22-P20)*U204)</f>
        <v>2527.7378607868577</v>
      </c>
      <c r="W204" s="82">
        <f>V204</f>
        <v>2527.7378607868577</v>
      </c>
      <c r="X204" s="63">
        <f>((S23-S22-S20)/(Q23-Q22-Q20)*W204)</f>
        <v>2413.9053699084934</v>
      </c>
      <c r="Y204" s="63">
        <f>((T23-T22-T20)/(S23-S22-S20)*X204)</f>
        <v>2361.4368432452538</v>
      </c>
      <c r="Z204" s="63">
        <f>((U23-U22-U20)/(T23-T22-T20)*Y204)</f>
        <v>2550.063305366029</v>
      </c>
      <c r="AA204" s="63">
        <f>((V23-V22-V20)/(U23-U22-U20)*Z204)</f>
        <v>2568.0211903374011</v>
      </c>
      <c r="AB204" s="82">
        <f>AA204</f>
        <v>2568.0211903374011</v>
      </c>
      <c r="AC204" s="63">
        <f>((X23-X22-X20)/(V23-V22-V20)*AB204)</f>
        <v>2568.2707474242816</v>
      </c>
      <c r="AD204" s="63">
        <f>((Y23-Y22-Y20)/(X23-X22-X20)*AC204)</f>
        <v>2549.274803641119</v>
      </c>
      <c r="AE204" s="63">
        <f>((Z23-Z22-Z20)/(Y23-Y22-Y20)*AD204)</f>
        <v>2812.9028188604539</v>
      </c>
      <c r="AF204" s="63">
        <f>((AA23-AA22-AA20)/(Z23-Z22-Z20)*AE204)</f>
        <v>2781.7233836013888</v>
      </c>
      <c r="AG204" s="82">
        <f>AF204</f>
        <v>2781.7233836013888</v>
      </c>
      <c r="AH204" s="63">
        <f>((AC23-AC22-AC20)/(AA23-AA22-AA20)*AG204)</f>
        <v>2756.2576656308752</v>
      </c>
      <c r="AI204" s="63">
        <f>((AD23-AD22-AD20)/(AC23-AC22-AC20)*AH204)</f>
        <v>2745.2292120058437</v>
      </c>
      <c r="AJ204" s="63">
        <f>((AE23-AE22-AE20)/(AD23-AD22-AD20)*AI204)</f>
        <v>3037.2059780339332</v>
      </c>
      <c r="AK204" s="63">
        <f>((AF23-AF22-AF20)/(AE23-AE22-AE20)*AJ204)</f>
        <v>3013.8351167707328</v>
      </c>
      <c r="AL204" s="82">
        <f>AK204</f>
        <v>3013.8351167707328</v>
      </c>
      <c r="AM204" s="63">
        <f>((AH23-AH22-AH20)/(AF23-AF22-AF20)*AL204)</f>
        <v>2972.999633851291</v>
      </c>
      <c r="AN204" s="63">
        <f>((AI23-AI22-AI20)/(AH23-AH22-AH20)*AM204)</f>
        <v>2958.7691647857823</v>
      </c>
      <c r="AO204" s="63">
        <f>((AJ23-AJ22-AJ20)/(AI23-AI22-AI20)*AN204)</f>
        <v>3271.2616538919997</v>
      </c>
      <c r="AP204" s="63">
        <f>((AK23-AK22-AK20)/(AJ23-AJ22-AJ20)*AO204)</f>
        <v>3249.4254907013774</v>
      </c>
      <c r="AQ204" s="82">
        <f>AP204</f>
        <v>3249.4254907013774</v>
      </c>
    </row>
    <row r="205" spans="1:43" outlineLevel="1" x14ac:dyDescent="0.25">
      <c r="A205" s="372"/>
      <c r="B205" s="396" t="s">
        <v>272</v>
      </c>
      <c r="C205" s="397"/>
      <c r="D205" s="81">
        <v>0</v>
      </c>
      <c r="E205" s="81">
        <v>0</v>
      </c>
      <c r="F205" s="81">
        <v>0</v>
      </c>
      <c r="G205" s="81">
        <v>664.6</v>
      </c>
      <c r="H205" s="82">
        <f t="shared" ref="H205:H215" si="707">G205</f>
        <v>664.6</v>
      </c>
      <c r="I205" s="81">
        <v>578.5</v>
      </c>
      <c r="J205" s="81">
        <v>596.1</v>
      </c>
      <c r="K205" s="81">
        <v>652.1</v>
      </c>
      <c r="L205" s="81">
        <v>696</v>
      </c>
      <c r="M205" s="82">
        <f t="shared" ref="M205:M215" si="708">L205</f>
        <v>696</v>
      </c>
      <c r="N205" s="81">
        <v>685.3</v>
      </c>
      <c r="O205" s="81">
        <v>646.1</v>
      </c>
      <c r="P205" s="81">
        <v>741</v>
      </c>
      <c r="Q205" s="63">
        <f t="shared" ref="Q205:R215" si="709">P205</f>
        <v>741</v>
      </c>
      <c r="R205" s="82">
        <f t="shared" si="709"/>
        <v>741</v>
      </c>
      <c r="S205" s="63">
        <f>Q205</f>
        <v>741</v>
      </c>
      <c r="T205" s="63">
        <f>S205</f>
        <v>741</v>
      </c>
      <c r="U205" s="63">
        <f t="shared" ref="U205:W215" si="710">T205</f>
        <v>741</v>
      </c>
      <c r="V205" s="63">
        <f t="shared" si="710"/>
        <v>741</v>
      </c>
      <c r="W205" s="82">
        <f t="shared" si="710"/>
        <v>741</v>
      </c>
      <c r="X205" s="63">
        <f>V205</f>
        <v>741</v>
      </c>
      <c r="Y205" s="63">
        <f>X205</f>
        <v>741</v>
      </c>
      <c r="Z205" s="63">
        <f t="shared" ref="Z205:AB215" si="711">Y205</f>
        <v>741</v>
      </c>
      <c r="AA205" s="63">
        <f t="shared" si="711"/>
        <v>741</v>
      </c>
      <c r="AB205" s="82">
        <f t="shared" si="711"/>
        <v>741</v>
      </c>
      <c r="AC205" s="63">
        <f>AA205</f>
        <v>741</v>
      </c>
      <c r="AD205" s="63">
        <f>AC205</f>
        <v>741</v>
      </c>
      <c r="AE205" s="63">
        <f t="shared" ref="AE205:AG215" si="712">AD205</f>
        <v>741</v>
      </c>
      <c r="AF205" s="63">
        <f t="shared" si="712"/>
        <v>741</v>
      </c>
      <c r="AG205" s="82">
        <f t="shared" si="712"/>
        <v>741</v>
      </c>
      <c r="AH205" s="63">
        <f>AF205</f>
        <v>741</v>
      </c>
      <c r="AI205" s="63">
        <f>AH205</f>
        <v>741</v>
      </c>
      <c r="AJ205" s="63">
        <f t="shared" ref="AJ205:AL215" si="713">AI205</f>
        <v>741</v>
      </c>
      <c r="AK205" s="63">
        <f t="shared" si="713"/>
        <v>741</v>
      </c>
      <c r="AL205" s="82">
        <f t="shared" si="713"/>
        <v>741</v>
      </c>
      <c r="AM205" s="63">
        <f>AK205</f>
        <v>741</v>
      </c>
      <c r="AN205" s="63">
        <f>AM205</f>
        <v>741</v>
      </c>
      <c r="AO205" s="63">
        <f t="shared" ref="AO205:AO206" si="714">AN205</f>
        <v>741</v>
      </c>
      <c r="AP205" s="63">
        <f t="shared" ref="AP205:AP206" si="715">AO205</f>
        <v>741</v>
      </c>
      <c r="AQ205" s="82">
        <f t="shared" ref="AQ205:AQ210" si="716">AP205</f>
        <v>741</v>
      </c>
    </row>
    <row r="206" spans="1:43" outlineLevel="1" x14ac:dyDescent="0.25">
      <c r="A206" s="372"/>
      <c r="B206" s="396" t="s">
        <v>273</v>
      </c>
      <c r="C206" s="397"/>
      <c r="D206" s="81">
        <v>0</v>
      </c>
      <c r="E206" s="81">
        <v>0</v>
      </c>
      <c r="F206" s="81">
        <v>0</v>
      </c>
      <c r="G206" s="81">
        <v>1291.7</v>
      </c>
      <c r="H206" s="82">
        <f t="shared" si="707"/>
        <v>1291.7</v>
      </c>
      <c r="I206" s="81">
        <v>1414</v>
      </c>
      <c r="J206" s="81">
        <v>86.7</v>
      </c>
      <c r="K206" s="81">
        <v>90.9</v>
      </c>
      <c r="L206" s="81">
        <v>98.2</v>
      </c>
      <c r="M206" s="82">
        <f t="shared" si="708"/>
        <v>98.2</v>
      </c>
      <c r="N206" s="81">
        <v>149.69999999999999</v>
      </c>
      <c r="O206" s="81">
        <v>117</v>
      </c>
      <c r="P206" s="81">
        <v>204.8</v>
      </c>
      <c r="Q206" s="63">
        <f t="shared" ref="Q206" si="717">P206</f>
        <v>204.8</v>
      </c>
      <c r="R206" s="82">
        <f t="shared" si="709"/>
        <v>204.8</v>
      </c>
      <c r="S206" s="63">
        <f t="shared" ref="S206" si="718">Q206</f>
        <v>204.8</v>
      </c>
      <c r="T206" s="63">
        <f t="shared" ref="T206:V206" si="719">S206</f>
        <v>204.8</v>
      </c>
      <c r="U206" s="63">
        <f t="shared" si="719"/>
        <v>204.8</v>
      </c>
      <c r="V206" s="63">
        <f t="shared" si="719"/>
        <v>204.8</v>
      </c>
      <c r="W206" s="82">
        <f t="shared" si="710"/>
        <v>204.8</v>
      </c>
      <c r="X206" s="63">
        <f t="shared" ref="X206" si="720">V206</f>
        <v>204.8</v>
      </c>
      <c r="Y206" s="63">
        <f t="shared" ref="Y206:AA206" si="721">X206</f>
        <v>204.8</v>
      </c>
      <c r="Z206" s="63">
        <f t="shared" si="721"/>
        <v>204.8</v>
      </c>
      <c r="AA206" s="63">
        <f t="shared" si="721"/>
        <v>204.8</v>
      </c>
      <c r="AB206" s="82">
        <f t="shared" si="711"/>
        <v>204.8</v>
      </c>
      <c r="AC206" s="63">
        <f t="shared" ref="AC206" si="722">AA206</f>
        <v>204.8</v>
      </c>
      <c r="AD206" s="63">
        <f t="shared" ref="AD206:AF206" si="723">AC206</f>
        <v>204.8</v>
      </c>
      <c r="AE206" s="63">
        <f t="shared" si="723"/>
        <v>204.8</v>
      </c>
      <c r="AF206" s="63">
        <f t="shared" si="723"/>
        <v>204.8</v>
      </c>
      <c r="AG206" s="82">
        <f t="shared" si="712"/>
        <v>204.8</v>
      </c>
      <c r="AH206" s="63">
        <f t="shared" ref="AH206" si="724">AF206</f>
        <v>204.8</v>
      </c>
      <c r="AI206" s="63">
        <f t="shared" ref="AI206:AK206" si="725">AH206</f>
        <v>204.8</v>
      </c>
      <c r="AJ206" s="63">
        <f t="shared" si="725"/>
        <v>204.8</v>
      </c>
      <c r="AK206" s="63">
        <f t="shared" si="725"/>
        <v>204.8</v>
      </c>
      <c r="AL206" s="82">
        <f t="shared" si="713"/>
        <v>204.8</v>
      </c>
      <c r="AM206" s="63">
        <f t="shared" ref="AM206" si="726">AK206</f>
        <v>204.8</v>
      </c>
      <c r="AN206" s="63">
        <f t="shared" ref="AN206" si="727">AM206</f>
        <v>204.8</v>
      </c>
      <c r="AO206" s="63">
        <f t="shared" si="714"/>
        <v>204.8</v>
      </c>
      <c r="AP206" s="63">
        <f t="shared" si="715"/>
        <v>204.8</v>
      </c>
      <c r="AQ206" s="82">
        <f t="shared" si="716"/>
        <v>204.8</v>
      </c>
    </row>
    <row r="207" spans="1:43" outlineLevel="1" x14ac:dyDescent="0.25">
      <c r="A207" s="372"/>
      <c r="B207" s="396" t="s">
        <v>274</v>
      </c>
      <c r="C207" s="397"/>
      <c r="D207" s="81">
        <v>0</v>
      </c>
      <c r="E207" s="81">
        <v>0</v>
      </c>
      <c r="F207" s="81">
        <v>0</v>
      </c>
      <c r="G207" s="81">
        <v>0</v>
      </c>
      <c r="H207" s="82">
        <f t="shared" si="707"/>
        <v>0</v>
      </c>
      <c r="I207" s="81">
        <v>1268.9000000000001</v>
      </c>
      <c r="J207" s="81">
        <v>1253.5</v>
      </c>
      <c r="K207" s="81">
        <v>1237.0999999999999</v>
      </c>
      <c r="L207" s="81">
        <v>1248.8</v>
      </c>
      <c r="M207" s="82">
        <f t="shared" si="708"/>
        <v>1248.8</v>
      </c>
      <c r="N207" s="81">
        <v>1267.5999999999999</v>
      </c>
      <c r="O207" s="81">
        <v>1296.4000000000001</v>
      </c>
      <c r="P207" s="81">
        <v>1308.4000000000001</v>
      </c>
      <c r="Q207" s="63">
        <f>P207*0.99</f>
        <v>1295.316</v>
      </c>
      <c r="R207" s="82">
        <f t="shared" si="709"/>
        <v>1295.316</v>
      </c>
      <c r="S207" s="63">
        <f>Q207*0.99</f>
        <v>1282.36284</v>
      </c>
      <c r="T207" s="63">
        <f>S207*0.99</f>
        <v>1269.5392116</v>
      </c>
      <c r="U207" s="63">
        <f>T207*0.99</f>
        <v>1256.8438194840001</v>
      </c>
      <c r="V207" s="63">
        <f>U207*0.99</f>
        <v>1244.2753812891601</v>
      </c>
      <c r="W207" s="82">
        <f t="shared" si="710"/>
        <v>1244.2753812891601</v>
      </c>
      <c r="X207" s="63">
        <f>V207*0.99</f>
        <v>1231.8326274762685</v>
      </c>
      <c r="Y207" s="63">
        <f>X207*0.99</f>
        <v>1219.5143012015058</v>
      </c>
      <c r="Z207" s="63">
        <f>Y207*0.99</f>
        <v>1207.3191581894907</v>
      </c>
      <c r="AA207" s="63">
        <f>Z207*0.99</f>
        <v>1195.2459666075958</v>
      </c>
      <c r="AB207" s="82">
        <f t="shared" si="711"/>
        <v>1195.2459666075958</v>
      </c>
      <c r="AC207" s="63">
        <f>AA207*0.99</f>
        <v>1183.2935069415198</v>
      </c>
      <c r="AD207" s="63">
        <f>AC207*0.99</f>
        <v>1171.4605718721045</v>
      </c>
      <c r="AE207" s="63">
        <f>AD207*0.99</f>
        <v>1159.7459661533835</v>
      </c>
      <c r="AF207" s="63">
        <f>AE207*0.99</f>
        <v>1148.1485064918497</v>
      </c>
      <c r="AG207" s="82">
        <f t="shared" si="712"/>
        <v>1148.1485064918497</v>
      </c>
      <c r="AH207" s="63">
        <f>AF207*0.99</f>
        <v>1136.6670214269311</v>
      </c>
      <c r="AI207" s="63">
        <f>AH207*0.99</f>
        <v>1125.3003512126618</v>
      </c>
      <c r="AJ207" s="63">
        <f>AI207*0.99</f>
        <v>1114.0473477005351</v>
      </c>
      <c r="AK207" s="63">
        <f>AJ207*0.99</f>
        <v>1102.9068742235297</v>
      </c>
      <c r="AL207" s="82">
        <f t="shared" si="713"/>
        <v>1102.9068742235297</v>
      </c>
      <c r="AM207" s="63">
        <f>AK207*0.99</f>
        <v>1091.8778054812944</v>
      </c>
      <c r="AN207" s="63">
        <f>AM207*0.99</f>
        <v>1080.9590274264815</v>
      </c>
      <c r="AO207" s="63">
        <f>AN207*0.99</f>
        <v>1070.1494371522167</v>
      </c>
      <c r="AP207" s="63">
        <f>AO207*0.99</f>
        <v>1059.4479427806946</v>
      </c>
      <c r="AQ207" s="82">
        <f t="shared" si="716"/>
        <v>1059.4479427806946</v>
      </c>
    </row>
    <row r="208" spans="1:43" outlineLevel="1" x14ac:dyDescent="0.25">
      <c r="A208" s="372"/>
      <c r="B208" s="396" t="s">
        <v>208</v>
      </c>
      <c r="C208" s="397"/>
      <c r="D208" s="81">
        <v>1554.2</v>
      </c>
      <c r="E208" s="81">
        <v>1311.4</v>
      </c>
      <c r="F208" s="81">
        <v>1300.2</v>
      </c>
      <c r="G208" s="81">
        <v>1269</v>
      </c>
      <c r="H208" s="82">
        <f t="shared" si="707"/>
        <v>1269</v>
      </c>
      <c r="I208" s="81">
        <v>1694.1</v>
      </c>
      <c r="J208" s="81">
        <v>1436.3</v>
      </c>
      <c r="K208" s="81">
        <v>1463.3</v>
      </c>
      <c r="L208" s="81">
        <v>1456.5</v>
      </c>
      <c r="M208" s="82">
        <f t="shared" si="708"/>
        <v>1456.5</v>
      </c>
      <c r="N208" s="81">
        <v>1871.2</v>
      </c>
      <c r="O208" s="81">
        <v>1622.1</v>
      </c>
      <c r="P208" s="81">
        <v>1628.3</v>
      </c>
      <c r="Q208" s="63">
        <f>P208*0.99</f>
        <v>1612.0170000000001</v>
      </c>
      <c r="R208" s="82">
        <f t="shared" si="709"/>
        <v>1612.0170000000001</v>
      </c>
      <c r="S208" s="63">
        <f>Q208*1.3</f>
        <v>2095.6221</v>
      </c>
      <c r="T208" s="63">
        <f>S208*0.85</f>
        <v>1781.278785</v>
      </c>
      <c r="U208" s="63">
        <f>T208*0.99</f>
        <v>1763.46599715</v>
      </c>
      <c r="V208" s="63">
        <f>U208*0.99</f>
        <v>1745.8313371785</v>
      </c>
      <c r="W208" s="82">
        <f t="shared" si="710"/>
        <v>1745.8313371785</v>
      </c>
      <c r="X208" s="63">
        <f>V208*1.3</f>
        <v>2269.5807383320503</v>
      </c>
      <c r="Y208" s="63">
        <f>X208*0.85</f>
        <v>1929.1436275822427</v>
      </c>
      <c r="Z208" s="63">
        <f>Y208*0.99</f>
        <v>1909.8521913064203</v>
      </c>
      <c r="AA208" s="63">
        <f>Z208*0.99</f>
        <v>1890.7536693933562</v>
      </c>
      <c r="AB208" s="82">
        <f t="shared" si="711"/>
        <v>1890.7536693933562</v>
      </c>
      <c r="AC208" s="63">
        <f>AA208*1.3</f>
        <v>2457.9797702113633</v>
      </c>
      <c r="AD208" s="63">
        <f>AC208*0.85</f>
        <v>2089.282804679659</v>
      </c>
      <c r="AE208" s="63">
        <f>AD208*0.99</f>
        <v>2068.3899766328623</v>
      </c>
      <c r="AF208" s="63">
        <f>AE208*0.99</f>
        <v>2047.7060768665335</v>
      </c>
      <c r="AG208" s="82">
        <f t="shared" si="712"/>
        <v>2047.7060768665335</v>
      </c>
      <c r="AH208" s="63">
        <f>AF208*1.3</f>
        <v>2662.0178999264936</v>
      </c>
      <c r="AI208" s="63">
        <f>AH208*0.85</f>
        <v>2262.7152149375192</v>
      </c>
      <c r="AJ208" s="63">
        <f>AI208*0.99</f>
        <v>2240.0880627881438</v>
      </c>
      <c r="AK208" s="63">
        <f>AJ208*0.99</f>
        <v>2217.6871821602622</v>
      </c>
      <c r="AL208" s="82">
        <f t="shared" si="713"/>
        <v>2217.6871821602622</v>
      </c>
      <c r="AM208" s="63">
        <f>AK208*1.3</f>
        <v>2882.9933368083412</v>
      </c>
      <c r="AN208" s="63">
        <f>AM208*0.85</f>
        <v>2450.5443362870901</v>
      </c>
      <c r="AO208" s="63">
        <f>AN208*0.99</f>
        <v>2426.038892924219</v>
      </c>
      <c r="AP208" s="63">
        <f>AO208*0.99</f>
        <v>2401.7785039949767</v>
      </c>
      <c r="AQ208" s="82">
        <f t="shared" si="716"/>
        <v>2401.7785039949767</v>
      </c>
    </row>
    <row r="209" spans="1:43" outlineLevel="1" x14ac:dyDescent="0.25">
      <c r="A209" s="372"/>
      <c r="B209" s="396" t="s">
        <v>278</v>
      </c>
      <c r="C209" s="370"/>
      <c r="D209" s="81">
        <v>0</v>
      </c>
      <c r="E209" s="81">
        <f>75+0</f>
        <v>75</v>
      </c>
      <c r="F209" s="81">
        <v>0</v>
      </c>
      <c r="G209" s="81">
        <v>0</v>
      </c>
      <c r="H209" s="82">
        <f t="shared" si="707"/>
        <v>0</v>
      </c>
      <c r="I209" s="81">
        <f>497.9+498.7</f>
        <v>996.59999999999991</v>
      </c>
      <c r="J209" s="81">
        <f>1107.1+1249.4</f>
        <v>2356.5</v>
      </c>
      <c r="K209" s="81">
        <f>936.5+1249.6</f>
        <v>2186.1</v>
      </c>
      <c r="L209" s="81">
        <f>438.8+1249.9</f>
        <v>1688.7</v>
      </c>
      <c r="M209" s="82">
        <f t="shared" si="708"/>
        <v>1688.7</v>
      </c>
      <c r="N209" s="81">
        <f>492.6+750</f>
        <v>1242.5999999999999</v>
      </c>
      <c r="O209" s="81">
        <v>18.3</v>
      </c>
      <c r="P209" s="81">
        <v>998.9</v>
      </c>
      <c r="Q209" s="63">
        <f>P209-250</f>
        <v>748.9</v>
      </c>
      <c r="R209" s="82">
        <f t="shared" si="709"/>
        <v>748.9</v>
      </c>
      <c r="S209" s="63">
        <f>Q209-250+1000-250</f>
        <v>1248.9000000000001</v>
      </c>
      <c r="T209" s="63">
        <f>S209-250-250</f>
        <v>748.90000000000009</v>
      </c>
      <c r="U209" s="63">
        <f>T209-249-250</f>
        <v>249.90000000000009</v>
      </c>
      <c r="V209" s="63">
        <f>U209-250</f>
        <v>-9.9999999999909051E-2</v>
      </c>
      <c r="W209" s="82">
        <f t="shared" si="710"/>
        <v>-9.9999999999909051E-2</v>
      </c>
      <c r="X209" s="63">
        <f>V209+1000-250</f>
        <v>749.90000000000009</v>
      </c>
      <c r="Y209" s="63">
        <f>X209-250</f>
        <v>499.90000000000009</v>
      </c>
      <c r="Z209" s="63">
        <f>Y209-250</f>
        <v>249.90000000000009</v>
      </c>
      <c r="AA209" s="63">
        <f>Z209-250</f>
        <v>-9.9999999999909051E-2</v>
      </c>
      <c r="AB209" s="82">
        <f t="shared" si="711"/>
        <v>-9.9999999999909051E-2</v>
      </c>
      <c r="AC209" s="63">
        <f>1543-385.75</f>
        <v>1157.25</v>
      </c>
      <c r="AD209" s="63">
        <f>AC209-385.75</f>
        <v>771.5</v>
      </c>
      <c r="AE209" s="63">
        <f>AD209-385.75</f>
        <v>385.75</v>
      </c>
      <c r="AF209" s="63">
        <f>AE209-385.75</f>
        <v>0</v>
      </c>
      <c r="AG209" s="82">
        <f t="shared" si="712"/>
        <v>0</v>
      </c>
      <c r="AH209" s="63">
        <f>AF209+1250-312.5</f>
        <v>937.5</v>
      </c>
      <c r="AI209" s="63">
        <f>AH209-312.5</f>
        <v>625</v>
      </c>
      <c r="AJ209" s="63">
        <f>AI209-312.5</f>
        <v>312.5</v>
      </c>
      <c r="AK209" s="63">
        <f>AJ209-312.5</f>
        <v>0</v>
      </c>
      <c r="AL209" s="82">
        <f t="shared" si="713"/>
        <v>0</v>
      </c>
      <c r="AM209" s="63">
        <f>AK209+1250-312.5</f>
        <v>937.5</v>
      </c>
      <c r="AN209" s="63">
        <f>AM209-312.5</f>
        <v>625</v>
      </c>
      <c r="AO209" s="63">
        <f>AN209-312.5</f>
        <v>312.5</v>
      </c>
      <c r="AP209" s="63">
        <f>AO209-312.5</f>
        <v>0</v>
      </c>
      <c r="AQ209" s="82">
        <f t="shared" si="716"/>
        <v>0</v>
      </c>
    </row>
    <row r="210" spans="1:43" ht="17.25" outlineLevel="1" x14ac:dyDescent="0.4">
      <c r="A210" s="372"/>
      <c r="B210" s="396" t="s">
        <v>271</v>
      </c>
      <c r="C210" s="370"/>
      <c r="D210" s="248">
        <v>208.8</v>
      </c>
      <c r="E210" s="248">
        <v>221</v>
      </c>
      <c r="F210" s="248">
        <v>211.5</v>
      </c>
      <c r="G210" s="248">
        <v>0</v>
      </c>
      <c r="H210" s="241">
        <f t="shared" si="707"/>
        <v>0</v>
      </c>
      <c r="I210" s="248">
        <v>0</v>
      </c>
      <c r="J210" s="248">
        <v>0</v>
      </c>
      <c r="K210" s="248">
        <v>0</v>
      </c>
      <c r="L210" s="248">
        <v>0</v>
      </c>
      <c r="M210" s="241">
        <f t="shared" si="708"/>
        <v>0</v>
      </c>
      <c r="N210" s="248">
        <v>0</v>
      </c>
      <c r="O210" s="248">
        <v>0</v>
      </c>
      <c r="P210" s="248">
        <v>0</v>
      </c>
      <c r="Q210" s="61">
        <v>0</v>
      </c>
      <c r="R210" s="241">
        <f t="shared" si="709"/>
        <v>0</v>
      </c>
      <c r="S210" s="61">
        <v>0</v>
      </c>
      <c r="T210" s="61">
        <v>0</v>
      </c>
      <c r="U210" s="61">
        <v>0</v>
      </c>
      <c r="V210" s="61">
        <v>0</v>
      </c>
      <c r="W210" s="241">
        <f t="shared" si="710"/>
        <v>0</v>
      </c>
      <c r="X210" s="61">
        <v>0</v>
      </c>
      <c r="Y210" s="61">
        <v>0</v>
      </c>
      <c r="Z210" s="61">
        <v>0</v>
      </c>
      <c r="AA210" s="61">
        <v>0</v>
      </c>
      <c r="AB210" s="241">
        <f t="shared" si="711"/>
        <v>0</v>
      </c>
      <c r="AC210" s="61">
        <v>0</v>
      </c>
      <c r="AD210" s="61">
        <v>0</v>
      </c>
      <c r="AE210" s="61">
        <v>0</v>
      </c>
      <c r="AF210" s="61">
        <v>0</v>
      </c>
      <c r="AG210" s="241">
        <f t="shared" si="712"/>
        <v>0</v>
      </c>
      <c r="AH210" s="61">
        <v>0</v>
      </c>
      <c r="AI210" s="61">
        <v>0</v>
      </c>
      <c r="AJ210" s="61">
        <v>0</v>
      </c>
      <c r="AK210" s="61">
        <v>0</v>
      </c>
      <c r="AL210" s="241">
        <f t="shared" si="713"/>
        <v>0</v>
      </c>
      <c r="AM210" s="61">
        <v>0</v>
      </c>
      <c r="AN210" s="61">
        <v>0</v>
      </c>
      <c r="AO210" s="61">
        <v>0</v>
      </c>
      <c r="AP210" s="61">
        <v>0</v>
      </c>
      <c r="AQ210" s="241">
        <f t="shared" si="716"/>
        <v>0</v>
      </c>
    </row>
    <row r="211" spans="1:43" outlineLevel="1" x14ac:dyDescent="0.25">
      <c r="A211" s="372"/>
      <c r="B211" s="398" t="s">
        <v>8</v>
      </c>
      <c r="C211" s="370"/>
      <c r="D211" s="80">
        <f t="shared" ref="D211:K211" si="728">SUM(D203:D210)</f>
        <v>5427.5</v>
      </c>
      <c r="E211" s="80">
        <f t="shared" si="728"/>
        <v>5273.4</v>
      </c>
      <c r="F211" s="80">
        <f t="shared" si="728"/>
        <v>5895.8</v>
      </c>
      <c r="G211" s="80">
        <f t="shared" si="728"/>
        <v>6168.7</v>
      </c>
      <c r="H211" s="242">
        <f t="shared" si="728"/>
        <v>6168.7</v>
      </c>
      <c r="I211" s="80">
        <f t="shared" si="728"/>
        <v>8675.5</v>
      </c>
      <c r="J211" s="80">
        <f t="shared" si="728"/>
        <v>8265.7999999999993</v>
      </c>
      <c r="K211" s="80">
        <f t="shared" si="728"/>
        <v>8002</v>
      </c>
      <c r="L211" s="80">
        <f t="shared" ref="L211:AL211" si="729">SUM(L203:L209)</f>
        <v>7346.7999999999993</v>
      </c>
      <c r="M211" s="242">
        <f t="shared" si="729"/>
        <v>7346.7999999999993</v>
      </c>
      <c r="N211" s="80">
        <f t="shared" si="729"/>
        <v>7883.9</v>
      </c>
      <c r="O211" s="80">
        <f t="shared" si="729"/>
        <v>6505.0999999999995</v>
      </c>
      <c r="P211" s="80">
        <f t="shared" si="729"/>
        <v>7799.8</v>
      </c>
      <c r="Q211" s="80">
        <f t="shared" si="729"/>
        <v>7969.2897045025493</v>
      </c>
      <c r="R211" s="242">
        <f t="shared" si="729"/>
        <v>7969.2897045025493</v>
      </c>
      <c r="S211" s="80">
        <f t="shared" si="729"/>
        <v>8921.8993837304915</v>
      </c>
      <c r="T211" s="80">
        <f t="shared" si="729"/>
        <v>8059.3207680528121</v>
      </c>
      <c r="U211" s="80">
        <f t="shared" si="729"/>
        <v>7858.5094447931697</v>
      </c>
      <c r="V211" s="80">
        <f t="shared" si="729"/>
        <v>7795.5861620846863</v>
      </c>
      <c r="W211" s="242">
        <f t="shared" si="729"/>
        <v>7795.5861620846863</v>
      </c>
      <c r="X211" s="80">
        <f t="shared" si="729"/>
        <v>8907.927988424759</v>
      </c>
      <c r="Y211" s="80">
        <f t="shared" si="729"/>
        <v>8274.2402277913534</v>
      </c>
      <c r="Z211" s="80">
        <f t="shared" si="729"/>
        <v>8349.551772986968</v>
      </c>
      <c r="AA211" s="80">
        <f t="shared" si="729"/>
        <v>8058.6145932099862</v>
      </c>
      <c r="AB211" s="242">
        <f t="shared" si="729"/>
        <v>8058.6145932099862</v>
      </c>
      <c r="AC211" s="80">
        <f t="shared" si="729"/>
        <v>9699.4312830918097</v>
      </c>
      <c r="AD211" s="80">
        <f t="shared" si="729"/>
        <v>8944.7843152353907</v>
      </c>
      <c r="AE211" s="80">
        <f t="shared" si="729"/>
        <v>9006.6299400540011</v>
      </c>
      <c r="AF211" s="80">
        <f t="shared" si="729"/>
        <v>8498.3449201945277</v>
      </c>
      <c r="AG211" s="242">
        <f t="shared" si="729"/>
        <v>8498.3449201945277</v>
      </c>
      <c r="AH211" s="80">
        <f t="shared" si="729"/>
        <v>9941.7037292143159</v>
      </c>
      <c r="AI211" s="80">
        <f t="shared" si="729"/>
        <v>9238.0719668363054</v>
      </c>
      <c r="AJ211" s="80">
        <f t="shared" si="729"/>
        <v>9397.9359235944303</v>
      </c>
      <c r="AK211" s="80">
        <f t="shared" si="729"/>
        <v>8985.3527569253674</v>
      </c>
      <c r="AL211" s="242">
        <f t="shared" si="729"/>
        <v>8985.3527569253674</v>
      </c>
      <c r="AM211" s="80">
        <f t="shared" ref="AM211:AQ211" si="730">SUM(AM203:AM209)</f>
        <v>10452.336620527847</v>
      </c>
      <c r="AN211" s="80">
        <f t="shared" si="730"/>
        <v>9714.5637227614279</v>
      </c>
      <c r="AO211" s="80">
        <f t="shared" si="730"/>
        <v>9916.6170434336163</v>
      </c>
      <c r="AP211" s="80">
        <f t="shared" si="730"/>
        <v>9491.9664580350836</v>
      </c>
      <c r="AQ211" s="242">
        <f t="shared" si="730"/>
        <v>9491.9664580350836</v>
      </c>
    </row>
    <row r="212" spans="1:43" outlineLevel="1" x14ac:dyDescent="0.25">
      <c r="A212" s="372"/>
      <c r="B212" s="396" t="s">
        <v>209</v>
      </c>
      <c r="C212" s="370"/>
      <c r="D212" s="81">
        <v>9130.7000000000007</v>
      </c>
      <c r="E212" s="81">
        <v>9141.5</v>
      </c>
      <c r="F212" s="81">
        <v>11159.1</v>
      </c>
      <c r="G212" s="81">
        <v>11167</v>
      </c>
      <c r="H212" s="82">
        <f t="shared" si="707"/>
        <v>11167</v>
      </c>
      <c r="I212" s="81">
        <v>10653.2</v>
      </c>
      <c r="J212" s="81">
        <v>11658.7</v>
      </c>
      <c r="K212" s="81">
        <v>14645.6</v>
      </c>
      <c r="L212" s="81">
        <v>14659.6</v>
      </c>
      <c r="M212" s="82">
        <f t="shared" si="708"/>
        <v>14659.6</v>
      </c>
      <c r="N212" s="81">
        <v>14673.5</v>
      </c>
      <c r="O212" s="81">
        <v>14630.3</v>
      </c>
      <c r="P212" s="81">
        <v>13619.2</v>
      </c>
      <c r="Q212" s="63">
        <f>P212</f>
        <v>13619.2</v>
      </c>
      <c r="R212" s="82">
        <f t="shared" si="709"/>
        <v>13619.2</v>
      </c>
      <c r="S212" s="63">
        <f>Q212-1000</f>
        <v>12619.2</v>
      </c>
      <c r="T212" s="63">
        <f>S212</f>
        <v>12619.2</v>
      </c>
      <c r="U212" s="63">
        <f t="shared" ref="U212:V212" si="731">T212</f>
        <v>12619.2</v>
      </c>
      <c r="V212" s="63">
        <f t="shared" si="731"/>
        <v>12619.2</v>
      </c>
      <c r="W212" s="82">
        <f t="shared" si="710"/>
        <v>12619.2</v>
      </c>
      <c r="X212" s="63">
        <f>V212-1000</f>
        <v>11619.2</v>
      </c>
      <c r="Y212" s="63">
        <f>X212</f>
        <v>11619.2</v>
      </c>
      <c r="Z212" s="63">
        <f t="shared" ref="Z212" si="732">Y212</f>
        <v>11619.2</v>
      </c>
      <c r="AA212" s="63">
        <f>Z212</f>
        <v>11619.2</v>
      </c>
      <c r="AB212" s="82">
        <f t="shared" si="711"/>
        <v>11619.2</v>
      </c>
      <c r="AC212" s="63">
        <f>AA212-1516.7</f>
        <v>10102.5</v>
      </c>
      <c r="AD212" s="63">
        <f>AC212</f>
        <v>10102.5</v>
      </c>
      <c r="AE212" s="63">
        <f t="shared" ref="AE212" si="733">AD212</f>
        <v>10102.5</v>
      </c>
      <c r="AF212" s="63">
        <f>AE212</f>
        <v>10102.5</v>
      </c>
      <c r="AG212" s="82">
        <f t="shared" si="712"/>
        <v>10102.5</v>
      </c>
      <c r="AH212" s="63">
        <f>AF212-1250</f>
        <v>8852.5</v>
      </c>
      <c r="AI212" s="63">
        <f>AH212</f>
        <v>8852.5</v>
      </c>
      <c r="AJ212" s="63">
        <f t="shared" ref="AJ212" si="734">AI212</f>
        <v>8852.5</v>
      </c>
      <c r="AK212" s="63">
        <f>AJ212</f>
        <v>8852.5</v>
      </c>
      <c r="AL212" s="82">
        <f t="shared" si="713"/>
        <v>8852.5</v>
      </c>
      <c r="AM212" s="63">
        <f>AK212-1250</f>
        <v>7602.5</v>
      </c>
      <c r="AN212" s="63">
        <f>AM212</f>
        <v>7602.5</v>
      </c>
      <c r="AO212" s="63">
        <f t="shared" ref="AO212" si="735">AN212</f>
        <v>7602.5</v>
      </c>
      <c r="AP212" s="63">
        <f>AO212</f>
        <v>7602.5</v>
      </c>
      <c r="AQ212" s="82">
        <f t="shared" ref="AQ212:AQ213" si="736">AP212</f>
        <v>7602.5</v>
      </c>
    </row>
    <row r="213" spans="1:43" outlineLevel="1" x14ac:dyDescent="0.25">
      <c r="A213" s="372"/>
      <c r="B213" s="396" t="s">
        <v>279</v>
      </c>
      <c r="C213" s="229"/>
      <c r="D213" s="81">
        <v>0</v>
      </c>
      <c r="E213" s="81">
        <v>0</v>
      </c>
      <c r="F213" s="81">
        <v>0</v>
      </c>
      <c r="G213" s="81">
        <v>0</v>
      </c>
      <c r="H213" s="82">
        <f t="shared" si="707"/>
        <v>0</v>
      </c>
      <c r="I213" s="81">
        <v>7711.7</v>
      </c>
      <c r="J213" s="81">
        <v>7650.4</v>
      </c>
      <c r="K213" s="81">
        <v>7653.6</v>
      </c>
      <c r="L213" s="81">
        <v>7661.7</v>
      </c>
      <c r="M213" s="82">
        <f>L213</f>
        <v>7661.7</v>
      </c>
      <c r="N213" s="81">
        <v>7754.5</v>
      </c>
      <c r="O213" s="81">
        <v>7577.7</v>
      </c>
      <c r="P213" s="81">
        <v>7597.8</v>
      </c>
      <c r="Q213" s="63">
        <f>P213*0.99</f>
        <v>7521.8220000000001</v>
      </c>
      <c r="R213" s="82">
        <f>Q213</f>
        <v>7521.8220000000001</v>
      </c>
      <c r="S213" s="63">
        <f>Q213*0.99</f>
        <v>7446.6037800000004</v>
      </c>
      <c r="T213" s="63">
        <f>S213*0.99</f>
        <v>7372.1377422000005</v>
      </c>
      <c r="U213" s="63">
        <f>T213*0.99</f>
        <v>7298.4163647780006</v>
      </c>
      <c r="V213" s="63">
        <f>U213*0.99</f>
        <v>7225.4322011302202</v>
      </c>
      <c r="W213" s="82">
        <f>V213</f>
        <v>7225.4322011302202</v>
      </c>
      <c r="X213" s="63">
        <f>V213*0.99</f>
        <v>7153.1778791189181</v>
      </c>
      <c r="Y213" s="63">
        <f>X213*0.99</f>
        <v>7081.6461003277291</v>
      </c>
      <c r="Z213" s="63">
        <f>Y213*0.99</f>
        <v>7010.8296393244518</v>
      </c>
      <c r="AA213" s="63">
        <f>Z213*0.99</f>
        <v>6940.7213429312069</v>
      </c>
      <c r="AB213" s="82">
        <f>AA213</f>
        <v>6940.7213429312069</v>
      </c>
      <c r="AC213" s="63">
        <f>AA213*0.99</f>
        <v>6871.314129501895</v>
      </c>
      <c r="AD213" s="63">
        <f>AC213*0.99</f>
        <v>6802.6009882068756</v>
      </c>
      <c r="AE213" s="63">
        <f>AD213*0.99</f>
        <v>6734.5749783248066</v>
      </c>
      <c r="AF213" s="63">
        <f>AE213*0.99</f>
        <v>6667.2292285415588</v>
      </c>
      <c r="AG213" s="82">
        <f>AF213</f>
        <v>6667.2292285415588</v>
      </c>
      <c r="AH213" s="63">
        <f>AF213*0.99</f>
        <v>6600.5569362561428</v>
      </c>
      <c r="AI213" s="63">
        <f>AH213*0.99</f>
        <v>6534.551366893581</v>
      </c>
      <c r="AJ213" s="63">
        <f>AI213*0.99</f>
        <v>6469.2058532246447</v>
      </c>
      <c r="AK213" s="63">
        <f>AJ213*0.99</f>
        <v>6404.5137946923978</v>
      </c>
      <c r="AL213" s="82">
        <f t="shared" si="713"/>
        <v>6404.5137946923978</v>
      </c>
      <c r="AM213" s="63">
        <f>AK213*0.99</f>
        <v>6340.4686567454737</v>
      </c>
      <c r="AN213" s="63">
        <f>AM213*0.99</f>
        <v>6277.0639701780192</v>
      </c>
      <c r="AO213" s="63">
        <f>AN213*0.99</f>
        <v>6214.2933304762391</v>
      </c>
      <c r="AP213" s="63">
        <f>AO213*0.99</f>
        <v>6152.1503971714765</v>
      </c>
      <c r="AQ213" s="82">
        <f t="shared" si="736"/>
        <v>6152.1503971714765</v>
      </c>
    </row>
    <row r="214" spans="1:43" outlineLevel="1" x14ac:dyDescent="0.25">
      <c r="A214" s="372"/>
      <c r="B214" s="396" t="s">
        <v>218</v>
      </c>
      <c r="C214" s="229"/>
      <c r="D214" s="81">
        <v>6823.7</v>
      </c>
      <c r="E214" s="81">
        <v>6761.9</v>
      </c>
      <c r="F214" s="81">
        <v>6717.9</v>
      </c>
      <c r="G214" s="81">
        <v>6744.4</v>
      </c>
      <c r="H214" s="82">
        <f>G214</f>
        <v>6744.4</v>
      </c>
      <c r="I214" s="81">
        <v>6748.8</v>
      </c>
      <c r="J214" s="81">
        <v>6685.5</v>
      </c>
      <c r="K214" s="81">
        <v>6642.6</v>
      </c>
      <c r="L214" s="81">
        <v>6598.5</v>
      </c>
      <c r="M214" s="82">
        <f>L214</f>
        <v>6598.5</v>
      </c>
      <c r="N214" s="81">
        <v>6597.7</v>
      </c>
      <c r="O214" s="81">
        <v>6532.1</v>
      </c>
      <c r="P214" s="81">
        <v>6491.4</v>
      </c>
      <c r="Q214" s="63">
        <f t="shared" ref="Q214" si="737">P214*0.996</f>
        <v>6465.4343999999992</v>
      </c>
      <c r="R214" s="82">
        <f>Q214</f>
        <v>6465.4343999999992</v>
      </c>
      <c r="S214" s="63">
        <f>Q214*0.996</f>
        <v>6439.572662399999</v>
      </c>
      <c r="T214" s="63">
        <f t="shared" ref="T214:V214" si="738">S214*0.996</f>
        <v>6413.814371750399</v>
      </c>
      <c r="U214" s="63">
        <f t="shared" si="738"/>
        <v>6388.159114263397</v>
      </c>
      <c r="V214" s="63">
        <f t="shared" si="738"/>
        <v>6362.6064778063437</v>
      </c>
      <c r="W214" s="82">
        <f>V214</f>
        <v>6362.6064778063437</v>
      </c>
      <c r="X214" s="63">
        <f>V214*0.996</f>
        <v>6337.1560518951183</v>
      </c>
      <c r="Y214" s="63">
        <f t="shared" ref="Y214:AA214" si="739">X214*0.996</f>
        <v>6311.8074276875377</v>
      </c>
      <c r="Z214" s="63">
        <f t="shared" si="739"/>
        <v>6286.5601979767871</v>
      </c>
      <c r="AA214" s="63">
        <f t="shared" si="739"/>
        <v>6261.41395718488</v>
      </c>
      <c r="AB214" s="82">
        <f>AA214</f>
        <v>6261.41395718488</v>
      </c>
      <c r="AC214" s="63">
        <f>AA214*0.996</f>
        <v>6236.3683013561404</v>
      </c>
      <c r="AD214" s="63">
        <f t="shared" ref="AD214:AF214" si="740">AC214*0.996</f>
        <v>6211.4228281507158</v>
      </c>
      <c r="AE214" s="63">
        <f t="shared" si="740"/>
        <v>6186.5771368381129</v>
      </c>
      <c r="AF214" s="63">
        <f t="shared" si="740"/>
        <v>6161.8308282907601</v>
      </c>
      <c r="AG214" s="82">
        <f>AF214</f>
        <v>6161.8308282907601</v>
      </c>
      <c r="AH214" s="63">
        <f>AF214*0.996</f>
        <v>6137.1835049775973</v>
      </c>
      <c r="AI214" s="63">
        <f t="shared" ref="AI214:AK214" si="741">AH214*0.996</f>
        <v>6112.6347709576867</v>
      </c>
      <c r="AJ214" s="63">
        <f t="shared" si="741"/>
        <v>6088.1842318738563</v>
      </c>
      <c r="AK214" s="63">
        <f t="shared" si="741"/>
        <v>6063.8314949463611</v>
      </c>
      <c r="AL214" s="82">
        <f>AK214</f>
        <v>6063.8314949463611</v>
      </c>
      <c r="AM214" s="63">
        <f>AK214*0.996</f>
        <v>6039.576168966576</v>
      </c>
      <c r="AN214" s="63">
        <f t="shared" ref="AN214" si="742">AM214*0.996</f>
        <v>6015.41786429071</v>
      </c>
      <c r="AO214" s="63">
        <f t="shared" ref="AO214" si="743">AN214*0.996</f>
        <v>5991.3561928335475</v>
      </c>
      <c r="AP214" s="63">
        <f t="shared" ref="AP214" si="744">AO214*0.996</f>
        <v>5967.3907680622133</v>
      </c>
      <c r="AQ214" s="82">
        <f>AP214</f>
        <v>5967.3907680622133</v>
      </c>
    </row>
    <row r="215" spans="1:43" ht="15.75" customHeight="1" outlineLevel="1" x14ac:dyDescent="0.4">
      <c r="A215" s="372"/>
      <c r="B215" s="619" t="s">
        <v>210</v>
      </c>
      <c r="C215" s="620"/>
      <c r="D215" s="248">
        <v>1478.2</v>
      </c>
      <c r="E215" s="248">
        <v>1500.3</v>
      </c>
      <c r="F215" s="248">
        <v>1440.6</v>
      </c>
      <c r="G215" s="248">
        <v>1370.5</v>
      </c>
      <c r="H215" s="241">
        <f t="shared" si="707"/>
        <v>1370.5</v>
      </c>
      <c r="I215" s="248">
        <v>701.2</v>
      </c>
      <c r="J215" s="248">
        <v>751.4</v>
      </c>
      <c r="K215" s="248">
        <v>821.1</v>
      </c>
      <c r="L215" s="248">
        <v>907.3</v>
      </c>
      <c r="M215" s="241">
        <f t="shared" si="708"/>
        <v>907.3</v>
      </c>
      <c r="N215" s="248">
        <v>962.8</v>
      </c>
      <c r="O215" s="248">
        <v>774.8</v>
      </c>
      <c r="P215" s="248">
        <v>762.9</v>
      </c>
      <c r="Q215" s="61">
        <f>P215*1.01</f>
        <v>770.529</v>
      </c>
      <c r="R215" s="241">
        <f t="shared" si="709"/>
        <v>770.529</v>
      </c>
      <c r="S215" s="61">
        <f>Q215*1.01</f>
        <v>778.23428999999999</v>
      </c>
      <c r="T215" s="61">
        <f>S215*1.01</f>
        <v>786.01663289999999</v>
      </c>
      <c r="U215" s="61">
        <f>T215*1.01</f>
        <v>793.87679922899997</v>
      </c>
      <c r="V215" s="61">
        <f>U215*1.01</f>
        <v>801.81556722128994</v>
      </c>
      <c r="W215" s="241">
        <f t="shared" si="710"/>
        <v>801.81556722128994</v>
      </c>
      <c r="X215" s="61">
        <f>V215*1.01</f>
        <v>809.8337228935028</v>
      </c>
      <c r="Y215" s="61">
        <f>X215*1.01</f>
        <v>817.93206012243786</v>
      </c>
      <c r="Z215" s="61">
        <f>Y215*1.01</f>
        <v>826.11138072366225</v>
      </c>
      <c r="AA215" s="61">
        <f>Z215*1.01</f>
        <v>834.37249453089885</v>
      </c>
      <c r="AB215" s="241">
        <f t="shared" si="711"/>
        <v>834.37249453089885</v>
      </c>
      <c r="AC215" s="61">
        <f>AA215*1.01</f>
        <v>842.71621947620781</v>
      </c>
      <c r="AD215" s="61">
        <f>AC215*1.01</f>
        <v>851.14338167096992</v>
      </c>
      <c r="AE215" s="61">
        <f>AD215*1.01</f>
        <v>859.65481548767957</v>
      </c>
      <c r="AF215" s="61">
        <f>AE215*1.01</f>
        <v>868.25136364255638</v>
      </c>
      <c r="AG215" s="241">
        <f t="shared" si="712"/>
        <v>868.25136364255638</v>
      </c>
      <c r="AH215" s="61">
        <f>AF215*1.01</f>
        <v>876.93387727898198</v>
      </c>
      <c r="AI215" s="61">
        <f>AH215*1.01</f>
        <v>885.70321605177185</v>
      </c>
      <c r="AJ215" s="61">
        <f>AI215*1.01</f>
        <v>894.56024821228959</v>
      </c>
      <c r="AK215" s="61">
        <f>AJ215*1.01</f>
        <v>903.50585069441252</v>
      </c>
      <c r="AL215" s="241">
        <f t="shared" si="713"/>
        <v>903.50585069441252</v>
      </c>
      <c r="AM215" s="61">
        <f>AK215*1.01</f>
        <v>912.54090920135661</v>
      </c>
      <c r="AN215" s="61">
        <f>AM215*1.01</f>
        <v>921.66631829337018</v>
      </c>
      <c r="AO215" s="61">
        <f>AN215*1.01</f>
        <v>930.88298147630394</v>
      </c>
      <c r="AP215" s="61">
        <f>AO215*1.01</f>
        <v>940.19181129106698</v>
      </c>
      <c r="AQ215" s="241">
        <f t="shared" ref="AQ215" si="745">AP215</f>
        <v>940.19181129106698</v>
      </c>
    </row>
    <row r="216" spans="1:43" outlineLevel="1" x14ac:dyDescent="0.25">
      <c r="A216" s="372"/>
      <c r="B216" s="621" t="s">
        <v>9</v>
      </c>
      <c r="C216" s="622"/>
      <c r="D216" s="80">
        <f t="shared" ref="D216" si="746">SUM(D211:D215)</f>
        <v>22860.100000000002</v>
      </c>
      <c r="E216" s="80">
        <f>SUM(E211:E215)</f>
        <v>22677.1</v>
      </c>
      <c r="F216" s="80">
        <f>SUM(F211:F215)</f>
        <v>25213.4</v>
      </c>
      <c r="G216" s="80">
        <f>SUM(G211:G215)</f>
        <v>25450.6</v>
      </c>
      <c r="H216" s="242">
        <f t="shared" ref="H216" si="747">SUM(H211:H215)</f>
        <v>25450.6</v>
      </c>
      <c r="I216" s="80">
        <f>SUM(I211:I215)</f>
        <v>34490.400000000001</v>
      </c>
      <c r="J216" s="80">
        <f>SUM(J211:J215)</f>
        <v>35011.800000000003</v>
      </c>
      <c r="K216" s="80">
        <f>SUM(K211:K215)</f>
        <v>37764.899999999994</v>
      </c>
      <c r="L216" s="80">
        <f>SUM(L211:L215)</f>
        <v>37173.900000000009</v>
      </c>
      <c r="M216" s="242">
        <f t="shared" ref="M216" si="748">SUM(M211:M215)</f>
        <v>37173.900000000009</v>
      </c>
      <c r="N216" s="80">
        <f>SUM(N211:N215)</f>
        <v>37872.400000000001</v>
      </c>
      <c r="O216" s="80">
        <f>SUM(O211:O215)</f>
        <v>36020</v>
      </c>
      <c r="P216" s="80">
        <f>SUM(P211:P215)</f>
        <v>36271.1</v>
      </c>
      <c r="Q216" s="80">
        <f>SUM(Q211:Q215)</f>
        <v>36346.275104502551</v>
      </c>
      <c r="R216" s="242">
        <f t="shared" ref="R216" si="749">SUM(R211:R215)</f>
        <v>36346.275104502551</v>
      </c>
      <c r="S216" s="80">
        <f>SUM(S211:S215)</f>
        <v>36205.510116130492</v>
      </c>
      <c r="T216" s="80">
        <f>SUM(T211:T215)</f>
        <v>35250.489514903209</v>
      </c>
      <c r="U216" s="80">
        <f>SUM(U211:U215)</f>
        <v>34958.161723063567</v>
      </c>
      <c r="V216" s="80">
        <f>SUM(V211:V215)</f>
        <v>34804.640408242543</v>
      </c>
      <c r="W216" s="242">
        <f t="shared" ref="W216" si="750">SUM(W211:W215)</f>
        <v>34804.640408242543</v>
      </c>
      <c r="X216" s="80">
        <f>SUM(X211:X215)</f>
        <v>34827.295642332298</v>
      </c>
      <c r="Y216" s="80">
        <f>SUM(Y211:Y215)</f>
        <v>34104.825815929064</v>
      </c>
      <c r="Z216" s="80">
        <f>SUM(Z211:Z215)</f>
        <v>34092.252991011868</v>
      </c>
      <c r="AA216" s="80">
        <f>SUM(AA211:AA215)</f>
        <v>33714.322387856977</v>
      </c>
      <c r="AB216" s="242">
        <f t="shared" ref="AB216" si="751">SUM(AB211:AB215)</f>
        <v>33714.322387856977</v>
      </c>
      <c r="AC216" s="80">
        <f>SUM(AC211:AC215)</f>
        <v>33752.329933426052</v>
      </c>
      <c r="AD216" s="80">
        <f>SUM(AD211:AD215)</f>
        <v>32912.45151326395</v>
      </c>
      <c r="AE216" s="80">
        <f>SUM(AE211:AE215)</f>
        <v>32889.936870704601</v>
      </c>
      <c r="AF216" s="80">
        <f>SUM(AF211:AF215)</f>
        <v>32298.156340669404</v>
      </c>
      <c r="AG216" s="242">
        <f t="shared" ref="AG216" si="752">SUM(AG211:AG215)</f>
        <v>32298.156340669404</v>
      </c>
      <c r="AH216" s="80">
        <f>SUM(AH211:AH215)</f>
        <v>32408.878047727037</v>
      </c>
      <c r="AI216" s="80">
        <f>SUM(AI211:AI215)</f>
        <v>31623.461320739345</v>
      </c>
      <c r="AJ216" s="80">
        <f>SUM(AJ211:AJ215)</f>
        <v>31702.386256905218</v>
      </c>
      <c r="AK216" s="80">
        <f>SUM(AK211:AK215)</f>
        <v>31209.703897258536</v>
      </c>
      <c r="AL216" s="242">
        <f t="shared" ref="AL216" si="753">SUM(AL211:AL215)</f>
        <v>31209.703897258536</v>
      </c>
      <c r="AM216" s="80">
        <f>SUM(AM211:AM215)</f>
        <v>31347.422355441253</v>
      </c>
      <c r="AN216" s="80">
        <f>SUM(AN211:AN215)</f>
        <v>30531.211875523528</v>
      </c>
      <c r="AO216" s="80">
        <f>SUM(AO211:AO215)</f>
        <v>30655.64954821971</v>
      </c>
      <c r="AP216" s="80">
        <f>SUM(AP211:AP215)</f>
        <v>30154.199434559843</v>
      </c>
      <c r="AQ216" s="242">
        <f t="shared" ref="AQ216" si="754">SUM(AQ211:AQ215)</f>
        <v>30154.199434559843</v>
      </c>
    </row>
    <row r="217" spans="1:43" ht="18" x14ac:dyDescent="0.4">
      <c r="A217" s="254"/>
      <c r="B217" s="565" t="s">
        <v>78</v>
      </c>
      <c r="C217" s="566"/>
      <c r="D217" s="32" t="s">
        <v>119</v>
      </c>
      <c r="E217" s="32" t="s">
        <v>243</v>
      </c>
      <c r="F217" s="32" t="s">
        <v>247</v>
      </c>
      <c r="G217" s="32" t="s">
        <v>257</v>
      </c>
      <c r="H217" s="86" t="s">
        <v>258</v>
      </c>
      <c r="I217" s="32" t="s">
        <v>259</v>
      </c>
      <c r="J217" s="32" t="s">
        <v>260</v>
      </c>
      <c r="K217" s="32" t="s">
        <v>261</v>
      </c>
      <c r="L217" s="32" t="s">
        <v>322</v>
      </c>
      <c r="M217" s="86" t="s">
        <v>333</v>
      </c>
      <c r="N217" s="32" t="s">
        <v>339</v>
      </c>
      <c r="O217" s="32" t="s">
        <v>347</v>
      </c>
      <c r="P217" s="32" t="s">
        <v>349</v>
      </c>
      <c r="Q217" s="243" t="s">
        <v>129</v>
      </c>
      <c r="R217" s="244" t="s">
        <v>130</v>
      </c>
      <c r="S217" s="243" t="s">
        <v>131</v>
      </c>
      <c r="T217" s="243" t="s">
        <v>132</v>
      </c>
      <c r="U217" s="243" t="s">
        <v>133</v>
      </c>
      <c r="V217" s="243" t="s">
        <v>134</v>
      </c>
      <c r="W217" s="244" t="s">
        <v>135</v>
      </c>
      <c r="X217" s="243" t="s">
        <v>136</v>
      </c>
      <c r="Y217" s="243" t="s">
        <v>137</v>
      </c>
      <c r="Z217" s="243" t="s">
        <v>138</v>
      </c>
      <c r="AA217" s="243" t="s">
        <v>139</v>
      </c>
      <c r="AB217" s="244" t="s">
        <v>140</v>
      </c>
      <c r="AC217" s="30" t="s">
        <v>252</v>
      </c>
      <c r="AD217" s="30" t="s">
        <v>253</v>
      </c>
      <c r="AE217" s="30" t="s">
        <v>254</v>
      </c>
      <c r="AF217" s="30" t="s">
        <v>255</v>
      </c>
      <c r="AG217" s="89" t="s">
        <v>256</v>
      </c>
      <c r="AH217" s="30" t="s">
        <v>285</v>
      </c>
      <c r="AI217" s="30" t="s">
        <v>286</v>
      </c>
      <c r="AJ217" s="30" t="s">
        <v>287</v>
      </c>
      <c r="AK217" s="30" t="s">
        <v>288</v>
      </c>
      <c r="AL217" s="89" t="s">
        <v>289</v>
      </c>
      <c r="AM217" s="30" t="s">
        <v>356</v>
      </c>
      <c r="AN217" s="30" t="s">
        <v>357</v>
      </c>
      <c r="AO217" s="30" t="s">
        <v>358</v>
      </c>
      <c r="AP217" s="30" t="s">
        <v>359</v>
      </c>
      <c r="AQ217" s="89" t="s">
        <v>360</v>
      </c>
    </row>
    <row r="218" spans="1:43" outlineLevel="1" x14ac:dyDescent="0.25">
      <c r="A218" s="254"/>
      <c r="B218" s="595" t="s">
        <v>211</v>
      </c>
      <c r="C218" s="596"/>
      <c r="D218" s="34">
        <f>1.2+41.1</f>
        <v>42.300000000000004</v>
      </c>
      <c r="E218" s="34">
        <f>1.2+41.1</f>
        <v>42.300000000000004</v>
      </c>
      <c r="F218" s="34">
        <f>1.2+41.1</f>
        <v>42.300000000000004</v>
      </c>
      <c r="G218" s="34">
        <f>1.2+41.1</f>
        <v>42.300000000000004</v>
      </c>
      <c r="H218" s="35">
        <f>G218</f>
        <v>42.300000000000004</v>
      </c>
      <c r="I218" s="34">
        <f>1.2+41.1</f>
        <v>42.300000000000004</v>
      </c>
      <c r="J218" s="34">
        <f>1.2+41.1</f>
        <v>42.300000000000004</v>
      </c>
      <c r="K218" s="34">
        <f>1.2+115.4</f>
        <v>116.60000000000001</v>
      </c>
      <c r="L218" s="34">
        <f>1.2+373.9</f>
        <v>375.09999999999997</v>
      </c>
      <c r="M218" s="35">
        <f>L218</f>
        <v>375.09999999999997</v>
      </c>
      <c r="N218" s="34">
        <f>1.2+488.6</f>
        <v>489.8</v>
      </c>
      <c r="O218" s="34">
        <f>1.2+595.4</f>
        <v>596.6</v>
      </c>
      <c r="P218" s="34">
        <f>1.2+729.3</f>
        <v>730.5</v>
      </c>
      <c r="Q218" s="34">
        <f>+P218+Q250+Q273</f>
        <v>821.91128817859249</v>
      </c>
      <c r="R218" s="35">
        <f>Q218</f>
        <v>821.91128817859249</v>
      </c>
      <c r="S218" s="34">
        <f>+Q218+S250+S273</f>
        <v>911.25773826643388</v>
      </c>
      <c r="T218" s="34">
        <f>+S218+T250+T273</f>
        <v>992.77051886557047</v>
      </c>
      <c r="U218" s="34">
        <f t="shared" ref="U218:V218" si="755">+T218+U250+U273</f>
        <v>1082.9903149636461</v>
      </c>
      <c r="V218" s="34">
        <f t="shared" si="755"/>
        <v>1176.1834512400314</v>
      </c>
      <c r="W218" s="35">
        <f>V218</f>
        <v>1176.1834512400314</v>
      </c>
      <c r="X218" s="34">
        <f>+V218+X250+X273</f>
        <v>1269.1192350071694</v>
      </c>
      <c r="Y218" s="34">
        <f>+X218+Y250+Y273</f>
        <v>1359.2506971709142</v>
      </c>
      <c r="Z218" s="34">
        <f t="shared" ref="Z218:AA218" si="756">+Y218+Z250+Z273</f>
        <v>1458.7915090494769</v>
      </c>
      <c r="AA218" s="34">
        <f t="shared" si="756"/>
        <v>1559.6892225395261</v>
      </c>
      <c r="AB218" s="35">
        <f>AA218</f>
        <v>1559.6892225395261</v>
      </c>
      <c r="AC218" s="34">
        <f>+AA218+AC250+AC273</f>
        <v>1659.1043325355195</v>
      </c>
      <c r="AD218" s="34">
        <f>+AC218+AD250+AD273</f>
        <v>1756.6500319898885</v>
      </c>
      <c r="AE218" s="34">
        <f t="shared" ref="AE218:AF218" si="757">+AD218+AE250+AE273</f>
        <v>1864.419266786055</v>
      </c>
      <c r="AF218" s="34">
        <f t="shared" si="757"/>
        <v>1973.7050082542085</v>
      </c>
      <c r="AG218" s="35">
        <f>AF218</f>
        <v>1973.7050082542085</v>
      </c>
      <c r="AH218" s="34">
        <f>+AF218+AH250+AH273</f>
        <v>2081.1186054749869</v>
      </c>
      <c r="AI218" s="34">
        <f>+AH218+AI250+AI273</f>
        <v>2186.5942804015926</v>
      </c>
      <c r="AJ218" s="34">
        <f t="shared" ref="AJ218:AK218" si="758">+AI218+AJ250+AJ273</f>
        <v>2302.9044921386526</v>
      </c>
      <c r="AK218" s="34">
        <f t="shared" si="758"/>
        <v>2420.8984705617222</v>
      </c>
      <c r="AL218" s="35">
        <f>AK218</f>
        <v>2420.8984705617222</v>
      </c>
      <c r="AM218" s="34">
        <f>+AK218+AM250+AM273</f>
        <v>2536.970972112018</v>
      </c>
      <c r="AN218" s="34">
        <f>+AM218+AN250+AN273</f>
        <v>2650.8929161634455</v>
      </c>
      <c r="AO218" s="34">
        <f t="shared" ref="AO218" si="759">+AN218+AO250+AO273</f>
        <v>2776.2866351233361</v>
      </c>
      <c r="AP218" s="34">
        <f t="shared" ref="AP218" si="760">+AO218+AP250+AP273</f>
        <v>2903.5318428653941</v>
      </c>
      <c r="AQ218" s="35">
        <f>AP218</f>
        <v>2903.5318428653941</v>
      </c>
    </row>
    <row r="219" spans="1:43" outlineLevel="1" x14ac:dyDescent="0.25">
      <c r="A219" s="254"/>
      <c r="B219" s="615" t="s">
        <v>38</v>
      </c>
      <c r="C219" s="616"/>
      <c r="D219" s="34">
        <v>-2584</v>
      </c>
      <c r="E219" s="256">
        <v>-4807.7</v>
      </c>
      <c r="F219" s="256">
        <v>-4013.9</v>
      </c>
      <c r="G219" s="256">
        <v>-5771.2</v>
      </c>
      <c r="H219" s="257">
        <f>G219</f>
        <v>-5771.2</v>
      </c>
      <c r="I219" s="256">
        <v>-6414.8</v>
      </c>
      <c r="J219" s="256">
        <v>-7050.6</v>
      </c>
      <c r="K219" s="256">
        <v>-8208.2999999999993</v>
      </c>
      <c r="L219" s="256">
        <v>-7815.6</v>
      </c>
      <c r="M219" s="257">
        <f>L219</f>
        <v>-7815.6</v>
      </c>
      <c r="N219" s="256">
        <v>-8253.6</v>
      </c>
      <c r="O219" s="256">
        <v>-8124.3</v>
      </c>
      <c r="P219" s="256">
        <v>-7501.6</v>
      </c>
      <c r="Q219" s="256">
        <f t="shared" ref="Q219" si="761">P219+Q244+Q271+Q272</f>
        <v>-6918.6435799880865</v>
      </c>
      <c r="R219" s="257">
        <f>Q219</f>
        <v>-6918.6435799880865</v>
      </c>
      <c r="S219" s="256">
        <f>Q219+S244+S271+S272</f>
        <v>-7029.1631126825741</v>
      </c>
      <c r="T219" s="256">
        <f>S219+T244+T271+T272</f>
        <v>-7244.8084259945244</v>
      </c>
      <c r="U219" s="256">
        <f t="shared" ref="U219:V219" si="762">T219+U244+U271+U272</f>
        <v>-7197.0796406243226</v>
      </c>
      <c r="V219" s="256">
        <f t="shared" si="762"/>
        <v>-7126.1540047697681</v>
      </c>
      <c r="W219" s="257">
        <f>V219</f>
        <v>-7126.1540047697681</v>
      </c>
      <c r="X219" s="256">
        <f>V219+X244+X271+X272</f>
        <v>-7084.5648022471751</v>
      </c>
      <c r="Y219" s="256">
        <f>X219+Y244+Y271+Y272</f>
        <v>-7139.5820364829051</v>
      </c>
      <c r="Z219" s="256">
        <f t="shared" ref="Z219:AA219" si="763">Y219+Z244+Z271+Z272</f>
        <v>-7062.5299866677933</v>
      </c>
      <c r="AA219" s="256">
        <f t="shared" si="763"/>
        <v>-6878.1602743246267</v>
      </c>
      <c r="AB219" s="257">
        <f>AA219</f>
        <v>-6878.1602743246267</v>
      </c>
      <c r="AC219" s="256">
        <f>AA219+AC244+AC271+AC272</f>
        <v>-6496.1334402344464</v>
      </c>
      <c r="AD219" s="256">
        <f>AC219+AD244+AD271+AD272</f>
        <v>-6212.3165395203387</v>
      </c>
      <c r="AE219" s="256">
        <f t="shared" ref="AE219:AF219" si="764">AD219+AE244+AE271+AE272</f>
        <v>-5785.9113552455301</v>
      </c>
      <c r="AF219" s="256">
        <f t="shared" si="764"/>
        <v>-5206.1184127316747</v>
      </c>
      <c r="AG219" s="257">
        <f>AF219</f>
        <v>-5206.1184127316747</v>
      </c>
      <c r="AH219" s="256">
        <f>AF219+AH244+AH271+AH272</f>
        <v>-4679.3391207724335</v>
      </c>
      <c r="AI219" s="256">
        <f>AH219+AI244+AI271+AI272</f>
        <v>-4258.8403200820403</v>
      </c>
      <c r="AJ219" s="256">
        <f t="shared" ref="AJ219:AK219" si="765">AI219+AJ244+AJ271+AJ272</f>
        <v>-3690.6222721981353</v>
      </c>
      <c r="AK219" s="256">
        <f t="shared" si="765"/>
        <v>-3020.453426596815</v>
      </c>
      <c r="AL219" s="257">
        <f>AK219</f>
        <v>-3020.453426596815</v>
      </c>
      <c r="AM219" s="256">
        <f>AK219+AM244+AM271+AM272</f>
        <v>-2402.9271164537495</v>
      </c>
      <c r="AN219" s="256">
        <f>AM219+AN244+AN271+AN272</f>
        <v>-1899.2960067641563</v>
      </c>
      <c r="AO219" s="256">
        <f t="shared" ref="AO219" si="766">AN219+AO244+AO271+AO272</f>
        <v>-1242.6803779522006</v>
      </c>
      <c r="AP219" s="256">
        <f t="shared" ref="AP219" si="767">AO219+AP244+AP271+AP272</f>
        <v>-459.31178259709179</v>
      </c>
      <c r="AQ219" s="449">
        <f>AP219</f>
        <v>-459.31178259709179</v>
      </c>
    </row>
    <row r="220" spans="1:43" outlineLevel="1" x14ac:dyDescent="0.25">
      <c r="A220" s="254"/>
      <c r="B220" s="615" t="s">
        <v>114</v>
      </c>
      <c r="C220" s="616"/>
      <c r="D220" s="34">
        <v>-343.2</v>
      </c>
      <c r="E220" s="258">
        <v>-271.5</v>
      </c>
      <c r="F220" s="256">
        <v>-349</v>
      </c>
      <c r="G220" s="256">
        <v>-503.3</v>
      </c>
      <c r="H220" s="257">
        <f>+G220</f>
        <v>-503.3</v>
      </c>
      <c r="I220" s="256">
        <v>-387.4</v>
      </c>
      <c r="J220" s="256">
        <v>-521.79999999999995</v>
      </c>
      <c r="K220" s="256">
        <v>-529.9</v>
      </c>
      <c r="L220" s="256">
        <v>-364.6</v>
      </c>
      <c r="M220" s="257">
        <f>+L220</f>
        <v>-364.6</v>
      </c>
      <c r="N220" s="256">
        <v>-145.9</v>
      </c>
      <c r="O220" s="256">
        <v>-126.3</v>
      </c>
      <c r="P220" s="256">
        <v>-29.7</v>
      </c>
      <c r="Q220" s="256">
        <f t="shared" ref="Q220:Q221" si="768">+P220</f>
        <v>-29.7</v>
      </c>
      <c r="R220" s="257">
        <f>+Q220</f>
        <v>-29.7</v>
      </c>
      <c r="S220" s="256">
        <f>+Q220</f>
        <v>-29.7</v>
      </c>
      <c r="T220" s="256">
        <f>+S220</f>
        <v>-29.7</v>
      </c>
      <c r="U220" s="256">
        <f t="shared" ref="U220:V221" si="769">+T220</f>
        <v>-29.7</v>
      </c>
      <c r="V220" s="256">
        <f t="shared" si="769"/>
        <v>-29.7</v>
      </c>
      <c r="W220" s="257">
        <f>+V220</f>
        <v>-29.7</v>
      </c>
      <c r="X220" s="256">
        <f>+V220</f>
        <v>-29.7</v>
      </c>
      <c r="Y220" s="256">
        <f>+X220</f>
        <v>-29.7</v>
      </c>
      <c r="Z220" s="256">
        <f t="shared" ref="Z220:AA221" si="770">+Y220</f>
        <v>-29.7</v>
      </c>
      <c r="AA220" s="256">
        <f t="shared" si="770"/>
        <v>-29.7</v>
      </c>
      <c r="AB220" s="257">
        <f>+AA220</f>
        <v>-29.7</v>
      </c>
      <c r="AC220" s="256">
        <f>+AA220</f>
        <v>-29.7</v>
      </c>
      <c r="AD220" s="256">
        <f>+AC220</f>
        <v>-29.7</v>
      </c>
      <c r="AE220" s="256">
        <f t="shared" ref="AE220:AF221" si="771">+AD220</f>
        <v>-29.7</v>
      </c>
      <c r="AF220" s="256">
        <f t="shared" si="771"/>
        <v>-29.7</v>
      </c>
      <c r="AG220" s="257">
        <f>+AF220</f>
        <v>-29.7</v>
      </c>
      <c r="AH220" s="256">
        <f>+AF220</f>
        <v>-29.7</v>
      </c>
      <c r="AI220" s="256">
        <f>+AH220</f>
        <v>-29.7</v>
      </c>
      <c r="AJ220" s="256">
        <f t="shared" ref="AJ220:AK221" si="772">+AI220</f>
        <v>-29.7</v>
      </c>
      <c r="AK220" s="256">
        <f t="shared" si="772"/>
        <v>-29.7</v>
      </c>
      <c r="AL220" s="257">
        <f>+AK220</f>
        <v>-29.7</v>
      </c>
      <c r="AM220" s="256">
        <f>+AK220</f>
        <v>-29.7</v>
      </c>
      <c r="AN220" s="256">
        <f>+AM220</f>
        <v>-29.7</v>
      </c>
      <c r="AO220" s="256">
        <f t="shared" ref="AO220:AO221" si="773">+AN220</f>
        <v>-29.7</v>
      </c>
      <c r="AP220" s="256">
        <f t="shared" ref="AP220:AP221" si="774">+AO220</f>
        <v>-29.7</v>
      </c>
      <c r="AQ220" s="449">
        <f>+AP220</f>
        <v>-29.7</v>
      </c>
    </row>
    <row r="221" spans="1:43" ht="17.25" outlineLevel="1" x14ac:dyDescent="0.4">
      <c r="A221" s="254"/>
      <c r="B221" s="163" t="s">
        <v>212</v>
      </c>
      <c r="C221" s="164"/>
      <c r="D221" s="37">
        <v>6.1</v>
      </c>
      <c r="E221" s="270">
        <v>1.7</v>
      </c>
      <c r="F221" s="270">
        <v>1.6</v>
      </c>
      <c r="G221" s="270">
        <v>1.2</v>
      </c>
      <c r="H221" s="38">
        <f>+G221</f>
        <v>1.2</v>
      </c>
      <c r="I221" s="270">
        <v>0.8</v>
      </c>
      <c r="J221" s="270">
        <v>-2.8</v>
      </c>
      <c r="K221" s="270">
        <v>-2.7</v>
      </c>
      <c r="L221" s="270">
        <v>5.7</v>
      </c>
      <c r="M221" s="356">
        <f>+L221</f>
        <v>5.7</v>
      </c>
      <c r="N221" s="270">
        <v>5.7</v>
      </c>
      <c r="O221" s="270">
        <v>5.7</v>
      </c>
      <c r="P221" s="270">
        <v>6.5</v>
      </c>
      <c r="Q221" s="270">
        <f t="shared" si="768"/>
        <v>6.5</v>
      </c>
      <c r="R221" s="356">
        <f>+Q221</f>
        <v>6.5</v>
      </c>
      <c r="S221" s="270">
        <f>+Q221</f>
        <v>6.5</v>
      </c>
      <c r="T221" s="270">
        <f>+S221</f>
        <v>6.5</v>
      </c>
      <c r="U221" s="270">
        <f t="shared" si="769"/>
        <v>6.5</v>
      </c>
      <c r="V221" s="270">
        <f t="shared" si="769"/>
        <v>6.5</v>
      </c>
      <c r="W221" s="356">
        <f>+V221</f>
        <v>6.5</v>
      </c>
      <c r="X221" s="270">
        <f>+V221</f>
        <v>6.5</v>
      </c>
      <c r="Y221" s="270">
        <f>+X221</f>
        <v>6.5</v>
      </c>
      <c r="Z221" s="270">
        <f t="shared" si="770"/>
        <v>6.5</v>
      </c>
      <c r="AA221" s="270">
        <f t="shared" si="770"/>
        <v>6.5</v>
      </c>
      <c r="AB221" s="356">
        <f>+AA221</f>
        <v>6.5</v>
      </c>
      <c r="AC221" s="270">
        <f>+AA221</f>
        <v>6.5</v>
      </c>
      <c r="AD221" s="270">
        <f>+AC221</f>
        <v>6.5</v>
      </c>
      <c r="AE221" s="270">
        <f t="shared" si="771"/>
        <v>6.5</v>
      </c>
      <c r="AF221" s="270">
        <f t="shared" si="771"/>
        <v>6.5</v>
      </c>
      <c r="AG221" s="356">
        <f>+AF221</f>
        <v>6.5</v>
      </c>
      <c r="AH221" s="270">
        <f>+AF221</f>
        <v>6.5</v>
      </c>
      <c r="AI221" s="270">
        <f>+AH221</f>
        <v>6.5</v>
      </c>
      <c r="AJ221" s="270">
        <f t="shared" si="772"/>
        <v>6.5</v>
      </c>
      <c r="AK221" s="270">
        <f t="shared" si="772"/>
        <v>6.5</v>
      </c>
      <c r="AL221" s="356">
        <f>+AK221</f>
        <v>6.5</v>
      </c>
      <c r="AM221" s="270">
        <f>+AK221</f>
        <v>6.5</v>
      </c>
      <c r="AN221" s="270">
        <f>+AM221</f>
        <v>6.5</v>
      </c>
      <c r="AO221" s="270">
        <f t="shared" si="773"/>
        <v>6.5</v>
      </c>
      <c r="AP221" s="270">
        <f t="shared" si="774"/>
        <v>6.5</v>
      </c>
      <c r="AQ221" s="356">
        <f>+AP221</f>
        <v>6.5</v>
      </c>
    </row>
    <row r="222" spans="1:43" outlineLevel="1" x14ac:dyDescent="0.25">
      <c r="A222" s="254"/>
      <c r="B222" s="613" t="s">
        <v>39</v>
      </c>
      <c r="C222" s="614"/>
      <c r="D222" s="41">
        <f t="shared" ref="D222:AB222" si="775">SUM(D218:D221)</f>
        <v>-2878.7999999999997</v>
      </c>
      <c r="E222" s="41">
        <f t="shared" si="775"/>
        <v>-5035.2</v>
      </c>
      <c r="F222" s="41">
        <f t="shared" si="775"/>
        <v>-4319</v>
      </c>
      <c r="G222" s="41">
        <f t="shared" si="775"/>
        <v>-6231</v>
      </c>
      <c r="H222" s="42">
        <f t="shared" si="775"/>
        <v>-6231</v>
      </c>
      <c r="I222" s="41">
        <f t="shared" si="775"/>
        <v>-6759.0999999999995</v>
      </c>
      <c r="J222" s="41">
        <f t="shared" si="775"/>
        <v>-7532.9000000000005</v>
      </c>
      <c r="K222" s="41">
        <f t="shared" si="775"/>
        <v>-8624.2999999999993</v>
      </c>
      <c r="L222" s="41">
        <f t="shared" si="775"/>
        <v>-7799.4000000000005</v>
      </c>
      <c r="M222" s="42">
        <f t="shared" si="775"/>
        <v>-7799.4000000000005</v>
      </c>
      <c r="N222" s="41">
        <f t="shared" si="775"/>
        <v>-7904</v>
      </c>
      <c r="O222" s="41">
        <f t="shared" si="775"/>
        <v>-7648.3</v>
      </c>
      <c r="P222" s="41">
        <f t="shared" si="775"/>
        <v>-6794.3</v>
      </c>
      <c r="Q222" s="41">
        <f t="shared" si="775"/>
        <v>-6119.932291809494</v>
      </c>
      <c r="R222" s="42">
        <f t="shared" si="775"/>
        <v>-6119.932291809494</v>
      </c>
      <c r="S222" s="41">
        <f t="shared" si="775"/>
        <v>-6141.10537441614</v>
      </c>
      <c r="T222" s="41">
        <f t="shared" si="775"/>
        <v>-6275.2379071289533</v>
      </c>
      <c r="U222" s="41">
        <f t="shared" si="775"/>
        <v>-6137.2893256606758</v>
      </c>
      <c r="V222" s="41">
        <f t="shared" si="775"/>
        <v>-5973.170553529736</v>
      </c>
      <c r="W222" s="42">
        <f t="shared" si="775"/>
        <v>-5973.170553529736</v>
      </c>
      <c r="X222" s="41">
        <f t="shared" si="775"/>
        <v>-5838.6455672400052</v>
      </c>
      <c r="Y222" s="41">
        <f t="shared" si="775"/>
        <v>-5803.5313393119905</v>
      </c>
      <c r="Z222" s="41">
        <f t="shared" si="775"/>
        <v>-5626.938477618316</v>
      </c>
      <c r="AA222" s="41">
        <f t="shared" si="775"/>
        <v>-5341.6710517851006</v>
      </c>
      <c r="AB222" s="42">
        <f t="shared" si="775"/>
        <v>-5341.6710517851006</v>
      </c>
      <c r="AC222" s="41">
        <f t="shared" ref="AC222:AL222" si="776">SUM(AC218:AC221)</f>
        <v>-4860.2291076989268</v>
      </c>
      <c r="AD222" s="41">
        <f t="shared" si="776"/>
        <v>-4478.8665075304498</v>
      </c>
      <c r="AE222" s="41">
        <f t="shared" si="776"/>
        <v>-3944.6920884594747</v>
      </c>
      <c r="AF222" s="41">
        <f t="shared" si="776"/>
        <v>-3255.6134044774662</v>
      </c>
      <c r="AG222" s="42">
        <f t="shared" si="776"/>
        <v>-3255.6134044774662</v>
      </c>
      <c r="AH222" s="41">
        <f t="shared" si="776"/>
        <v>-2621.4205152974464</v>
      </c>
      <c r="AI222" s="41">
        <f t="shared" si="776"/>
        <v>-2095.4460396804475</v>
      </c>
      <c r="AJ222" s="41">
        <f t="shared" si="776"/>
        <v>-1410.9177800594828</v>
      </c>
      <c r="AK222" s="41">
        <f t="shared" si="776"/>
        <v>-622.75495603509285</v>
      </c>
      <c r="AL222" s="42">
        <f t="shared" si="776"/>
        <v>-622.75495603509285</v>
      </c>
      <c r="AM222" s="41">
        <f t="shared" ref="AM222:AQ222" si="777">SUM(AM218:AM221)</f>
        <v>110.84385565826851</v>
      </c>
      <c r="AN222" s="41">
        <f t="shared" si="777"/>
        <v>728.39690939928914</v>
      </c>
      <c r="AO222" s="41">
        <f t="shared" si="777"/>
        <v>1510.4062571711354</v>
      </c>
      <c r="AP222" s="41">
        <f t="shared" si="777"/>
        <v>2421.0200602683026</v>
      </c>
      <c r="AQ222" s="42">
        <f t="shared" si="777"/>
        <v>2421.0200602683026</v>
      </c>
    </row>
    <row r="223" spans="1:43" outlineLevel="1" x14ac:dyDescent="0.25">
      <c r="A223" s="254"/>
      <c r="B223" s="617" t="s">
        <v>10</v>
      </c>
      <c r="C223" s="618"/>
      <c r="D223" s="48">
        <f t="shared" ref="D223:AL223" si="778">D222+D216</f>
        <v>19981.300000000003</v>
      </c>
      <c r="E223" s="48">
        <f t="shared" si="778"/>
        <v>17641.899999999998</v>
      </c>
      <c r="F223" s="48">
        <f t="shared" si="778"/>
        <v>20894.400000000001</v>
      </c>
      <c r="G223" s="48">
        <f t="shared" si="778"/>
        <v>19219.599999999999</v>
      </c>
      <c r="H223" s="245">
        <f t="shared" si="778"/>
        <v>19219.599999999999</v>
      </c>
      <c r="I223" s="48">
        <f t="shared" si="778"/>
        <v>27731.300000000003</v>
      </c>
      <c r="J223" s="48">
        <f t="shared" si="778"/>
        <v>27478.9</v>
      </c>
      <c r="K223" s="48">
        <f t="shared" si="778"/>
        <v>29140.599999999995</v>
      </c>
      <c r="L223" s="48">
        <f t="shared" si="778"/>
        <v>29374.500000000007</v>
      </c>
      <c r="M223" s="245">
        <f t="shared" si="778"/>
        <v>29374.500000000007</v>
      </c>
      <c r="N223" s="48">
        <f t="shared" si="778"/>
        <v>29968.400000000001</v>
      </c>
      <c r="O223" s="48">
        <f t="shared" si="778"/>
        <v>28371.7</v>
      </c>
      <c r="P223" s="48">
        <f t="shared" si="778"/>
        <v>29476.799999999999</v>
      </c>
      <c r="Q223" s="48">
        <f t="shared" si="778"/>
        <v>30226.342812693056</v>
      </c>
      <c r="R223" s="245">
        <f t="shared" si="778"/>
        <v>30226.342812693056</v>
      </c>
      <c r="S223" s="48">
        <f t="shared" si="778"/>
        <v>30064.404741714352</v>
      </c>
      <c r="T223" s="48">
        <f t="shared" si="778"/>
        <v>28975.251607774255</v>
      </c>
      <c r="U223" s="48">
        <f t="shared" si="778"/>
        <v>28820.872397402891</v>
      </c>
      <c r="V223" s="48">
        <f t="shared" si="778"/>
        <v>28831.469854712806</v>
      </c>
      <c r="W223" s="245">
        <f t="shared" si="778"/>
        <v>28831.469854712806</v>
      </c>
      <c r="X223" s="48">
        <f t="shared" si="778"/>
        <v>28988.650075092293</v>
      </c>
      <c r="Y223" s="48">
        <f t="shared" si="778"/>
        <v>28301.294476617073</v>
      </c>
      <c r="Z223" s="48">
        <f t="shared" si="778"/>
        <v>28465.314513393554</v>
      </c>
      <c r="AA223" s="48">
        <f t="shared" si="778"/>
        <v>28372.651336071875</v>
      </c>
      <c r="AB223" s="245">
        <f t="shared" si="778"/>
        <v>28372.651336071875</v>
      </c>
      <c r="AC223" s="48">
        <f t="shared" si="778"/>
        <v>28892.100825727124</v>
      </c>
      <c r="AD223" s="48">
        <f t="shared" si="778"/>
        <v>28433.585005733501</v>
      </c>
      <c r="AE223" s="48">
        <f t="shared" si="778"/>
        <v>28945.244782245129</v>
      </c>
      <c r="AF223" s="48">
        <f t="shared" si="778"/>
        <v>29042.542936191938</v>
      </c>
      <c r="AG223" s="245">
        <f t="shared" si="778"/>
        <v>29042.542936191938</v>
      </c>
      <c r="AH223" s="48">
        <f t="shared" si="778"/>
        <v>29787.457532429591</v>
      </c>
      <c r="AI223" s="48">
        <f t="shared" si="778"/>
        <v>29528.015281058899</v>
      </c>
      <c r="AJ223" s="48">
        <f t="shared" si="778"/>
        <v>30291.468476845734</v>
      </c>
      <c r="AK223" s="48">
        <f t="shared" si="778"/>
        <v>30586.948941223443</v>
      </c>
      <c r="AL223" s="245">
        <f t="shared" si="778"/>
        <v>30586.948941223443</v>
      </c>
      <c r="AM223" s="48">
        <f t="shared" ref="AM223:AQ223" si="779">AM222+AM216</f>
        <v>31458.266211099522</v>
      </c>
      <c r="AN223" s="48">
        <f t="shared" si="779"/>
        <v>31259.608784922817</v>
      </c>
      <c r="AO223" s="48">
        <f t="shared" si="779"/>
        <v>32166.055805390846</v>
      </c>
      <c r="AP223" s="48">
        <f t="shared" si="779"/>
        <v>32575.219494828147</v>
      </c>
      <c r="AQ223" s="245">
        <f t="shared" si="779"/>
        <v>32575.219494828147</v>
      </c>
    </row>
    <row r="224" spans="1:43" x14ac:dyDescent="0.25">
      <c r="A224" s="254"/>
      <c r="B224" s="371"/>
      <c r="C224" s="238"/>
      <c r="D224" s="358">
        <f t="shared" ref="D224:AL224" si="780">ROUND((D223-D201),0)</f>
        <v>0</v>
      </c>
      <c r="E224" s="358">
        <f t="shared" si="780"/>
        <v>0</v>
      </c>
      <c r="F224" s="358">
        <f t="shared" si="780"/>
        <v>0</v>
      </c>
      <c r="G224" s="358">
        <f t="shared" si="780"/>
        <v>0</v>
      </c>
      <c r="H224" s="358">
        <f t="shared" si="780"/>
        <v>0</v>
      </c>
      <c r="I224" s="358">
        <f t="shared" si="780"/>
        <v>0</v>
      </c>
      <c r="J224" s="358">
        <f t="shared" si="780"/>
        <v>0</v>
      </c>
      <c r="K224" s="358">
        <f t="shared" si="780"/>
        <v>0</v>
      </c>
      <c r="L224" s="66">
        <f t="shared" si="780"/>
        <v>0</v>
      </c>
      <c r="M224" s="66">
        <f t="shared" si="780"/>
        <v>0</v>
      </c>
      <c r="N224" s="66">
        <f t="shared" si="780"/>
        <v>0</v>
      </c>
      <c r="O224" s="66">
        <f t="shared" si="780"/>
        <v>0</v>
      </c>
      <c r="P224" s="66">
        <f t="shared" si="780"/>
        <v>0</v>
      </c>
      <c r="Q224" s="66">
        <f t="shared" si="780"/>
        <v>0</v>
      </c>
      <c r="R224" s="66">
        <f t="shared" si="780"/>
        <v>0</v>
      </c>
      <c r="S224" s="66">
        <f t="shared" si="780"/>
        <v>0</v>
      </c>
      <c r="T224" s="66">
        <f t="shared" si="780"/>
        <v>0</v>
      </c>
      <c r="U224" s="66">
        <f t="shared" si="780"/>
        <v>0</v>
      </c>
      <c r="V224" s="66">
        <f t="shared" si="780"/>
        <v>0</v>
      </c>
      <c r="W224" s="66">
        <f t="shared" si="780"/>
        <v>0</v>
      </c>
      <c r="X224" s="66">
        <f t="shared" si="780"/>
        <v>0</v>
      </c>
      <c r="Y224" s="66">
        <f t="shared" si="780"/>
        <v>0</v>
      </c>
      <c r="Z224" s="66">
        <f t="shared" si="780"/>
        <v>0</v>
      </c>
      <c r="AA224" s="66">
        <f t="shared" si="780"/>
        <v>0</v>
      </c>
      <c r="AB224" s="66">
        <f t="shared" si="780"/>
        <v>0</v>
      </c>
      <c r="AC224" s="66">
        <f t="shared" si="780"/>
        <v>0</v>
      </c>
      <c r="AD224" s="66">
        <f t="shared" si="780"/>
        <v>0</v>
      </c>
      <c r="AE224" s="66">
        <f t="shared" si="780"/>
        <v>0</v>
      </c>
      <c r="AF224" s="66">
        <f t="shared" si="780"/>
        <v>0</v>
      </c>
      <c r="AG224" s="66">
        <f t="shared" si="780"/>
        <v>0</v>
      </c>
      <c r="AH224" s="66">
        <f t="shared" si="780"/>
        <v>0</v>
      </c>
      <c r="AI224" s="66">
        <f t="shared" si="780"/>
        <v>0</v>
      </c>
      <c r="AJ224" s="66">
        <f t="shared" si="780"/>
        <v>0</v>
      </c>
      <c r="AK224" s="66">
        <f t="shared" si="780"/>
        <v>0</v>
      </c>
      <c r="AL224" s="66">
        <f t="shared" si="780"/>
        <v>0</v>
      </c>
      <c r="AM224" s="66">
        <f t="shared" ref="AM224:AQ224" si="781">ROUND((AM223-AM201),0)</f>
        <v>0</v>
      </c>
      <c r="AN224" s="66">
        <f t="shared" si="781"/>
        <v>0</v>
      </c>
      <c r="AO224" s="66">
        <f t="shared" si="781"/>
        <v>0</v>
      </c>
      <c r="AP224" s="66">
        <f t="shared" si="781"/>
        <v>0</v>
      </c>
      <c r="AQ224" s="66">
        <f t="shared" si="781"/>
        <v>0</v>
      </c>
    </row>
    <row r="225" spans="1:43" ht="15.75" x14ac:dyDescent="0.25">
      <c r="A225" s="254"/>
      <c r="B225" s="565" t="s">
        <v>20</v>
      </c>
      <c r="C225" s="566"/>
      <c r="D225" s="31" t="s">
        <v>106</v>
      </c>
      <c r="E225" s="31" t="s">
        <v>244</v>
      </c>
      <c r="F225" s="31" t="s">
        <v>246</v>
      </c>
      <c r="G225" s="31" t="s">
        <v>337</v>
      </c>
      <c r="H225" s="85" t="s">
        <v>337</v>
      </c>
      <c r="I225" s="31" t="s">
        <v>336</v>
      </c>
      <c r="J225" s="31" t="s">
        <v>335</v>
      </c>
      <c r="K225" s="31" t="s">
        <v>334</v>
      </c>
      <c r="L225" s="31" t="s">
        <v>321</v>
      </c>
      <c r="M225" s="85" t="s">
        <v>321</v>
      </c>
      <c r="N225" s="31" t="s">
        <v>338</v>
      </c>
      <c r="O225" s="31" t="s">
        <v>346</v>
      </c>
      <c r="P225" s="31" t="s">
        <v>348</v>
      </c>
      <c r="Q225" s="33" t="s">
        <v>120</v>
      </c>
      <c r="R225" s="88" t="s">
        <v>120</v>
      </c>
      <c r="S225" s="33" t="s">
        <v>121</v>
      </c>
      <c r="T225" s="33" t="s">
        <v>122</v>
      </c>
      <c r="U225" s="33" t="s">
        <v>123</v>
      </c>
      <c r="V225" s="33" t="s">
        <v>124</v>
      </c>
      <c r="W225" s="88" t="s">
        <v>124</v>
      </c>
      <c r="X225" s="33" t="s">
        <v>125</v>
      </c>
      <c r="Y225" s="33" t="s">
        <v>126</v>
      </c>
      <c r="Z225" s="33" t="s">
        <v>127</v>
      </c>
      <c r="AA225" s="33" t="s">
        <v>128</v>
      </c>
      <c r="AB225" s="88" t="s">
        <v>128</v>
      </c>
      <c r="AC225" s="33" t="s">
        <v>248</v>
      </c>
      <c r="AD225" s="33" t="s">
        <v>249</v>
      </c>
      <c r="AE225" s="33" t="s">
        <v>250</v>
      </c>
      <c r="AF225" s="33" t="s">
        <v>251</v>
      </c>
      <c r="AG225" s="88" t="s">
        <v>251</v>
      </c>
      <c r="AH225" s="33" t="s">
        <v>281</v>
      </c>
      <c r="AI225" s="33" t="s">
        <v>282</v>
      </c>
      <c r="AJ225" s="33" t="s">
        <v>283</v>
      </c>
      <c r="AK225" s="33" t="s">
        <v>284</v>
      </c>
      <c r="AL225" s="88" t="s">
        <v>284</v>
      </c>
      <c r="AM225" s="33" t="s">
        <v>352</v>
      </c>
      <c r="AN225" s="33" t="s">
        <v>353</v>
      </c>
      <c r="AO225" s="33" t="s">
        <v>354</v>
      </c>
      <c r="AP225" s="33" t="s">
        <v>355</v>
      </c>
      <c r="AQ225" s="88" t="s">
        <v>355</v>
      </c>
    </row>
    <row r="226" spans="1:43" ht="17.25" x14ac:dyDescent="0.4">
      <c r="A226" s="254"/>
      <c r="B226" s="567"/>
      <c r="C226" s="568"/>
      <c r="D226" s="32" t="s">
        <v>119</v>
      </c>
      <c r="E226" s="32" t="s">
        <v>243</v>
      </c>
      <c r="F226" s="32" t="s">
        <v>247</v>
      </c>
      <c r="G226" s="32" t="s">
        <v>257</v>
      </c>
      <c r="H226" s="86" t="s">
        <v>258</v>
      </c>
      <c r="I226" s="32" t="s">
        <v>259</v>
      </c>
      <c r="J226" s="32" t="s">
        <v>260</v>
      </c>
      <c r="K226" s="32" t="s">
        <v>261</v>
      </c>
      <c r="L226" s="32" t="s">
        <v>322</v>
      </c>
      <c r="M226" s="86" t="s">
        <v>333</v>
      </c>
      <c r="N226" s="32" t="s">
        <v>339</v>
      </c>
      <c r="O226" s="32" t="s">
        <v>347</v>
      </c>
      <c r="P226" s="32" t="s">
        <v>349</v>
      </c>
      <c r="Q226" s="30" t="s">
        <v>129</v>
      </c>
      <c r="R226" s="89" t="s">
        <v>130</v>
      </c>
      <c r="S226" s="30" t="s">
        <v>131</v>
      </c>
      <c r="T226" s="30" t="s">
        <v>132</v>
      </c>
      <c r="U226" s="30" t="s">
        <v>133</v>
      </c>
      <c r="V226" s="30" t="s">
        <v>134</v>
      </c>
      <c r="W226" s="89" t="s">
        <v>135</v>
      </c>
      <c r="X226" s="30" t="s">
        <v>136</v>
      </c>
      <c r="Y226" s="30" t="s">
        <v>137</v>
      </c>
      <c r="Z226" s="30" t="s">
        <v>138</v>
      </c>
      <c r="AA226" s="30" t="s">
        <v>139</v>
      </c>
      <c r="AB226" s="89" t="s">
        <v>140</v>
      </c>
      <c r="AC226" s="30" t="s">
        <v>252</v>
      </c>
      <c r="AD226" s="30" t="s">
        <v>253</v>
      </c>
      <c r="AE226" s="30" t="s">
        <v>254</v>
      </c>
      <c r="AF226" s="30" t="s">
        <v>255</v>
      </c>
      <c r="AG226" s="89" t="s">
        <v>256</v>
      </c>
      <c r="AH226" s="30" t="s">
        <v>285</v>
      </c>
      <c r="AI226" s="30" t="s">
        <v>286</v>
      </c>
      <c r="AJ226" s="30" t="s">
        <v>287</v>
      </c>
      <c r="AK226" s="30" t="s">
        <v>288</v>
      </c>
      <c r="AL226" s="89" t="s">
        <v>289</v>
      </c>
      <c r="AM226" s="30" t="s">
        <v>356</v>
      </c>
      <c r="AN226" s="30" t="s">
        <v>357</v>
      </c>
      <c r="AO226" s="30" t="s">
        <v>358</v>
      </c>
      <c r="AP226" s="30" t="s">
        <v>359</v>
      </c>
      <c r="AQ226" s="89" t="s">
        <v>360</v>
      </c>
    </row>
    <row r="227" spans="1:43" outlineLevel="1" x14ac:dyDescent="0.25">
      <c r="A227" s="254"/>
      <c r="B227" s="405" t="s">
        <v>280</v>
      </c>
      <c r="C227" s="315"/>
      <c r="D227" s="276">
        <f>31+30+31</f>
        <v>92</v>
      </c>
      <c r="E227" s="276">
        <f>31+28+31</f>
        <v>90</v>
      </c>
      <c r="F227" s="276">
        <f>30+31+30</f>
        <v>91</v>
      </c>
      <c r="G227" s="276">
        <f>31+31+30</f>
        <v>92</v>
      </c>
      <c r="H227" s="291"/>
      <c r="I227" s="276">
        <f>31+30+31</f>
        <v>92</v>
      </c>
      <c r="J227" s="276">
        <f>31+29+31</f>
        <v>91</v>
      </c>
      <c r="K227" s="276">
        <f>30+31+30</f>
        <v>91</v>
      </c>
      <c r="L227" s="276">
        <f>31+31+30</f>
        <v>92</v>
      </c>
      <c r="M227" s="291"/>
      <c r="N227" s="276">
        <f>31+30+31</f>
        <v>92</v>
      </c>
      <c r="O227" s="276">
        <f>31+28+31</f>
        <v>90</v>
      </c>
      <c r="P227" s="276">
        <f>30+31+30</f>
        <v>91</v>
      </c>
      <c r="Q227" s="276">
        <f>31+31+30</f>
        <v>92</v>
      </c>
      <c r="R227" s="291"/>
      <c r="S227" s="276">
        <f>31+30+31</f>
        <v>92</v>
      </c>
      <c r="T227" s="276">
        <f>31+28+31</f>
        <v>90</v>
      </c>
      <c r="U227" s="276">
        <f>30+31+30</f>
        <v>91</v>
      </c>
      <c r="V227" s="276">
        <f>31+31+30</f>
        <v>92</v>
      </c>
      <c r="W227" s="291"/>
      <c r="X227" s="276">
        <f>31+30+31</f>
        <v>92</v>
      </c>
      <c r="Y227" s="276">
        <f>31+28+31</f>
        <v>90</v>
      </c>
      <c r="Z227" s="276">
        <f>30+31+30</f>
        <v>91</v>
      </c>
      <c r="AA227" s="276">
        <f>31+31+30</f>
        <v>92</v>
      </c>
      <c r="AB227" s="291"/>
      <c r="AC227" s="276">
        <f>31+30+31</f>
        <v>92</v>
      </c>
      <c r="AD227" s="276">
        <f>31+29+31</f>
        <v>91</v>
      </c>
      <c r="AE227" s="276">
        <f>30+31+30</f>
        <v>91</v>
      </c>
      <c r="AF227" s="276">
        <f>31+31+30</f>
        <v>92</v>
      </c>
      <c r="AG227" s="291"/>
      <c r="AH227" s="276">
        <f>31+30+31</f>
        <v>92</v>
      </c>
      <c r="AI227" s="276">
        <f>31+28+31</f>
        <v>90</v>
      </c>
      <c r="AJ227" s="276">
        <f>30+31+30</f>
        <v>91</v>
      </c>
      <c r="AK227" s="276">
        <f>31+31+30</f>
        <v>92</v>
      </c>
      <c r="AL227" s="291"/>
      <c r="AM227" s="276">
        <f>31+30+31</f>
        <v>92</v>
      </c>
      <c r="AN227" s="276">
        <f>31+28+31</f>
        <v>90</v>
      </c>
      <c r="AO227" s="276">
        <f>30+31+30</f>
        <v>91</v>
      </c>
      <c r="AP227" s="276">
        <f>31+31+30</f>
        <v>92</v>
      </c>
      <c r="AQ227" s="291"/>
    </row>
    <row r="228" spans="1:43" outlineLevel="1" x14ac:dyDescent="0.25">
      <c r="A228" s="254"/>
      <c r="B228" s="595" t="s">
        <v>21</v>
      </c>
      <c r="C228" s="596"/>
      <c r="D228" s="58">
        <f t="shared" ref="D228:L228" si="782">D16/D189</f>
        <v>9.1942057111172737</v>
      </c>
      <c r="E228" s="308">
        <f t="shared" si="782"/>
        <v>8.9623365548607161</v>
      </c>
      <c r="F228" s="308">
        <f t="shared" si="782"/>
        <v>8.6301543131798635</v>
      </c>
      <c r="G228" s="308">
        <f t="shared" si="782"/>
        <v>7.6757679180887379</v>
      </c>
      <c r="H228" s="309"/>
      <c r="I228" s="308">
        <f t="shared" si="782"/>
        <v>7.8153287082920375</v>
      </c>
      <c r="J228" s="308">
        <f t="shared" si="782"/>
        <v>6.3716259298618487</v>
      </c>
      <c r="K228" s="308">
        <f t="shared" si="782"/>
        <v>4.7918510952218822</v>
      </c>
      <c r="L228" s="308">
        <f t="shared" si="782"/>
        <v>7.0218474077428121</v>
      </c>
      <c r="M228" s="59"/>
      <c r="N228" s="308">
        <f>N16/N189</f>
        <v>7.6006756756756761</v>
      </c>
      <c r="O228" s="308">
        <f t="shared" ref="O228:P228" si="783">O16/O189</f>
        <v>7.5755510111338324</v>
      </c>
      <c r="P228" s="308">
        <f t="shared" si="783"/>
        <v>8.2270632133450388</v>
      </c>
      <c r="Q228" s="60">
        <v>7.7173912977977261</v>
      </c>
      <c r="R228" s="59"/>
      <c r="S228" s="60">
        <f>N228</f>
        <v>7.6006756756756761</v>
      </c>
      <c r="T228" s="60">
        <f t="shared" ref="T228:V228" si="784">O228</f>
        <v>7.5755510111338324</v>
      </c>
      <c r="U228" s="60">
        <f t="shared" si="784"/>
        <v>8.2270632133450388</v>
      </c>
      <c r="V228" s="60">
        <f t="shared" si="784"/>
        <v>7.7173912977977261</v>
      </c>
      <c r="W228" s="59"/>
      <c r="X228" s="60">
        <f>S228</f>
        <v>7.6006756756756761</v>
      </c>
      <c r="Y228" s="60">
        <f t="shared" ref="Y228:AA228" si="785">T228</f>
        <v>7.5755510111338324</v>
      </c>
      <c r="Z228" s="60">
        <f t="shared" si="785"/>
        <v>8.2270632133450388</v>
      </c>
      <c r="AA228" s="60">
        <f t="shared" si="785"/>
        <v>7.7173912977977261</v>
      </c>
      <c r="AB228" s="26"/>
      <c r="AC228" s="60">
        <f>X228</f>
        <v>7.6006756756756761</v>
      </c>
      <c r="AD228" s="60">
        <f t="shared" ref="AD228:AF228" si="786">Y228</f>
        <v>7.5755510111338324</v>
      </c>
      <c r="AE228" s="60">
        <f t="shared" si="786"/>
        <v>8.2270632133450388</v>
      </c>
      <c r="AF228" s="60">
        <f t="shared" si="786"/>
        <v>7.7173912977977261</v>
      </c>
      <c r="AG228" s="26"/>
      <c r="AH228" s="60">
        <f>AC228</f>
        <v>7.6006756756756761</v>
      </c>
      <c r="AI228" s="60">
        <f t="shared" ref="AI228:AK228" si="787">AD228</f>
        <v>7.5755510111338324</v>
      </c>
      <c r="AJ228" s="60">
        <f t="shared" si="787"/>
        <v>8.2270632133450388</v>
      </c>
      <c r="AK228" s="60">
        <f t="shared" si="787"/>
        <v>7.7173912977977261</v>
      </c>
      <c r="AL228" s="26"/>
      <c r="AM228" s="60">
        <f>AH228</f>
        <v>7.6006756756756761</v>
      </c>
      <c r="AN228" s="60">
        <f t="shared" ref="AN228" si="788">AI228</f>
        <v>7.5755510111338324</v>
      </c>
      <c r="AO228" s="60">
        <f t="shared" ref="AO228" si="789">AJ228</f>
        <v>8.2270632133450388</v>
      </c>
      <c r="AP228" s="60">
        <f t="shared" ref="AP228" si="790">AK228</f>
        <v>7.7173912977977261</v>
      </c>
      <c r="AQ228" s="26"/>
    </row>
    <row r="229" spans="1:43" s="43" customFormat="1" outlineLevel="1" x14ac:dyDescent="0.25">
      <c r="A229" s="307"/>
      <c r="B229" s="605" t="s">
        <v>57</v>
      </c>
      <c r="C229" s="606"/>
      <c r="D229" s="47">
        <f>D227/D228</f>
        <v>10.00630210924661</v>
      </c>
      <c r="E229" s="47">
        <f>E227/E228</f>
        <v>10.042024136126486</v>
      </c>
      <c r="F229" s="276">
        <f>F227/F228</f>
        <v>10.544423274219552</v>
      </c>
      <c r="G229" s="276">
        <f>G227/G228</f>
        <v>11.985771453979545</v>
      </c>
      <c r="H229" s="309"/>
      <c r="I229" s="276">
        <f>I227/I228</f>
        <v>11.771737752039567</v>
      </c>
      <c r="J229" s="276">
        <f>J227/J228</f>
        <v>14.28206881598479</v>
      </c>
      <c r="K229" s="276">
        <f>K227/K228</f>
        <v>18.990573411335589</v>
      </c>
      <c r="L229" s="47">
        <f>L227/L228</f>
        <v>13.101965146459028</v>
      </c>
      <c r="M229" s="59"/>
      <c r="N229" s="47">
        <f>N227/N228</f>
        <v>12.104187038847897</v>
      </c>
      <c r="O229" s="47">
        <f>O227/O228</f>
        <v>11.880323935212958</v>
      </c>
      <c r="P229" s="47">
        <f>P227/P228</f>
        <v>11.061055159074236</v>
      </c>
      <c r="Q229" s="47">
        <f>Q227/Q228</f>
        <v>11.921126770681381</v>
      </c>
      <c r="R229" s="59"/>
      <c r="S229" s="47">
        <f>S227/S228</f>
        <v>12.104187038847897</v>
      </c>
      <c r="T229" s="47">
        <f>T227/T228</f>
        <v>11.880323935212958</v>
      </c>
      <c r="U229" s="47">
        <f>U227/U228</f>
        <v>11.061055159074236</v>
      </c>
      <c r="V229" s="47">
        <f>V227/V228</f>
        <v>11.921126770681381</v>
      </c>
      <c r="W229" s="59"/>
      <c r="X229" s="47">
        <f>X227/X228</f>
        <v>12.104187038847897</v>
      </c>
      <c r="Y229" s="47">
        <f>Y227/Y228</f>
        <v>11.880323935212958</v>
      </c>
      <c r="Z229" s="47">
        <f>Z227/Z228</f>
        <v>11.061055159074236</v>
      </c>
      <c r="AA229" s="47">
        <f>AA227/AA228</f>
        <v>11.921126770681381</v>
      </c>
      <c r="AB229" s="59"/>
      <c r="AC229" s="47">
        <f>AC227/AC228</f>
        <v>12.104187038847897</v>
      </c>
      <c r="AD229" s="47">
        <f>AD227/AD228</f>
        <v>12.012327534493103</v>
      </c>
      <c r="AE229" s="47">
        <f>AE227/AE228</f>
        <v>11.061055159074236</v>
      </c>
      <c r="AF229" s="47">
        <f>AF227/AF228</f>
        <v>11.921126770681381</v>
      </c>
      <c r="AG229" s="59"/>
      <c r="AH229" s="47">
        <f>AH227/AH228</f>
        <v>12.104187038847897</v>
      </c>
      <c r="AI229" s="47">
        <f>AI227/AI228</f>
        <v>11.880323935212958</v>
      </c>
      <c r="AJ229" s="47">
        <f>AJ227/AJ228</f>
        <v>11.061055159074236</v>
      </c>
      <c r="AK229" s="47">
        <f>AK227/AK228</f>
        <v>11.921126770681381</v>
      </c>
      <c r="AL229" s="59"/>
      <c r="AM229" s="47">
        <f>AM227/AM228</f>
        <v>12.104187038847897</v>
      </c>
      <c r="AN229" s="47">
        <f>AN227/AN228</f>
        <v>11.880323935212958</v>
      </c>
      <c r="AO229" s="47">
        <f>AO227/AO228</f>
        <v>11.061055159074236</v>
      </c>
      <c r="AP229" s="47">
        <f>AP227/AP228</f>
        <v>11.921126770681381</v>
      </c>
      <c r="AQ229" s="59"/>
    </row>
    <row r="230" spans="1:43" outlineLevel="1" x14ac:dyDescent="0.25">
      <c r="A230" s="254"/>
      <c r="B230" s="595" t="s">
        <v>232</v>
      </c>
      <c r="C230" s="596"/>
      <c r="D230" s="58">
        <f t="shared" ref="D230:L230" si="791">D17/D190</f>
        <v>1.6062306215857083</v>
      </c>
      <c r="E230" s="58">
        <f t="shared" si="791"/>
        <v>1.3943173943173943</v>
      </c>
      <c r="F230" s="308">
        <f t="shared" si="791"/>
        <v>1.4497759029791721</v>
      </c>
      <c r="G230" s="308">
        <f t="shared" si="791"/>
        <v>1.3989146070354381</v>
      </c>
      <c r="H230" s="309"/>
      <c r="I230" s="308">
        <f t="shared" si="791"/>
        <v>1.5875630013487614</v>
      </c>
      <c r="J230" s="308">
        <f t="shared" si="791"/>
        <v>1.3387615601125855</v>
      </c>
      <c r="K230" s="308">
        <f t="shared" si="791"/>
        <v>0.93698699330723578</v>
      </c>
      <c r="L230" s="308">
        <f t="shared" si="791"/>
        <v>1.2742039448240299</v>
      </c>
      <c r="M230" s="59"/>
      <c r="N230" s="308">
        <f>N17/N190</f>
        <v>1.3925246347264695</v>
      </c>
      <c r="O230" s="308">
        <f t="shared" ref="O230:P230" si="792">O17/O190</f>
        <v>1.3250864591646716</v>
      </c>
      <c r="P230" s="308">
        <f t="shared" si="792"/>
        <v>1.4248805063945227</v>
      </c>
      <c r="Q230" s="60">
        <v>1.0275014233753998</v>
      </c>
      <c r="R230" s="59"/>
      <c r="S230" s="60">
        <f>N230</f>
        <v>1.3925246347264695</v>
      </c>
      <c r="T230" s="60">
        <f t="shared" ref="T230:V230" si="793">O230</f>
        <v>1.3250864591646716</v>
      </c>
      <c r="U230" s="60">
        <f t="shared" si="793"/>
        <v>1.4248805063945227</v>
      </c>
      <c r="V230" s="60">
        <f t="shared" si="793"/>
        <v>1.0275014233753998</v>
      </c>
      <c r="W230" s="59"/>
      <c r="X230" s="60">
        <f>S230</f>
        <v>1.3925246347264695</v>
      </c>
      <c r="Y230" s="60">
        <f t="shared" ref="Y230:AA230" si="794">T230</f>
        <v>1.3250864591646716</v>
      </c>
      <c r="Z230" s="60">
        <f t="shared" si="794"/>
        <v>1.4248805063945227</v>
      </c>
      <c r="AA230" s="60">
        <f t="shared" si="794"/>
        <v>1.0275014233753998</v>
      </c>
      <c r="AB230" s="26"/>
      <c r="AC230" s="60">
        <f>X230</f>
        <v>1.3925246347264695</v>
      </c>
      <c r="AD230" s="60">
        <f t="shared" ref="AD230:AF230" si="795">Y230</f>
        <v>1.3250864591646716</v>
      </c>
      <c r="AE230" s="60">
        <f t="shared" si="795"/>
        <v>1.4248805063945227</v>
      </c>
      <c r="AF230" s="60">
        <f t="shared" si="795"/>
        <v>1.0275014233753998</v>
      </c>
      <c r="AG230" s="26"/>
      <c r="AH230" s="60">
        <f>AC230</f>
        <v>1.3925246347264695</v>
      </c>
      <c r="AI230" s="60">
        <f t="shared" ref="AI230:AK230" si="796">AD230</f>
        <v>1.3250864591646716</v>
      </c>
      <c r="AJ230" s="60">
        <f t="shared" si="796"/>
        <v>1.4248805063945227</v>
      </c>
      <c r="AK230" s="60">
        <f t="shared" si="796"/>
        <v>1.0275014233753998</v>
      </c>
      <c r="AL230" s="26"/>
      <c r="AM230" s="60">
        <f>AH230</f>
        <v>1.3925246347264695</v>
      </c>
      <c r="AN230" s="60">
        <f t="shared" ref="AN230" si="797">AI230</f>
        <v>1.3250864591646716</v>
      </c>
      <c r="AO230" s="60">
        <f t="shared" ref="AO230" si="798">AJ230</f>
        <v>1.4248805063945227</v>
      </c>
      <c r="AP230" s="60">
        <f t="shared" ref="AP230" si="799">AK230</f>
        <v>1.0275014233753998</v>
      </c>
      <c r="AQ230" s="26"/>
    </row>
    <row r="231" spans="1:43" s="43" customFormat="1" outlineLevel="1" x14ac:dyDescent="0.25">
      <c r="A231" s="307"/>
      <c r="B231" s="605" t="s">
        <v>57</v>
      </c>
      <c r="C231" s="606"/>
      <c r="D231" s="47">
        <f t="shared" ref="D231:AA231" si="800">D227/D230</f>
        <v>57.276955602536987</v>
      </c>
      <c r="E231" s="47">
        <f t="shared" si="800"/>
        <v>64.547713717693838</v>
      </c>
      <c r="F231" s="276">
        <f t="shared" si="800"/>
        <v>62.768321513002363</v>
      </c>
      <c r="G231" s="276">
        <f t="shared" si="800"/>
        <v>65.765272259873825</v>
      </c>
      <c r="H231" s="309"/>
      <c r="I231" s="276">
        <f t="shared" si="800"/>
        <v>57.950456090144868</v>
      </c>
      <c r="J231" s="276">
        <f t="shared" si="800"/>
        <v>67.973269259648589</v>
      </c>
      <c r="K231" s="276">
        <f>K227/K230</f>
        <v>97.119811320754721</v>
      </c>
      <c r="L231" s="47">
        <f t="shared" si="800"/>
        <v>72.201942533387296</v>
      </c>
      <c r="M231" s="59"/>
      <c r="N231" s="47">
        <f t="shared" si="800"/>
        <v>66.067053828510083</v>
      </c>
      <c r="O231" s="47">
        <f t="shared" si="800"/>
        <v>67.920096366191515</v>
      </c>
      <c r="P231" s="47">
        <f t="shared" si="800"/>
        <v>63.865004533091565</v>
      </c>
      <c r="Q231" s="47">
        <f t="shared" si="800"/>
        <v>89.537588860728619</v>
      </c>
      <c r="R231" s="59"/>
      <c r="S231" s="47">
        <f t="shared" si="800"/>
        <v>66.067053828510083</v>
      </c>
      <c r="T231" s="47">
        <f t="shared" si="800"/>
        <v>67.920096366191515</v>
      </c>
      <c r="U231" s="47">
        <f t="shared" si="800"/>
        <v>63.865004533091565</v>
      </c>
      <c r="V231" s="47">
        <f t="shared" si="800"/>
        <v>89.537588860728619</v>
      </c>
      <c r="W231" s="59"/>
      <c r="X231" s="47">
        <f t="shared" si="800"/>
        <v>66.067053828510083</v>
      </c>
      <c r="Y231" s="47">
        <f t="shared" si="800"/>
        <v>67.920096366191515</v>
      </c>
      <c r="Z231" s="47">
        <f t="shared" si="800"/>
        <v>63.865004533091565</v>
      </c>
      <c r="AA231" s="47">
        <f t="shared" si="800"/>
        <v>89.537588860728619</v>
      </c>
      <c r="AB231" s="59"/>
      <c r="AC231" s="47">
        <f t="shared" ref="AC231:AF231" si="801">AC227/AC230</f>
        <v>66.067053828510083</v>
      </c>
      <c r="AD231" s="47">
        <f t="shared" si="801"/>
        <v>68.674764103593645</v>
      </c>
      <c r="AE231" s="47">
        <f t="shared" si="801"/>
        <v>63.865004533091565</v>
      </c>
      <c r="AF231" s="47">
        <f t="shared" si="801"/>
        <v>89.537588860728619</v>
      </c>
      <c r="AG231" s="59"/>
      <c r="AH231" s="47">
        <f t="shared" ref="AH231:AK231" si="802">AH227/AH230</f>
        <v>66.067053828510083</v>
      </c>
      <c r="AI231" s="47">
        <f t="shared" si="802"/>
        <v>67.920096366191515</v>
      </c>
      <c r="AJ231" s="47">
        <f t="shared" si="802"/>
        <v>63.865004533091565</v>
      </c>
      <c r="AK231" s="47">
        <f t="shared" si="802"/>
        <v>89.537588860728619</v>
      </c>
      <c r="AL231" s="59"/>
      <c r="AM231" s="47">
        <f t="shared" ref="AM231:AP231" si="803">AM227/AM230</f>
        <v>66.067053828510083</v>
      </c>
      <c r="AN231" s="47">
        <f t="shared" si="803"/>
        <v>67.920096366191515</v>
      </c>
      <c r="AO231" s="47">
        <f t="shared" si="803"/>
        <v>63.865004533091565</v>
      </c>
      <c r="AP231" s="47">
        <f t="shared" si="803"/>
        <v>89.537588860728619</v>
      </c>
      <c r="AQ231" s="59"/>
    </row>
    <row r="232" spans="1:43" s="43" customFormat="1" outlineLevel="1" x14ac:dyDescent="0.25">
      <c r="A232" s="307"/>
      <c r="B232" s="595" t="s">
        <v>58</v>
      </c>
      <c r="C232" s="596"/>
      <c r="D232" s="58">
        <f>D17/D203</f>
        <v>1.9771013175829171</v>
      </c>
      <c r="E232" s="58">
        <f t="shared" ref="E232:P232" si="804">E17/E203</f>
        <v>1.8345946931704202</v>
      </c>
      <c r="F232" s="308">
        <f t="shared" si="804"/>
        <v>1.9203771608171816</v>
      </c>
      <c r="G232" s="308">
        <f t="shared" si="804"/>
        <v>1.7983525258468513</v>
      </c>
      <c r="H232" s="310"/>
      <c r="I232" s="308">
        <f t="shared" si="804"/>
        <v>2.0600589535740608</v>
      </c>
      <c r="J232" s="308">
        <f t="shared" si="804"/>
        <v>2.0023053021950488</v>
      </c>
      <c r="K232" s="308">
        <f t="shared" si="804"/>
        <v>1.7239776951672863</v>
      </c>
      <c r="L232" s="308">
        <f t="shared" si="804"/>
        <v>1.9809600160336707</v>
      </c>
      <c r="M232" s="234"/>
      <c r="N232" s="308">
        <f t="shared" si="804"/>
        <v>1.9504092899295642</v>
      </c>
      <c r="O232" s="308">
        <f t="shared" si="804"/>
        <v>1.9276315789473686</v>
      </c>
      <c r="P232" s="308">
        <f t="shared" si="804"/>
        <v>1.9574090505767525</v>
      </c>
      <c r="Q232" s="60">
        <f>AVERAGE(G232,L232)</f>
        <v>1.8896562709402609</v>
      </c>
      <c r="R232" s="234"/>
      <c r="S232" s="60">
        <f>AVERAGE(I232,N232)</f>
        <v>2.0052341217518124</v>
      </c>
      <c r="T232" s="60">
        <f t="shared" ref="T232:U232" si="805">AVERAGE(J232,O232)</f>
        <v>1.9649684405712087</v>
      </c>
      <c r="U232" s="60">
        <f t="shared" si="805"/>
        <v>1.8406933728720194</v>
      </c>
      <c r="V232" s="60">
        <f>AVERAGE(L232,Q232)</f>
        <v>1.9353081434869659</v>
      </c>
      <c r="W232" s="234"/>
      <c r="X232" s="60">
        <f>AVERAGE(N232,S232)</f>
        <v>1.9778217058406882</v>
      </c>
      <c r="Y232" s="60">
        <f t="shared" ref="Y232:AA232" si="806">AVERAGE(O232,T232)</f>
        <v>1.9463000097592886</v>
      </c>
      <c r="Z232" s="60">
        <f t="shared" si="806"/>
        <v>1.8990512117243861</v>
      </c>
      <c r="AA232" s="60">
        <f t="shared" si="806"/>
        <v>1.9124822072136134</v>
      </c>
      <c r="AB232" s="59"/>
      <c r="AC232" s="60">
        <f>AVERAGE(S232,X232)</f>
        <v>1.9915279137962503</v>
      </c>
      <c r="AD232" s="60">
        <f t="shared" ref="AD232:AF232" si="807">AVERAGE(T232,Y232)</f>
        <v>1.9556342251652485</v>
      </c>
      <c r="AE232" s="60">
        <f t="shared" si="807"/>
        <v>1.8698722922982027</v>
      </c>
      <c r="AF232" s="60">
        <f t="shared" si="807"/>
        <v>1.9238951753502898</v>
      </c>
      <c r="AG232" s="59"/>
      <c r="AH232" s="60">
        <f>AVERAGE(X232,AC232)</f>
        <v>1.9846748098184692</v>
      </c>
      <c r="AI232" s="60">
        <f t="shared" ref="AI232:AK232" si="808">AVERAGE(Y232,AD232)</f>
        <v>1.9509671174622687</v>
      </c>
      <c r="AJ232" s="60">
        <f t="shared" si="808"/>
        <v>1.8844617520112945</v>
      </c>
      <c r="AK232" s="60">
        <f t="shared" si="808"/>
        <v>1.9181886912819515</v>
      </c>
      <c r="AL232" s="59"/>
      <c r="AM232" s="60">
        <f>AVERAGE(AC232,AH232)</f>
        <v>1.9881013618073597</v>
      </c>
      <c r="AN232" s="60">
        <f t="shared" ref="AN232" si="809">AVERAGE(AD232,AI232)</f>
        <v>1.9533006713137586</v>
      </c>
      <c r="AO232" s="60">
        <f t="shared" ref="AO232" si="810">AVERAGE(AE232,AJ232)</f>
        <v>1.8771670221547487</v>
      </c>
      <c r="AP232" s="60">
        <f t="shared" ref="AP232" si="811">AVERAGE(AF232,AK232)</f>
        <v>1.9210419333161206</v>
      </c>
      <c r="AQ232" s="59"/>
    </row>
    <row r="233" spans="1:43" s="43" customFormat="1" outlineLevel="1" x14ac:dyDescent="0.25">
      <c r="A233" s="307"/>
      <c r="B233" s="605" t="s">
        <v>22</v>
      </c>
      <c r="C233" s="606"/>
      <c r="D233" s="34">
        <f>D227/D232</f>
        <v>46.532769556025364</v>
      </c>
      <c r="E233" s="34">
        <f>E227/E232</f>
        <v>49.057157057654081</v>
      </c>
      <c r="F233" s="256">
        <f>F227/F232</f>
        <v>47.386524822695037</v>
      </c>
      <c r="G233" s="256">
        <f>G227/G232</f>
        <v>51.157934096751603</v>
      </c>
      <c r="H233" s="311"/>
      <c r="I233" s="256">
        <f>I227/I232</f>
        <v>44.658916115185114</v>
      </c>
      <c r="J233" s="256">
        <f>J227/J232</f>
        <v>45.447614756970509</v>
      </c>
      <c r="K233" s="256">
        <f>K227/K232</f>
        <v>52.784905660377355</v>
      </c>
      <c r="L233" s="34">
        <f>L227/L232</f>
        <v>46.44212869283691</v>
      </c>
      <c r="M233" s="54"/>
      <c r="N233" s="34">
        <f>N227/N232</f>
        <v>47.169586647796592</v>
      </c>
      <c r="O233" s="34">
        <f>O227/O232</f>
        <v>46.689419795221838</v>
      </c>
      <c r="P233" s="34">
        <f>P227/P232</f>
        <v>46.490027198549406</v>
      </c>
      <c r="Q233" s="34">
        <f>Q227/Q232</f>
        <v>48.686103083828236</v>
      </c>
      <c r="R233" s="54"/>
      <c r="S233" s="34">
        <f>S227/S232</f>
        <v>45.879929431694976</v>
      </c>
      <c r="T233" s="34">
        <f>T227/T232</f>
        <v>45.80226233752505</v>
      </c>
      <c r="U233" s="34">
        <f>U227/U232</f>
        <v>49.437891905925326</v>
      </c>
      <c r="V233" s="34">
        <f>V227/V232</f>
        <v>47.53764939687477</v>
      </c>
      <c r="W233" s="54"/>
      <c r="X233" s="34">
        <f>X227/X232</f>
        <v>46.515820778139705</v>
      </c>
      <c r="Y233" s="34">
        <f>Y227/Y232</f>
        <v>46.24158636834764</v>
      </c>
      <c r="Z233" s="34">
        <f>Z227/Z232</f>
        <v>47.918665614799153</v>
      </c>
      <c r="AA233" s="34">
        <f>AA227/AA232</f>
        <v>48.105022704519271</v>
      </c>
      <c r="AB233" s="54"/>
      <c r="AC233" s="34">
        <f>AC227/AC232</f>
        <v>46.195686920917723</v>
      </c>
      <c r="AD233" s="34">
        <f>AD227/AD232</f>
        <v>46.532218974798631</v>
      </c>
      <c r="AE233" s="34">
        <f>AE227/AE232</f>
        <v>48.666425175034114</v>
      </c>
      <c r="AF233" s="34">
        <f>AF227/AF232</f>
        <v>47.819653159247238</v>
      </c>
      <c r="AG233" s="54"/>
      <c r="AH233" s="34">
        <f>AH227/AH232</f>
        <v>46.355201136661222</v>
      </c>
      <c r="AI233" s="34">
        <f>AI227/AI232</f>
        <v>46.130967146728743</v>
      </c>
      <c r="AJ233" s="34">
        <f>AJ227/AJ232</f>
        <v>48.28965082622414</v>
      </c>
      <c r="AK233" s="34">
        <f>AK227/AK232</f>
        <v>47.96191345415302</v>
      </c>
      <c r="AL233" s="54"/>
      <c r="AM233" s="34">
        <f>AM227/AM232</f>
        <v>46.275306565035436</v>
      </c>
      <c r="AN233" s="34">
        <f>AN227/AN232</f>
        <v>46.075855766469097</v>
      </c>
      <c r="AO233" s="34">
        <f>AO227/AO232</f>
        <v>48.477305922167538</v>
      </c>
      <c r="AP233" s="34">
        <f>AP227/AP232</f>
        <v>47.890677660111635</v>
      </c>
      <c r="AQ233" s="54"/>
    </row>
    <row r="234" spans="1:43" s="43" customFormat="1" outlineLevel="1" x14ac:dyDescent="0.25">
      <c r="A234" s="307"/>
      <c r="B234" s="595" t="s">
        <v>234</v>
      </c>
      <c r="C234" s="596"/>
      <c r="D234" s="56">
        <f>(D193+D188)/D201</f>
        <v>2.4783172266068774E-2</v>
      </c>
      <c r="E234" s="56">
        <f>(E193+E188)/E201</f>
        <v>1.862044337628033E-2</v>
      </c>
      <c r="F234" s="285">
        <f t="shared" ref="F234:K234" si="812">(F193+F188)/F201</f>
        <v>1.4104190097872643E-2</v>
      </c>
      <c r="G234" s="285">
        <f t="shared" si="812"/>
        <v>1.5114935950133718E-2</v>
      </c>
      <c r="H234" s="311">
        <f t="shared" si="812"/>
        <v>1.5114935950133718E-2</v>
      </c>
      <c r="I234" s="285">
        <f t="shared" si="812"/>
        <v>9.6713821566244626E-3</v>
      </c>
      <c r="J234" s="285">
        <f t="shared" si="812"/>
        <v>9.1597553031598795E-3</v>
      </c>
      <c r="K234" s="285">
        <f t="shared" si="812"/>
        <v>1.5555616562459249E-2</v>
      </c>
      <c r="L234" s="285">
        <f t="shared" ref="L234" si="813">(L193+L188)/L201</f>
        <v>1.6589218539890038E-2</v>
      </c>
      <c r="M234" s="54"/>
      <c r="N234" s="285">
        <f t="shared" ref="N234:P234" si="814">(N193+N188)/N201</f>
        <v>1.4228367975494099E-2</v>
      </c>
      <c r="O234" s="285">
        <f t="shared" si="814"/>
        <v>1.4373528458035493E-2</v>
      </c>
      <c r="P234" s="285">
        <f t="shared" si="814"/>
        <v>1.4910030939586384E-2</v>
      </c>
      <c r="Q234" s="64">
        <f>AVERAGE(L234,N234,O234,P234)</f>
        <v>1.5025286478251505E-2</v>
      </c>
      <c r="R234" s="54"/>
      <c r="S234" s="64">
        <f>AVERAGE(N234,O234,P234,Q234)</f>
        <v>1.463430346284187E-2</v>
      </c>
      <c r="T234" s="64">
        <f>AVERAGE(O234,P234,Q234,S234)</f>
        <v>1.4735787334678813E-2</v>
      </c>
      <c r="U234" s="64">
        <f>AVERAGE(P234,Q234,S234,T234)</f>
        <v>1.4826352053839642E-2</v>
      </c>
      <c r="V234" s="64">
        <f>AVERAGE(Q234,S234,T234,U234)</f>
        <v>1.4805432332402958E-2</v>
      </c>
      <c r="W234" s="54"/>
      <c r="X234" s="64">
        <f>AVERAGE(S234,T234,U234,V234)</f>
        <v>1.4750468795940821E-2</v>
      </c>
      <c r="Y234" s="64">
        <f>AVERAGE(T234,U234,V234,X234)</f>
        <v>1.4779510129215559E-2</v>
      </c>
      <c r="Z234" s="64">
        <f>AVERAGE(U234,V234,X234,Y234)</f>
        <v>1.4790440827849746E-2</v>
      </c>
      <c r="AA234" s="64">
        <f>AVERAGE(V234,X234,Y234,Z234)</f>
        <v>1.4781463021352272E-2</v>
      </c>
      <c r="AB234" s="54"/>
      <c r="AC234" s="64">
        <f>AVERAGE(X234,Y234,Z234,AA234)</f>
        <v>1.4775470693589601E-2</v>
      </c>
      <c r="AD234" s="64">
        <f>AVERAGE(Y234,Z234,AA234,AC234)</f>
        <v>1.4781721168001794E-2</v>
      </c>
      <c r="AE234" s="64">
        <f>AVERAGE(Z234,AA234,AC234,AD234)</f>
        <v>1.4782273927698354E-2</v>
      </c>
      <c r="AF234" s="64">
        <f>AVERAGE(AA234,AC234,AD234,AE234)</f>
        <v>1.4780232202660505E-2</v>
      </c>
      <c r="AG234" s="54"/>
      <c r="AH234" s="64">
        <f>AVERAGE(AC234,AD234,AE234,AF234)</f>
        <v>1.4779924497987564E-2</v>
      </c>
      <c r="AI234" s="64">
        <f>AVERAGE(AD234,AE234,AF234,AH234)</f>
        <v>1.4781037949087056E-2</v>
      </c>
      <c r="AJ234" s="64">
        <f>AVERAGE(AE234,AF234,AH234,AI234)</f>
        <v>1.4780867144358369E-2</v>
      </c>
      <c r="AK234" s="64">
        <f>AVERAGE(AF234,AH234,AI234,AJ234)</f>
        <v>1.4780515448523374E-2</v>
      </c>
      <c r="AL234" s="54"/>
      <c r="AM234" s="64">
        <f>AVERAGE(AH234,AI234,AJ234,AK234)</f>
        <v>1.4780586259989089E-2</v>
      </c>
      <c r="AN234" s="64">
        <f>AVERAGE(AI234,AJ234,AK234,AM234)</f>
        <v>1.4780751700489472E-2</v>
      </c>
      <c r="AO234" s="64">
        <f>AVERAGE(AJ234,AK234,AM234,AN234)</f>
        <v>1.4780680138340076E-2</v>
      </c>
      <c r="AP234" s="64">
        <f>AVERAGE(AK234,AM234,AN234,AO234)</f>
        <v>1.4780633386835502E-2</v>
      </c>
      <c r="AQ234" s="54"/>
    </row>
    <row r="235" spans="1:43" s="43" customFormat="1" outlineLevel="1" x14ac:dyDescent="0.25">
      <c r="A235" s="307"/>
      <c r="B235" s="408" t="s">
        <v>233</v>
      </c>
      <c r="C235" s="395"/>
      <c r="D235" s="56">
        <f>D188/(D188+D193)</f>
        <v>0.4648626817447496</v>
      </c>
      <c r="E235" s="56">
        <f>E188/(E188+E193)</f>
        <v>0.23318112633181123</v>
      </c>
      <c r="F235" s="285">
        <f t="shared" ref="F235:K235" si="815">F188/(F188+F193)</f>
        <v>0.24465558194774345</v>
      </c>
      <c r="G235" s="285">
        <f t="shared" si="815"/>
        <v>0.24268502581755594</v>
      </c>
      <c r="H235" s="311">
        <f t="shared" si="815"/>
        <v>0.24268502581755594</v>
      </c>
      <c r="I235" s="285">
        <f t="shared" si="815"/>
        <v>0.25503355704697983</v>
      </c>
      <c r="J235" s="285">
        <f t="shared" si="815"/>
        <v>0.21017083829956296</v>
      </c>
      <c r="K235" s="285">
        <f t="shared" si="815"/>
        <v>0.50716964482682547</v>
      </c>
      <c r="L235" s="285">
        <f t="shared" ref="L235" si="816">L188/(L188+L193)</f>
        <v>0.57705725425815724</v>
      </c>
      <c r="M235" s="54"/>
      <c r="N235" s="285">
        <f t="shared" ref="N235:P235" si="817">N188/(N188+N193)</f>
        <v>0.55229831144465291</v>
      </c>
      <c r="O235" s="285">
        <f t="shared" si="817"/>
        <v>0.30161844041196662</v>
      </c>
      <c r="P235" s="285">
        <f t="shared" si="817"/>
        <v>0.34948805460750854</v>
      </c>
      <c r="Q235" s="64">
        <f>AVERAGE(L235,N235,O235,P235)</f>
        <v>0.44511551518057135</v>
      </c>
      <c r="R235" s="54"/>
      <c r="S235" s="64">
        <f>AVERAGE(N235,O235,P235,Q235)</f>
        <v>0.41213008041117483</v>
      </c>
      <c r="T235" s="64">
        <f>AVERAGE(O235,P235,Q235,S235)</f>
        <v>0.37708802265280539</v>
      </c>
      <c r="U235" s="64">
        <f>AVERAGE(P235,Q235,S235,T235)</f>
        <v>0.39595541821301505</v>
      </c>
      <c r="V235" s="64">
        <f>AVERAGE(Q235,S235,T235,U235)</f>
        <v>0.40757225911439166</v>
      </c>
      <c r="W235" s="54"/>
      <c r="X235" s="64">
        <f>AVERAGE(S235,T235,U235,V235)</f>
        <v>0.39818644509784673</v>
      </c>
      <c r="Y235" s="64">
        <f>AVERAGE(T235,U235,V235,X235)</f>
        <v>0.39470053626951468</v>
      </c>
      <c r="Z235" s="64">
        <f>AVERAGE(U235,V235,X235,Y235)</f>
        <v>0.39910366467369202</v>
      </c>
      <c r="AA235" s="64">
        <f>AVERAGE(V235,X235,Y235,Z235)</f>
        <v>0.3998907262888613</v>
      </c>
      <c r="AB235" s="54"/>
      <c r="AC235" s="64">
        <f>AVERAGE(X235,Y235,Z235,AA235)</f>
        <v>0.39797034308247869</v>
      </c>
      <c r="AD235" s="64">
        <f>AVERAGE(Y235,Z235,AA235,AC235)</f>
        <v>0.39791631757863666</v>
      </c>
      <c r="AE235" s="64">
        <f>AVERAGE(Z235,AA235,AC235,AD235)</f>
        <v>0.39872026290591717</v>
      </c>
      <c r="AF235" s="64">
        <f>AVERAGE(AA235,AC235,AD235,AE235)</f>
        <v>0.39862441246397345</v>
      </c>
      <c r="AG235" s="54"/>
      <c r="AH235" s="64">
        <f>AVERAGE(AC235,AD235,AE235,AF235)</f>
        <v>0.39830783400775149</v>
      </c>
      <c r="AI235" s="64">
        <f>AVERAGE(AD235,AE235,AF235,AH235)</f>
        <v>0.39839220673906972</v>
      </c>
      <c r="AJ235" s="64">
        <f>AVERAGE(AE235,AF235,AH235,AI235)</f>
        <v>0.39851117902917799</v>
      </c>
      <c r="AK235" s="64">
        <f>AVERAGE(AF235,AH235,AI235,AJ235)</f>
        <v>0.39845890805999318</v>
      </c>
      <c r="AL235" s="54"/>
      <c r="AM235" s="64">
        <f>AVERAGE(AH235,AI235,AJ235,AK235)</f>
        <v>0.39841753195899809</v>
      </c>
      <c r="AN235" s="64">
        <f>AVERAGE(AI235,AJ235,AK235,AM235)</f>
        <v>0.39844495644680977</v>
      </c>
      <c r="AO235" s="64">
        <f>AVERAGE(AJ235,AK235,AM235,AN235)</f>
        <v>0.39845814387374479</v>
      </c>
      <c r="AP235" s="64">
        <f>AVERAGE(AK235,AM235,AN235,AO235)</f>
        <v>0.3984448850848864</v>
      </c>
      <c r="AQ235" s="54"/>
    </row>
    <row r="236" spans="1:43" s="43" customFormat="1" outlineLevel="1" x14ac:dyDescent="0.25">
      <c r="A236" s="307"/>
      <c r="B236" s="394" t="s">
        <v>235</v>
      </c>
      <c r="C236" s="395"/>
      <c r="D236" s="56">
        <f>+(D209+D212)/D222</f>
        <v>-3.1717034875642636</v>
      </c>
      <c r="E236" s="56">
        <f>+(E209+E212)/E222</f>
        <v>-1.8304138862408643</v>
      </c>
      <c r="F236" s="285">
        <f>+(F209+F212)/F222</f>
        <v>-2.5837230840472332</v>
      </c>
      <c r="G236" s="285">
        <f>+(G209+G212)/G222</f>
        <v>-1.7921681913015568</v>
      </c>
      <c r="H236" s="311"/>
      <c r="I236" s="285">
        <f>+(I209+I212)/I222</f>
        <v>-1.7235726649997785</v>
      </c>
      <c r="J236" s="285">
        <f>+(J209+J212)/J222</f>
        <v>-1.8605318005017988</v>
      </c>
      <c r="K236" s="285">
        <f>+(K209+K212)/K222</f>
        <v>-1.9516598448569742</v>
      </c>
      <c r="L236" s="56">
        <f>+(L209+L212)/L222</f>
        <v>-2.0960971356771032</v>
      </c>
      <c r="M236" s="54"/>
      <c r="N236" s="56">
        <f>+(N209+N212)/N222</f>
        <v>-2.0136766194331983</v>
      </c>
      <c r="O236" s="56">
        <f>+(O209+O212)/O222</f>
        <v>-1.9152752899337104</v>
      </c>
      <c r="P236" s="56">
        <f>+(P209+P212)/P222</f>
        <v>-2.1515240716482933</v>
      </c>
      <c r="Q236" s="56">
        <f>+(Q209+Q212)/Q222</f>
        <v>-2.3477547323896539</v>
      </c>
      <c r="R236" s="54"/>
      <c r="S236" s="56">
        <f t="shared" ref="S236:AA236" si="818">+(S209+S212)/S222</f>
        <v>-2.2582416608212812</v>
      </c>
      <c r="T236" s="56">
        <f t="shared" si="818"/>
        <v>-2.1302937351288684</v>
      </c>
      <c r="U236" s="56">
        <f t="shared" si="818"/>
        <v>-2.0968703473360608</v>
      </c>
      <c r="V236" s="56">
        <f t="shared" si="818"/>
        <v>-2.1126301161019039</v>
      </c>
      <c r="W236" s="54">
        <f t="shared" si="818"/>
        <v>-2.1126301161019039</v>
      </c>
      <c r="X236" s="56">
        <f t="shared" si="818"/>
        <v>-2.1184879022973502</v>
      </c>
      <c r="Y236" s="56">
        <f t="shared" si="818"/>
        <v>-2.0882285786771888</v>
      </c>
      <c r="Z236" s="56">
        <f t="shared" si="818"/>
        <v>-2.1093353067943568</v>
      </c>
      <c r="AA236" s="56">
        <f t="shared" si="818"/>
        <v>-2.1751807416364741</v>
      </c>
      <c r="AB236" s="54"/>
      <c r="AC236" s="56">
        <f>+(AC209+AC212)/AC222</f>
        <v>-2.3167117743819539</v>
      </c>
      <c r="AD236" s="56">
        <f>+(AD209+AD212)/AD222</f>
        <v>-2.4278464164353246</v>
      </c>
      <c r="AE236" s="56">
        <f>+(AE209+AE212)/AE222</f>
        <v>-2.6588260286992358</v>
      </c>
      <c r="AF236" s="56">
        <f>+(AF209+AF212)/AF222</f>
        <v>-3.1031018566596287</v>
      </c>
      <c r="AG236" s="54"/>
      <c r="AH236" s="56">
        <f>+(AH209+AH212)/AH222</f>
        <v>-3.7346163817937281</v>
      </c>
      <c r="AI236" s="56">
        <f>+(AI209+AI212)/AI222</f>
        <v>-4.5229033917023722</v>
      </c>
      <c r="AJ236" s="56">
        <f>+(AJ209+AJ212)/AJ222</f>
        <v>-6.4957718511518179</v>
      </c>
      <c r="AK236" s="56">
        <f>+(AK209+AK212)/AK222</f>
        <v>-14.21506150085324</v>
      </c>
      <c r="AL236" s="54"/>
      <c r="AM236" s="56">
        <f>+(AM209+AM212)/AM222</f>
        <v>77.045317029829874</v>
      </c>
      <c r="AN236" s="56">
        <f>+(AN209+AN212)/AN222</f>
        <v>11.295352703768666</v>
      </c>
      <c r="AO236" s="56">
        <f>+(AO209+AO212)/AO222</f>
        <v>5.2403119772716868</v>
      </c>
      <c r="AP236" s="56">
        <f>+(AP209+AP212)/AP222</f>
        <v>3.1402052898138626</v>
      </c>
      <c r="AQ236" s="54"/>
    </row>
    <row r="237" spans="1:43" s="43" customFormat="1" outlineLevel="1" x14ac:dyDescent="0.25">
      <c r="A237" s="307"/>
      <c r="B237" s="408" t="s">
        <v>236</v>
      </c>
      <c r="C237" s="395"/>
      <c r="D237" s="56">
        <f>+D209/(D209+D212)</f>
        <v>0</v>
      </c>
      <c r="E237" s="56">
        <f>+E209/(E209+E212)</f>
        <v>8.1375793413985785E-3</v>
      </c>
      <c r="F237" s="285">
        <f>+F209/(F209+F212)</f>
        <v>0</v>
      </c>
      <c r="G237" s="285">
        <f>+G209/(G209+G212)</f>
        <v>0</v>
      </c>
      <c r="H237" s="311"/>
      <c r="I237" s="285">
        <f>+I209/(I209+I212)</f>
        <v>8.5546532987690757E-2</v>
      </c>
      <c r="J237" s="285">
        <f>+J209/(J209+J212)</f>
        <v>0.16813887778982817</v>
      </c>
      <c r="K237" s="285">
        <f>+K209/(K209+K212)</f>
        <v>0.12987992894360045</v>
      </c>
      <c r="L237" s="56">
        <f>+L209/(L209+L212)</f>
        <v>0.10329514383758555</v>
      </c>
      <c r="M237" s="54"/>
      <c r="N237" s="56">
        <f>+N209/(N209+N212)</f>
        <v>7.8071889470410452E-2</v>
      </c>
      <c r="O237" s="56">
        <f>+O209/(O209+O212)</f>
        <v>1.2492661414742708E-3</v>
      </c>
      <c r="P237" s="56">
        <f>+P209/(P209+P212)</f>
        <v>6.8333093904132544E-2</v>
      </c>
      <c r="Q237" s="56">
        <f>+Q209/(Q209+Q212)</f>
        <v>5.2122410061177189E-2</v>
      </c>
      <c r="R237" s="54"/>
      <c r="S237" s="56">
        <f t="shared" ref="S237:AA237" si="819">+S209/(S209+S212)</f>
        <v>9.0055595214917697E-2</v>
      </c>
      <c r="T237" s="56">
        <f t="shared" si="819"/>
        <v>5.6021424136563913E-2</v>
      </c>
      <c r="U237" s="56">
        <f t="shared" si="819"/>
        <v>1.9418607361820179E-2</v>
      </c>
      <c r="V237" s="56">
        <f t="shared" si="819"/>
        <v>-7.9244954077477032E-6</v>
      </c>
      <c r="W237" s="54">
        <f t="shared" si="819"/>
        <v>-7.9244954077477032E-6</v>
      </c>
      <c r="X237" s="56">
        <f t="shared" si="819"/>
        <v>6.0626884736965508E-2</v>
      </c>
      <c r="Y237" s="56">
        <f t="shared" si="819"/>
        <v>4.1248937627381577E-2</v>
      </c>
      <c r="Z237" s="56">
        <f t="shared" si="819"/>
        <v>2.1054671373566664E-2</v>
      </c>
      <c r="AA237" s="56">
        <f t="shared" si="819"/>
        <v>-8.6065185771625215E-6</v>
      </c>
      <c r="AB237" s="54"/>
      <c r="AC237" s="56">
        <f>+AC209/(AC209+AC212)</f>
        <v>0.10277759275294744</v>
      </c>
      <c r="AD237" s="56">
        <f>+AD209/(AD209+AD212)</f>
        <v>7.0949052786463129E-2</v>
      </c>
      <c r="AE237" s="56">
        <f>+AE209/(AE209+AE212)</f>
        <v>3.6779252973565657E-2</v>
      </c>
      <c r="AF237" s="56">
        <f>+AF209/(AF209+AF212)</f>
        <v>0</v>
      </c>
      <c r="AG237" s="54"/>
      <c r="AH237" s="56">
        <f>+AH209/(AH209+AH212)</f>
        <v>9.5760980592441272E-2</v>
      </c>
      <c r="AI237" s="56">
        <f>+AI209/(AI209+AI212)</f>
        <v>6.594566077552097E-2</v>
      </c>
      <c r="AJ237" s="56">
        <f>+AJ209/(AJ209+AJ212)</f>
        <v>3.4097108565193671E-2</v>
      </c>
      <c r="AK237" s="56">
        <f>+AK209/(AK209+AK212)</f>
        <v>0</v>
      </c>
      <c r="AL237" s="54"/>
      <c r="AM237" s="56">
        <f>+AM209/(AM209+AM212)</f>
        <v>0.10977751756440281</v>
      </c>
      <c r="AN237" s="56">
        <f>+AN209/(AN209+AN212)</f>
        <v>7.5964752354907322E-2</v>
      </c>
      <c r="AO237" s="56">
        <f>+AO209/(AO209+AO212)</f>
        <v>3.9481996209728365E-2</v>
      </c>
      <c r="AP237" s="56">
        <f>+AP209/(AP209+AP212)</f>
        <v>0</v>
      </c>
      <c r="AQ237" s="54"/>
    </row>
    <row r="238" spans="1:43" s="43" customFormat="1" outlineLevel="1" x14ac:dyDescent="0.25">
      <c r="A238" s="307"/>
      <c r="B238" s="394" t="s">
        <v>230</v>
      </c>
      <c r="C238" s="395"/>
      <c r="D238" s="56">
        <f>+D197/(D208+D214)</f>
        <v>7.7585075018799465E-2</v>
      </c>
      <c r="E238" s="56">
        <f>+E197/(E208+E214)</f>
        <v>0.12468259571674534</v>
      </c>
      <c r="F238" s="277">
        <f t="shared" ref="F238:K238" si="820">+F197/(F208+F214)</f>
        <v>0.19119242713361023</v>
      </c>
      <c r="G238" s="277">
        <f t="shared" si="820"/>
        <v>0.22035590386103276</v>
      </c>
      <c r="H238" s="306">
        <f t="shared" si="820"/>
        <v>0.22035590386103276</v>
      </c>
      <c r="I238" s="305">
        <f t="shared" si="820"/>
        <v>0.20507171706404201</v>
      </c>
      <c r="J238" s="305">
        <f t="shared" si="820"/>
        <v>0.21050752296288999</v>
      </c>
      <c r="K238" s="277">
        <f t="shared" si="820"/>
        <v>0.2146584586535733</v>
      </c>
      <c r="L238" s="277">
        <f t="shared" ref="L238" si="821">+L197/(L208+L214)</f>
        <v>0.22220980757293607</v>
      </c>
      <c r="M238" s="79"/>
      <c r="N238" s="305">
        <f t="shared" ref="N238:P238" si="822">+N197/(N208+N214)</f>
        <v>0.21164495979407008</v>
      </c>
      <c r="O238" s="305">
        <f t="shared" si="822"/>
        <v>0.21706605185058006</v>
      </c>
      <c r="P238" s="277">
        <f t="shared" si="822"/>
        <v>0.22796408734312845</v>
      </c>
      <c r="Q238" s="65">
        <f>AVERAGE(L238,N238,O238,P238)</f>
        <v>0.21972122664017865</v>
      </c>
      <c r="R238" s="79"/>
      <c r="S238" s="51">
        <f>AVERAGE(N238,O238,P238,Q238)</f>
        <v>0.2190990814069893</v>
      </c>
      <c r="T238" s="51">
        <f>AVERAGE(O238,P238,Q238,S238)</f>
        <v>0.22096261181021912</v>
      </c>
      <c r="U238" s="65">
        <f>AVERAGE(P238,Q238,S238,T238)</f>
        <v>0.2219367518001289</v>
      </c>
      <c r="V238" s="65">
        <f>AVERAGE(Q238,S238,T238,U238)</f>
        <v>0.22042991791437899</v>
      </c>
      <c r="W238" s="79"/>
      <c r="X238" s="51">
        <f>AVERAGE(S238,T238,U238,V238)</f>
        <v>0.22060709073292906</v>
      </c>
      <c r="Y238" s="51">
        <f>AVERAGE(T238,U238,V238,X238)</f>
        <v>0.22098409306441399</v>
      </c>
      <c r="Z238" s="65">
        <f>AVERAGE(U238,V238,X238,Y238)</f>
        <v>0.22098946337796274</v>
      </c>
      <c r="AA238" s="161">
        <f>AVERAGE(V238,X238,Y238,Z238)</f>
        <v>0.2207526412724212</v>
      </c>
      <c r="AB238" s="54"/>
      <c r="AC238" s="51">
        <f>AVERAGE(X238,Y238,Z238,AA238)</f>
        <v>0.22083332211193177</v>
      </c>
      <c r="AD238" s="51">
        <f>AVERAGE(Y238,Z238,AA238,AC238)</f>
        <v>0.22088987995668241</v>
      </c>
      <c r="AE238" s="65">
        <f>AVERAGE(Z238,AA238,AC238,AD238)</f>
        <v>0.22086632667974954</v>
      </c>
      <c r="AF238" s="161">
        <f>AVERAGE(AA238,AC238,AD238,AE238)</f>
        <v>0.22083554250519621</v>
      </c>
      <c r="AG238" s="54"/>
      <c r="AH238" s="51">
        <f>AVERAGE(AC238,AD238,AE238,AF238)</f>
        <v>0.22085626781338996</v>
      </c>
      <c r="AI238" s="51">
        <f>AVERAGE(AD238,AE238,AF238,AH238)</f>
        <v>0.22086200423875454</v>
      </c>
      <c r="AJ238" s="65">
        <f>AVERAGE(AE238,AF238,AH238,AI238)</f>
        <v>0.22085503530927258</v>
      </c>
      <c r="AK238" s="161">
        <f>AVERAGE(AF238,AH238,AI238,AJ238)</f>
        <v>0.22085221246665332</v>
      </c>
      <c r="AL238" s="54"/>
      <c r="AM238" s="51">
        <f>AVERAGE(AH238,AI238,AJ238,AK238)</f>
        <v>0.2208563799570176</v>
      </c>
      <c r="AN238" s="51">
        <f>AVERAGE(AI238,AJ238,AK238,AM238)</f>
        <v>0.2208564079929245</v>
      </c>
      <c r="AO238" s="65">
        <f>AVERAGE(AJ238,AK238,AM238,AN238)</f>
        <v>0.22085500893146701</v>
      </c>
      <c r="AP238" s="161">
        <f>AVERAGE(AK238,AM238,AN238,AO238)</f>
        <v>0.2208550023370156</v>
      </c>
      <c r="AQ238" s="54"/>
    </row>
    <row r="239" spans="1:43" outlineLevel="1" x14ac:dyDescent="0.25">
      <c r="A239" s="254"/>
      <c r="B239" s="399" t="s">
        <v>70</v>
      </c>
      <c r="C239" s="400"/>
      <c r="D239" s="235"/>
      <c r="E239" s="235">
        <f>+E245/((E195+D195)/2)</f>
        <v>6.122482504846076E-2</v>
      </c>
      <c r="F239" s="312">
        <f t="shared" ref="F239:H239" si="823">+F245/((F195+E195)/2)</f>
        <v>5.8442138063667992E-2</v>
      </c>
      <c r="G239" s="312">
        <f t="shared" si="823"/>
        <v>5.7957922263164152E-2</v>
      </c>
      <c r="H239" s="313">
        <f t="shared" si="823"/>
        <v>0.2253370026587061</v>
      </c>
      <c r="I239" s="314">
        <f>+I245/((I195+G195)/2)</f>
        <v>5.75858250276855E-2</v>
      </c>
      <c r="J239" s="314">
        <f>+J245/((J195+I195)/2)</f>
        <v>5.9117695395957084E-2</v>
      </c>
      <c r="K239" s="312">
        <f>+K245/((K195+J195)/2)</f>
        <v>5.9467301657388859E-2</v>
      </c>
      <c r="L239" s="312">
        <f t="shared" ref="L239" si="824">+L245/((L195+K195)/2)</f>
        <v>6.0492940894950963E-2</v>
      </c>
      <c r="M239" s="104"/>
      <c r="N239" s="314">
        <f>+N245/((N195+L195)/2)</f>
        <v>6.2547808652661588E-2</v>
      </c>
      <c r="O239" s="314">
        <f>+O245/((O195+N195)/2)</f>
        <v>6.251524266319812E-2</v>
      </c>
      <c r="P239" s="312">
        <f>+P245/((P195+O195)/2)</f>
        <v>6.0825288199111989E-2</v>
      </c>
      <c r="Q239" s="149">
        <f>AVERAGE(L239,N239,O239,P239)</f>
        <v>6.1595320102480658E-2</v>
      </c>
      <c r="R239" s="104"/>
      <c r="S239" s="150">
        <f>AVERAGE(N239,O239,P239,Q239)</f>
        <v>6.1870914904363083E-2</v>
      </c>
      <c r="T239" s="150">
        <f>AVERAGE(O239,P239,Q239,S239)</f>
        <v>6.1701691467288461E-2</v>
      </c>
      <c r="U239" s="149">
        <f>AVERAGE(P239,Q239,S239,T239)</f>
        <v>6.149830366831105E-2</v>
      </c>
      <c r="V239" s="149">
        <f>AVERAGE(Q239,S239,T239,U239)</f>
        <v>6.1666557535610816E-2</v>
      </c>
      <c r="W239" s="104"/>
      <c r="X239" s="150">
        <f>AVERAGE(S239,T239,U239,V239)</f>
        <v>6.1684366893893353E-2</v>
      </c>
      <c r="Y239" s="150">
        <f>AVERAGE(T239,U239,V239,X239)</f>
        <v>6.1637729891275916E-2</v>
      </c>
      <c r="Z239" s="149">
        <f>AVERAGE(U239,V239,X239,Y239)</f>
        <v>6.1621739497272787E-2</v>
      </c>
      <c r="AA239" s="149">
        <f>AVERAGE(V239,X239,Y239,Z239)</f>
        <v>6.1652598454513222E-2</v>
      </c>
      <c r="AB239" s="236"/>
      <c r="AC239" s="150">
        <f>AVERAGE(X239,Y239,Z239,AA239)</f>
        <v>6.1649108684238813E-2</v>
      </c>
      <c r="AD239" s="150">
        <f>AVERAGE(Y239,Z239,AA239,AC239)</f>
        <v>6.1640294131825181E-2</v>
      </c>
      <c r="AE239" s="149">
        <f>AVERAGE(Z239,AA239,AC239,AD239)</f>
        <v>6.1640935191962502E-2</v>
      </c>
      <c r="AF239" s="149">
        <f>AVERAGE(AA239,AC239,AD239,AE239)</f>
        <v>6.1645734115634933E-2</v>
      </c>
      <c r="AG239" s="236"/>
      <c r="AH239" s="150">
        <f>AVERAGE(AC239,AD239,AE239,AF239)</f>
        <v>6.1644018030915355E-2</v>
      </c>
      <c r="AI239" s="150">
        <f>AVERAGE(AD239,AE239,AF239,AH239)</f>
        <v>6.1642745367584489E-2</v>
      </c>
      <c r="AJ239" s="149">
        <f>AVERAGE(AE239,AF239,AH239,AI239)</f>
        <v>6.1643358176524318E-2</v>
      </c>
      <c r="AK239" s="149">
        <f>AVERAGE(AF239,AH239,AI239,AJ239)</f>
        <v>6.1643963922664774E-2</v>
      </c>
      <c r="AL239" s="236"/>
      <c r="AM239" s="150">
        <f>AVERAGE(AH239,AI239,AJ239,AK239)</f>
        <v>6.1643521374422229E-2</v>
      </c>
      <c r="AN239" s="150">
        <f>AVERAGE(AI239,AJ239,AK239,AM239)</f>
        <v>6.1643397210298954E-2</v>
      </c>
      <c r="AO239" s="149">
        <f>AVERAGE(AJ239,AK239,AM239,AN239)</f>
        <v>6.1643560170977572E-2</v>
      </c>
      <c r="AP239" s="149">
        <f>AVERAGE(AK239,AM239,AN239,AO239)</f>
        <v>6.1643610669590884E-2</v>
      </c>
      <c r="AQ239" s="236"/>
    </row>
    <row r="240" spans="1:43" x14ac:dyDescent="0.25">
      <c r="A240" s="254"/>
      <c r="B240" s="19"/>
      <c r="C240" s="19"/>
      <c r="D240" s="13"/>
      <c r="E240" s="13"/>
      <c r="F240" s="13"/>
      <c r="G240" s="13"/>
    </row>
    <row r="241" spans="1:43" ht="15.75" x14ac:dyDescent="0.25">
      <c r="A241" s="254"/>
      <c r="B241" s="565" t="s">
        <v>118</v>
      </c>
      <c r="C241" s="566"/>
      <c r="D241" s="31" t="s">
        <v>106</v>
      </c>
      <c r="E241" s="31" t="s">
        <v>244</v>
      </c>
      <c r="F241" s="31" t="s">
        <v>246</v>
      </c>
      <c r="G241" s="31" t="s">
        <v>337</v>
      </c>
      <c r="H241" s="85" t="s">
        <v>337</v>
      </c>
      <c r="I241" s="31" t="s">
        <v>336</v>
      </c>
      <c r="J241" s="31" t="s">
        <v>335</v>
      </c>
      <c r="K241" s="31" t="s">
        <v>334</v>
      </c>
      <c r="L241" s="31" t="s">
        <v>321</v>
      </c>
      <c r="M241" s="85" t="s">
        <v>321</v>
      </c>
      <c r="N241" s="31" t="s">
        <v>338</v>
      </c>
      <c r="O241" s="31" t="s">
        <v>346</v>
      </c>
      <c r="P241" s="31" t="s">
        <v>348</v>
      </c>
      <c r="Q241" s="33" t="s">
        <v>120</v>
      </c>
      <c r="R241" s="88" t="s">
        <v>120</v>
      </c>
      <c r="S241" s="33" t="s">
        <v>121</v>
      </c>
      <c r="T241" s="33" t="s">
        <v>122</v>
      </c>
      <c r="U241" s="33" t="s">
        <v>123</v>
      </c>
      <c r="V241" s="33" t="s">
        <v>124</v>
      </c>
      <c r="W241" s="88" t="s">
        <v>124</v>
      </c>
      <c r="X241" s="33" t="s">
        <v>125</v>
      </c>
      <c r="Y241" s="33" t="s">
        <v>126</v>
      </c>
      <c r="Z241" s="33" t="s">
        <v>127</v>
      </c>
      <c r="AA241" s="33" t="s">
        <v>128</v>
      </c>
      <c r="AB241" s="88" t="s">
        <v>128</v>
      </c>
      <c r="AC241" s="33" t="s">
        <v>248</v>
      </c>
      <c r="AD241" s="33" t="s">
        <v>249</v>
      </c>
      <c r="AE241" s="33" t="s">
        <v>250</v>
      </c>
      <c r="AF241" s="33" t="s">
        <v>251</v>
      </c>
      <c r="AG241" s="88" t="s">
        <v>251</v>
      </c>
      <c r="AH241" s="33" t="s">
        <v>281</v>
      </c>
      <c r="AI241" s="33" t="s">
        <v>282</v>
      </c>
      <c r="AJ241" s="33" t="s">
        <v>283</v>
      </c>
      <c r="AK241" s="33" t="s">
        <v>284</v>
      </c>
      <c r="AL241" s="88" t="s">
        <v>284</v>
      </c>
      <c r="AM241" s="33" t="s">
        <v>352</v>
      </c>
      <c r="AN241" s="33" t="s">
        <v>353</v>
      </c>
      <c r="AO241" s="33" t="s">
        <v>354</v>
      </c>
      <c r="AP241" s="33" t="s">
        <v>355</v>
      </c>
      <c r="AQ241" s="88" t="s">
        <v>355</v>
      </c>
    </row>
    <row r="242" spans="1:43" ht="17.25" x14ac:dyDescent="0.4">
      <c r="A242" s="254"/>
      <c r="B242" s="392" t="s">
        <v>3</v>
      </c>
      <c r="C242" s="393"/>
      <c r="D242" s="32" t="s">
        <v>119</v>
      </c>
      <c r="E242" s="32" t="s">
        <v>243</v>
      </c>
      <c r="F242" s="32" t="s">
        <v>247</v>
      </c>
      <c r="G242" s="32" t="s">
        <v>257</v>
      </c>
      <c r="H242" s="86" t="s">
        <v>258</v>
      </c>
      <c r="I242" s="32" t="s">
        <v>259</v>
      </c>
      <c r="J242" s="32" t="s">
        <v>260</v>
      </c>
      <c r="K242" s="32" t="s">
        <v>261</v>
      </c>
      <c r="L242" s="32" t="s">
        <v>322</v>
      </c>
      <c r="M242" s="86" t="s">
        <v>333</v>
      </c>
      <c r="N242" s="32" t="s">
        <v>339</v>
      </c>
      <c r="O242" s="32" t="s">
        <v>347</v>
      </c>
      <c r="P242" s="32" t="s">
        <v>349</v>
      </c>
      <c r="Q242" s="30" t="s">
        <v>129</v>
      </c>
      <c r="R242" s="89" t="s">
        <v>130</v>
      </c>
      <c r="S242" s="30" t="s">
        <v>131</v>
      </c>
      <c r="T242" s="30" t="s">
        <v>132</v>
      </c>
      <c r="U242" s="30" t="s">
        <v>133</v>
      </c>
      <c r="V242" s="30" t="s">
        <v>134</v>
      </c>
      <c r="W242" s="89" t="s">
        <v>135</v>
      </c>
      <c r="X242" s="30" t="s">
        <v>136</v>
      </c>
      <c r="Y242" s="30" t="s">
        <v>137</v>
      </c>
      <c r="Z242" s="30" t="s">
        <v>138</v>
      </c>
      <c r="AA242" s="30" t="s">
        <v>139</v>
      </c>
      <c r="AB242" s="89" t="s">
        <v>140</v>
      </c>
      <c r="AC242" s="30" t="s">
        <v>252</v>
      </c>
      <c r="AD242" s="30" t="s">
        <v>253</v>
      </c>
      <c r="AE242" s="30" t="s">
        <v>254</v>
      </c>
      <c r="AF242" s="30" t="s">
        <v>255</v>
      </c>
      <c r="AG242" s="89" t="s">
        <v>256</v>
      </c>
      <c r="AH242" s="30" t="s">
        <v>285</v>
      </c>
      <c r="AI242" s="30" t="s">
        <v>286</v>
      </c>
      <c r="AJ242" s="30" t="s">
        <v>287</v>
      </c>
      <c r="AK242" s="30" t="s">
        <v>288</v>
      </c>
      <c r="AL242" s="89" t="s">
        <v>289</v>
      </c>
      <c r="AM242" s="30" t="s">
        <v>356</v>
      </c>
      <c r="AN242" s="30" t="s">
        <v>357</v>
      </c>
      <c r="AO242" s="30" t="s">
        <v>358</v>
      </c>
      <c r="AP242" s="30" t="s">
        <v>359</v>
      </c>
      <c r="AQ242" s="89" t="s">
        <v>360</v>
      </c>
    </row>
    <row r="243" spans="1:43" outlineLevel="1" x14ac:dyDescent="0.25">
      <c r="A243" s="254"/>
      <c r="B243" s="589" t="s">
        <v>11</v>
      </c>
      <c r="C243" s="590"/>
      <c r="D243" s="13"/>
      <c r="E243" s="13"/>
      <c r="F243" s="13"/>
      <c r="G243" s="13"/>
      <c r="H243" s="15"/>
      <c r="I243" s="13"/>
      <c r="J243" s="13"/>
      <c r="K243" s="302"/>
      <c r="L243" s="13"/>
      <c r="M243" s="15"/>
      <c r="N243" s="13"/>
      <c r="O243" s="13"/>
      <c r="P243" s="13"/>
      <c r="Q243" s="13"/>
      <c r="R243" s="15"/>
      <c r="S243" s="13"/>
      <c r="T243" s="13"/>
      <c r="U243" s="13"/>
      <c r="V243" s="13"/>
      <c r="W243" s="15"/>
      <c r="X243" s="13"/>
      <c r="Y243" s="13"/>
      <c r="Z243" s="13"/>
      <c r="AA243" s="13"/>
      <c r="AB243" s="15"/>
      <c r="AC243" s="13"/>
      <c r="AD243" s="13"/>
      <c r="AE243" s="13"/>
      <c r="AF243" s="13"/>
      <c r="AG243" s="15"/>
      <c r="AH243" s="13"/>
      <c r="AI243" s="13"/>
      <c r="AJ243" s="13"/>
      <c r="AK243" s="13"/>
      <c r="AL243" s="15"/>
      <c r="AM243" s="13"/>
      <c r="AN243" s="13"/>
      <c r="AO243" s="13"/>
      <c r="AP243" s="13"/>
      <c r="AQ243" s="15"/>
    </row>
    <row r="244" spans="1:43" outlineLevel="1" x14ac:dyDescent="0.25">
      <c r="A244" s="254"/>
      <c r="B244" s="57" t="s">
        <v>213</v>
      </c>
      <c r="C244" s="144"/>
      <c r="D244" s="34">
        <f>D33</f>
        <v>760.40000000000043</v>
      </c>
      <c r="E244" s="256">
        <f>E33-0.2</f>
        <v>658.59999999999968</v>
      </c>
      <c r="F244" s="34">
        <f>F33</f>
        <v>1373.200000000001</v>
      </c>
      <c r="G244" s="34">
        <f>G33+0.2</f>
        <v>802.400000000001</v>
      </c>
      <c r="H244" s="35">
        <f>H33</f>
        <v>3594.6000000000054</v>
      </c>
      <c r="I244" s="34">
        <f>I33</f>
        <v>885.29999999999882</v>
      </c>
      <c r="J244" s="34">
        <f>J33</f>
        <v>324.79999999999905</v>
      </c>
      <c r="K244" s="34">
        <f>K33</f>
        <v>-678.09999999999923</v>
      </c>
      <c r="L244" s="34">
        <f>924.7-K244-J244-I244</f>
        <v>392.70000000000141</v>
      </c>
      <c r="M244" s="35">
        <f t="shared" ref="M244:AL244" si="825">M33</f>
        <v>924.70000000000437</v>
      </c>
      <c r="N244" s="34">
        <f t="shared" si="825"/>
        <v>622.20000000000016</v>
      </c>
      <c r="O244" s="34">
        <f t="shared" si="825"/>
        <v>659.4</v>
      </c>
      <c r="P244" s="34">
        <f t="shared" si="825"/>
        <v>1154.1999999999989</v>
      </c>
      <c r="Q244" s="34">
        <f t="shared" si="825"/>
        <v>1160.9118361477947</v>
      </c>
      <c r="R244" s="35">
        <f t="shared" si="825"/>
        <v>3596.7118361477928</v>
      </c>
      <c r="S244" s="34">
        <f t="shared" si="825"/>
        <v>965.88504939989548</v>
      </c>
      <c r="T244" s="34">
        <f t="shared" si="825"/>
        <v>859.20711768442402</v>
      </c>
      <c r="U244" s="34">
        <f t="shared" si="825"/>
        <v>1121.0277470935366</v>
      </c>
      <c r="V244" s="34">
        <f t="shared" si="825"/>
        <v>1171.2570176681402</v>
      </c>
      <c r="W244" s="35">
        <f t="shared" si="825"/>
        <v>4117.3769318459954</v>
      </c>
      <c r="X244" s="34">
        <f t="shared" si="825"/>
        <v>1140.2866699045981</v>
      </c>
      <c r="Y244" s="34">
        <f t="shared" si="825"/>
        <v>1042.044931101588</v>
      </c>
      <c r="Z244" s="34">
        <f t="shared" si="825"/>
        <v>1172.4775243161985</v>
      </c>
      <c r="AA244" s="34">
        <f t="shared" si="825"/>
        <v>1307.8464757217289</v>
      </c>
      <c r="AB244" s="35">
        <f t="shared" si="825"/>
        <v>4662.6556010441145</v>
      </c>
      <c r="AC244" s="34">
        <f t="shared" si="825"/>
        <v>1254.9076206621635</v>
      </c>
      <c r="AD244" s="34">
        <f t="shared" si="825"/>
        <v>1156.1012043420976</v>
      </c>
      <c r="AE244" s="34">
        <f t="shared" si="825"/>
        <v>1298.0924983915481</v>
      </c>
      <c r="AF244" s="34">
        <f t="shared" si="825"/>
        <v>1450.8827601218838</v>
      </c>
      <c r="AG244" s="35">
        <f t="shared" si="825"/>
        <v>5159.9840835176919</v>
      </c>
      <c r="AH244" s="34">
        <f t="shared" si="825"/>
        <v>1397.2711056305247</v>
      </c>
      <c r="AI244" s="34">
        <f t="shared" si="825"/>
        <v>1290.392102565962</v>
      </c>
      <c r="AJ244" s="34">
        <f t="shared" si="825"/>
        <v>1437.5123296734873</v>
      </c>
      <c r="AK244" s="34">
        <f t="shared" si="825"/>
        <v>1600.7330738811397</v>
      </c>
      <c r="AL244" s="35">
        <f t="shared" si="825"/>
        <v>5725.9086117511206</v>
      </c>
      <c r="AM244" s="34">
        <f t="shared" ref="AM244:AQ244" si="826">AM33</f>
        <v>1547.4304966647892</v>
      </c>
      <c r="AN244" s="34">
        <f t="shared" si="826"/>
        <v>1432.8746939082039</v>
      </c>
      <c r="AO244" s="34">
        <f t="shared" si="826"/>
        <v>1585.1980497063892</v>
      </c>
      <c r="AP244" s="34">
        <f t="shared" si="826"/>
        <v>1758.7437401529414</v>
      </c>
      <c r="AQ244" s="35">
        <f t="shared" si="826"/>
        <v>6324.2469804323246</v>
      </c>
    </row>
    <row r="245" spans="1:43" outlineLevel="1" x14ac:dyDescent="0.25">
      <c r="A245" s="254"/>
      <c r="B245" s="57" t="s">
        <v>68</v>
      </c>
      <c r="C245" s="144"/>
      <c r="D245" s="34">
        <v>350.8</v>
      </c>
      <c r="E245" s="34">
        <f>723.5-D245</f>
        <v>372.7</v>
      </c>
      <c r="F245" s="34">
        <f>1083.6-E245-D245</f>
        <v>360.09999999999985</v>
      </c>
      <c r="G245" s="34">
        <f>1449.3-F245-E245-D245</f>
        <v>365.7</v>
      </c>
      <c r="H245" s="35">
        <f t="shared" ref="H245:H251" si="827">SUM(D245:G245)</f>
        <v>1449.3</v>
      </c>
      <c r="I245" s="34">
        <v>369.2</v>
      </c>
      <c r="J245" s="34">
        <f>746.9-I245</f>
        <v>377.7</v>
      </c>
      <c r="K245" s="34">
        <f>1124-J245-I245</f>
        <v>377.09999999999997</v>
      </c>
      <c r="L245" s="34">
        <f>1503.2-K245-J245-I245</f>
        <v>379.2000000000001</v>
      </c>
      <c r="M245" s="35">
        <f t="shared" ref="M245:M251" si="828">SUM(I245:L245)</f>
        <v>1503.2</v>
      </c>
      <c r="N245" s="34">
        <v>388.4</v>
      </c>
      <c r="O245" s="34">
        <f>772.9-N245</f>
        <v>384.5</v>
      </c>
      <c r="P245" s="34">
        <f>1146.2-O245-N245</f>
        <v>373.30000000000007</v>
      </c>
      <c r="Q245" s="34">
        <f>(P195*Q239)</f>
        <v>378.89745207839951</v>
      </c>
      <c r="R245" s="35">
        <f t="shared" ref="R245:R251" si="829">SUM(N245:Q245)</f>
        <v>1525.0974520783996</v>
      </c>
      <c r="S245" s="34">
        <f>(R195*S239)</f>
        <v>401.34440844386296</v>
      </c>
      <c r="T245" s="34">
        <f>(S195*T239)</f>
        <v>405.48447663667821</v>
      </c>
      <c r="U245" s="34">
        <f>(T195*U239)</f>
        <v>408.04477767416955</v>
      </c>
      <c r="V245" s="34">
        <f>(U195*V239)</f>
        <v>415.96061680875272</v>
      </c>
      <c r="W245" s="35">
        <f t="shared" ref="W245:W251" si="830">SUM(S245:V245)</f>
        <v>1630.8342795634635</v>
      </c>
      <c r="X245" s="34">
        <f>(W195*X239)</f>
        <v>421.71099114913051</v>
      </c>
      <c r="Y245" s="34">
        <f>(X195*Y239)</f>
        <v>425.14141493475938</v>
      </c>
      <c r="Z245" s="34">
        <f>(Y195*Z239)</f>
        <v>427.94027910401456</v>
      </c>
      <c r="AA245" s="34">
        <f>(Z195*AA239)</f>
        <v>433.85548268595232</v>
      </c>
      <c r="AB245" s="35">
        <f t="shared" ref="AB245:AB251" si="831">SUM(X245:AA245)</f>
        <v>1708.6481678738569</v>
      </c>
      <c r="AC245" s="34">
        <f>(AB195*AC239)</f>
        <v>438.19416752847195</v>
      </c>
      <c r="AD245" s="34">
        <f>(AC195*AD239)</f>
        <v>440.32012104041854</v>
      </c>
      <c r="AE245" s="34">
        <f>(AD195*AE239)</f>
        <v>441.86981925473481</v>
      </c>
      <c r="AF245" s="34">
        <f>(AE195*AF239)</f>
        <v>446.33756130044969</v>
      </c>
      <c r="AG245" s="35">
        <f t="shared" ref="AG245" si="832">SUM(AC245:AF245)</f>
        <v>1766.7216691240751</v>
      </c>
      <c r="AH245" s="34">
        <f>(AG195*AH239)</f>
        <v>451.29493878975853</v>
      </c>
      <c r="AI245" s="34">
        <f>(AH195*AI239)</f>
        <v>455.12475556482127</v>
      </c>
      <c r="AJ245" s="34">
        <f>(AI195*AJ239)</f>
        <v>458.1878972575189</v>
      </c>
      <c r="AK245" s="34">
        <f>(AJ195*AK239)</f>
        <v>464.28416388325968</v>
      </c>
      <c r="AL245" s="35">
        <f t="shared" ref="AL245" si="833">SUM(AH245:AK245)</f>
        <v>1828.8917554953584</v>
      </c>
      <c r="AM245" s="34">
        <f>(AL195*AM239)</f>
        <v>470.53297535026388</v>
      </c>
      <c r="AN245" s="34">
        <f>(AM195*AN239)</f>
        <v>475.78195263337182</v>
      </c>
      <c r="AO245" s="34">
        <f>(AN195*AO239)</f>
        <v>480.08584780475201</v>
      </c>
      <c r="AP245" s="34">
        <f>(AO195*AP239)</f>
        <v>487.51733288062297</v>
      </c>
      <c r="AQ245" s="35">
        <f t="shared" ref="AQ245" si="834">SUM(AM245:AP245)</f>
        <v>1913.9181086690107</v>
      </c>
    </row>
    <row r="246" spans="1:43" outlineLevel="1" x14ac:dyDescent="0.25">
      <c r="A246" s="254"/>
      <c r="B246" s="57" t="s">
        <v>214</v>
      </c>
      <c r="C246" s="144"/>
      <c r="D246" s="34">
        <v>-354.6</v>
      </c>
      <c r="E246" s="34">
        <f>-714.5-D246</f>
        <v>-359.9</v>
      </c>
      <c r="F246" s="34">
        <f>-1243.5-E246-D246</f>
        <v>-529</v>
      </c>
      <c r="G246" s="256">
        <f>-1495.4-F246-E246-D246</f>
        <v>-251.90000000000009</v>
      </c>
      <c r="H246" s="35">
        <f>SUM(D246:G246)</f>
        <v>-1495.4</v>
      </c>
      <c r="I246" s="34">
        <v>10.4</v>
      </c>
      <c r="J246" s="34">
        <f>47.7-I246</f>
        <v>37.300000000000004</v>
      </c>
      <c r="K246" s="34">
        <f>20-J246-I246</f>
        <v>-27.700000000000003</v>
      </c>
      <c r="L246" s="256">
        <f>-25.8-K246-J246-I246</f>
        <v>-45.800000000000004</v>
      </c>
      <c r="M246" s="35">
        <f>SUM(I246:L246)</f>
        <v>-25.800000000000004</v>
      </c>
      <c r="N246" s="34">
        <v>-6.1</v>
      </c>
      <c r="O246" s="34">
        <f>-25.2-N246</f>
        <v>-19.100000000000001</v>
      </c>
      <c r="P246" s="34">
        <f>-113.2-O246-N246</f>
        <v>-88</v>
      </c>
      <c r="Q246" s="34">
        <f>-(Q197-P197)</f>
        <v>76.212470265571937</v>
      </c>
      <c r="R246" s="35">
        <f>SUM(N246:Q246)</f>
        <v>-36.987529734428065</v>
      </c>
      <c r="S246" s="34">
        <f>-(S197-Q197)</f>
        <v>-95.265802337157993</v>
      </c>
      <c r="T246" s="34">
        <f>-(T197-S197)</f>
        <v>59.244144127964319</v>
      </c>
      <c r="U246" s="34">
        <f>-(U197-T197)</f>
        <v>1.6639888241684275</v>
      </c>
      <c r="V246" s="34">
        <f>-(V197-U197)</f>
        <v>21.802917148497727</v>
      </c>
      <c r="W246" s="35">
        <f>SUM(S246:V246)</f>
        <v>-12.55475223652752</v>
      </c>
      <c r="X246" s="34">
        <f>-(X197-V197)</f>
        <v>-111.36488202512805</v>
      </c>
      <c r="Y246" s="34">
        <f>-(Y197-X197)</f>
        <v>77.588069059065674</v>
      </c>
      <c r="Z246" s="34">
        <f>-(Z197-Y197)</f>
        <v>9.7983194048365476</v>
      </c>
      <c r="AA246" s="34">
        <f>-(AA197-Z197)</f>
        <v>11.708239869510635</v>
      </c>
      <c r="AB246" s="35">
        <f>SUM(X246:AA246)</f>
        <v>-12.270253691715197</v>
      </c>
      <c r="AC246" s="34">
        <f>-(AC197-AA197)</f>
        <v>-120.38923257904844</v>
      </c>
      <c r="AD246" s="34">
        <f>-(AD197-AC197)</f>
        <v>86.459897450060225</v>
      </c>
      <c r="AE246" s="34">
        <f>-(AE197-AD197)</f>
        <v>10.297607577189638</v>
      </c>
      <c r="AF246" s="34">
        <f>-(AF197-AE197)</f>
        <v>10.286727047628801</v>
      </c>
      <c r="AG246" s="35">
        <f>SUM(AC246:AF246)</f>
        <v>-13.345000504169775</v>
      </c>
      <c r="AH246" s="34">
        <f>-(AH197-AF197)</f>
        <v>-130.40124585861463</v>
      </c>
      <c r="AI246" s="34">
        <f>-(AI197-AH197)</f>
        <v>93.562197939615544</v>
      </c>
      <c r="AJ246" s="34">
        <f>-(AJ197-AI197)</f>
        <v>10.455712383027048</v>
      </c>
      <c r="AK246" s="34">
        <f>-(AK197-AJ197)</f>
        <v>10.349149279902804</v>
      </c>
      <c r="AL246" s="35">
        <f>SUM(AH246:AK246)</f>
        <v>-16.034186256069233</v>
      </c>
      <c r="AM246" s="34">
        <f>-(AM197-AK197)</f>
        <v>-141.61467853741419</v>
      </c>
      <c r="AN246" s="34">
        <f>-(AN197-AM197)</f>
        <v>100.8443991368365</v>
      </c>
      <c r="AO246" s="34">
        <f>-(AO197-AN197)</f>
        <v>10.738134978769722</v>
      </c>
      <c r="AP246" s="34">
        <f>-(AP197-AO197)</f>
        <v>10.650967705647872</v>
      </c>
      <c r="AQ246" s="35">
        <f>SUM(AM246:AP246)</f>
        <v>-19.381176716160098</v>
      </c>
    </row>
    <row r="247" spans="1:43" outlineLevel="1" x14ac:dyDescent="0.25">
      <c r="A247" s="254"/>
      <c r="B247" s="57" t="s">
        <v>215</v>
      </c>
      <c r="C247" s="144"/>
      <c r="D247" s="34">
        <v>-55</v>
      </c>
      <c r="E247" s="34">
        <f>-108.2-D247</f>
        <v>-53.2</v>
      </c>
      <c r="F247" s="34">
        <f>-174.1-E247-D247</f>
        <v>-65.899999999999991</v>
      </c>
      <c r="G247" s="256">
        <f>-250.6-F247-E247-D247</f>
        <v>-76.5</v>
      </c>
      <c r="H247" s="35">
        <f t="shared" si="827"/>
        <v>-250.6</v>
      </c>
      <c r="I247" s="34">
        <v>-62.9</v>
      </c>
      <c r="J247" s="34">
        <f>-116.3-I247</f>
        <v>-53.4</v>
      </c>
      <c r="K247" s="34">
        <f>-182.3-J247-I247</f>
        <v>-66</v>
      </c>
      <c r="L247" s="256">
        <f>-280.7-K247-J247-I247</f>
        <v>-98.399999999999977</v>
      </c>
      <c r="M247" s="35">
        <f t="shared" ref="M247:M250" si="835">SUM(I247:L247)</f>
        <v>-280.7</v>
      </c>
      <c r="N247" s="34">
        <v>-69</v>
      </c>
      <c r="O247" s="34">
        <f>-131.3-N247</f>
        <v>-62.300000000000011</v>
      </c>
      <c r="P247" s="34">
        <f>-238.3-O247-N247</f>
        <v>-107</v>
      </c>
      <c r="Q247" s="34">
        <f>-Q24</f>
        <v>-94.375</v>
      </c>
      <c r="R247" s="35">
        <f t="shared" ref="R247:R250" si="836">SUM(N247:Q247)</f>
        <v>-332.67500000000001</v>
      </c>
      <c r="S247" s="34">
        <f>-S24</f>
        <v>-89.918750000000003</v>
      </c>
      <c r="T247" s="34">
        <f>-T24</f>
        <v>-91.723437500000017</v>
      </c>
      <c r="U247" s="34">
        <f>-U24</f>
        <v>-95.379296874999994</v>
      </c>
      <c r="V247" s="34">
        <f>-V24</f>
        <v>-92.84912109375</v>
      </c>
      <c r="W247" s="35">
        <f t="shared" ref="W247:W250" si="837">SUM(S247:V247)</f>
        <v>-369.87060546875</v>
      </c>
      <c r="X247" s="34">
        <f>-X24</f>
        <v>-92.4676513671875</v>
      </c>
      <c r="Y247" s="34">
        <f>-Y24</f>
        <v>-93.104876708984364</v>
      </c>
      <c r="Z247" s="34">
        <f>-Z24</f>
        <v>-93.450236511230472</v>
      </c>
      <c r="AA247" s="34">
        <f>-AA24</f>
        <v>-92.96797142028808</v>
      </c>
      <c r="AB247" s="35">
        <f t="shared" ref="AB247:AB250" si="838">SUM(X247:AA247)</f>
        <v>-371.99073600769043</v>
      </c>
      <c r="AC247" s="34">
        <f>-AC24</f>
        <v>-92.997684001922607</v>
      </c>
      <c r="AD247" s="34">
        <f>-AD24</f>
        <v>-93.130192160606384</v>
      </c>
      <c r="AE247" s="34">
        <f>-AE24</f>
        <v>-93.136521023511875</v>
      </c>
      <c r="AF247" s="34">
        <f>-AF24</f>
        <v>-93.058092151582244</v>
      </c>
      <c r="AG247" s="35">
        <f t="shared" ref="AG247:AG251" si="839">SUM(AC247:AF247)</f>
        <v>-372.3224893376231</v>
      </c>
      <c r="AH247" s="34">
        <f>-AH24</f>
        <v>-93.080622334405774</v>
      </c>
      <c r="AI247" s="34">
        <f>-AI24</f>
        <v>-93.101356917526573</v>
      </c>
      <c r="AJ247" s="34">
        <f>-AJ24</f>
        <v>-93.09414810675662</v>
      </c>
      <c r="AK247" s="34">
        <f>-AK24</f>
        <v>-93.083554877567792</v>
      </c>
      <c r="AL247" s="35">
        <f t="shared" ref="AL247:AL251" si="840">SUM(AH247:AK247)</f>
        <v>-372.35968223625679</v>
      </c>
      <c r="AM247" s="34">
        <f>-AM24</f>
        <v>-93.089920559064197</v>
      </c>
      <c r="AN247" s="34">
        <f>-AN24</f>
        <v>-93.092245115228792</v>
      </c>
      <c r="AO247" s="34">
        <f>-AO24</f>
        <v>-93.089967164654354</v>
      </c>
      <c r="AP247" s="34">
        <f>-AP24</f>
        <v>-93.088921929128787</v>
      </c>
      <c r="AQ247" s="35">
        <f t="shared" ref="AQ247:AQ251" si="841">SUM(AM247:AP247)</f>
        <v>-372.36105476807614</v>
      </c>
    </row>
    <row r="248" spans="1:43" outlineLevel="1" x14ac:dyDescent="0.25">
      <c r="A248" s="254"/>
      <c r="B248" s="57" t="s">
        <v>216</v>
      </c>
      <c r="C248" s="144"/>
      <c r="D248" s="34">
        <v>63.7</v>
      </c>
      <c r="E248" s="34">
        <f>93.3-D248</f>
        <v>29.599999999999994</v>
      </c>
      <c r="F248" s="34">
        <f>163.7-E248-D248</f>
        <v>70.399999999999991</v>
      </c>
      <c r="G248" s="256">
        <f>216.8-F248-E248-D248</f>
        <v>53.100000000000037</v>
      </c>
      <c r="H248" s="35">
        <f t="shared" si="827"/>
        <v>216.8</v>
      </c>
      <c r="I248" s="34">
        <v>64.3</v>
      </c>
      <c r="J248" s="34">
        <f>98.1-I248</f>
        <v>33.799999999999997</v>
      </c>
      <c r="K248" s="34">
        <f>165.6-J248-I248</f>
        <v>67.500000000000014</v>
      </c>
      <c r="L248" s="256">
        <f>227.7-K248-J248-I248</f>
        <v>62.099999999999994</v>
      </c>
      <c r="M248" s="35">
        <f t="shared" si="835"/>
        <v>227.70000000000002</v>
      </c>
      <c r="N248" s="34">
        <v>77.2</v>
      </c>
      <c r="O248" s="34">
        <f>130.2-N248</f>
        <v>52.999999999999986</v>
      </c>
      <c r="P248" s="34">
        <f>226.7-O248-N248</f>
        <v>96.499999999999986</v>
      </c>
      <c r="Q248" s="34">
        <f>-Q292*Q247</f>
        <v>94.375</v>
      </c>
      <c r="R248" s="35">
        <f t="shared" si="836"/>
        <v>321.07499999999999</v>
      </c>
      <c r="S248" s="34">
        <f>-S292*S247</f>
        <v>89.918750000000003</v>
      </c>
      <c r="T248" s="34">
        <f>-T292*T247</f>
        <v>91.723437500000017</v>
      </c>
      <c r="U248" s="34">
        <f>-U292*U247</f>
        <v>95.379296874999994</v>
      </c>
      <c r="V248" s="34">
        <f>-V292*V247</f>
        <v>92.84912109375</v>
      </c>
      <c r="W248" s="35">
        <f t="shared" si="837"/>
        <v>369.87060546875</v>
      </c>
      <c r="X248" s="34">
        <f>-X292*X247</f>
        <v>92.4676513671875</v>
      </c>
      <c r="Y248" s="34">
        <f>-Y292*Y247</f>
        <v>93.104876708984364</v>
      </c>
      <c r="Z248" s="34">
        <f>-Z292*Z247</f>
        <v>93.450236511230472</v>
      </c>
      <c r="AA248" s="34">
        <f>-AA292*AA247</f>
        <v>92.96797142028808</v>
      </c>
      <c r="AB248" s="35">
        <f t="shared" si="838"/>
        <v>371.99073600769043</v>
      </c>
      <c r="AC248" s="34">
        <f>-AC292*AC247</f>
        <v>92.997684001922607</v>
      </c>
      <c r="AD248" s="34">
        <f>-AD292*AD247</f>
        <v>93.130192160606384</v>
      </c>
      <c r="AE248" s="34">
        <f>-AE292*AE247</f>
        <v>93.136521023511875</v>
      </c>
      <c r="AF248" s="34">
        <f>-AF292*AF247</f>
        <v>93.058092151582244</v>
      </c>
      <c r="AG248" s="35">
        <f t="shared" si="839"/>
        <v>372.3224893376231</v>
      </c>
      <c r="AH248" s="34">
        <f>-AH292*AH247</f>
        <v>93.080622334405774</v>
      </c>
      <c r="AI248" s="34">
        <f>-AI292*AI247</f>
        <v>93.101356917526573</v>
      </c>
      <c r="AJ248" s="34">
        <f>-AJ292*AJ247</f>
        <v>93.09414810675662</v>
      </c>
      <c r="AK248" s="34">
        <f>-AK292*AK247</f>
        <v>93.083554877567792</v>
      </c>
      <c r="AL248" s="35">
        <f t="shared" si="840"/>
        <v>372.35968223625679</v>
      </c>
      <c r="AM248" s="34">
        <f>-AM292*AM247</f>
        <v>93.089920559064197</v>
      </c>
      <c r="AN248" s="34">
        <f>-AN292*AN247</f>
        <v>93.092245115228792</v>
      </c>
      <c r="AO248" s="34">
        <f>-AO292*AO247</f>
        <v>93.089967164654354</v>
      </c>
      <c r="AP248" s="34">
        <f>-AP292*AP247</f>
        <v>93.088921929128787</v>
      </c>
      <c r="AQ248" s="35">
        <f t="shared" si="841"/>
        <v>372.36105476807614</v>
      </c>
    </row>
    <row r="249" spans="1:43" outlineLevel="1" x14ac:dyDescent="0.25">
      <c r="A249" s="254"/>
      <c r="B249" s="57" t="s">
        <v>222</v>
      </c>
      <c r="C249" s="144"/>
      <c r="D249" s="34">
        <v>0</v>
      </c>
      <c r="E249" s="34">
        <f>-21-D249</f>
        <v>-21</v>
      </c>
      <c r="F249" s="34">
        <f>-622.8-E249-D249</f>
        <v>-601.79999999999995</v>
      </c>
      <c r="G249" s="256">
        <f>-622.8-F249-E249-D249</f>
        <v>0</v>
      </c>
      <c r="H249" s="35">
        <f t="shared" si="827"/>
        <v>-622.79999999999995</v>
      </c>
      <c r="I249" s="34">
        <v>0</v>
      </c>
      <c r="J249" s="34">
        <f t="shared" ref="J249" si="842">0-I249</f>
        <v>0</v>
      </c>
      <c r="K249" s="34">
        <f t="shared" ref="K249" si="843">0-J249-I249</f>
        <v>0</v>
      </c>
      <c r="L249" s="256">
        <f t="shared" ref="L249" si="844">0-K249-J249-I249</f>
        <v>0</v>
      </c>
      <c r="M249" s="35">
        <f t="shared" si="835"/>
        <v>0</v>
      </c>
      <c r="N249" s="34">
        <f>N28</f>
        <v>0</v>
      </c>
      <c r="O249" s="34">
        <f t="shared" ref="O249" si="845">0-N249</f>
        <v>0</v>
      </c>
      <c r="P249" s="34">
        <f t="shared" ref="P249" si="846">0-O249-N249</f>
        <v>0</v>
      </c>
      <c r="Q249" s="34">
        <f>Q28</f>
        <v>0</v>
      </c>
      <c r="R249" s="35">
        <f t="shared" si="836"/>
        <v>0</v>
      </c>
      <c r="S249" s="34">
        <f>S28</f>
        <v>0</v>
      </c>
      <c r="T249" s="34">
        <f>T28</f>
        <v>0</v>
      </c>
      <c r="U249" s="34">
        <f>U28</f>
        <v>0</v>
      </c>
      <c r="V249" s="34">
        <f>V28</f>
        <v>0</v>
      </c>
      <c r="W249" s="35">
        <f t="shared" si="837"/>
        <v>0</v>
      </c>
      <c r="X249" s="34">
        <f>X28</f>
        <v>0</v>
      </c>
      <c r="Y249" s="34">
        <f>Y28</f>
        <v>0</v>
      </c>
      <c r="Z249" s="34">
        <f>Z28</f>
        <v>0</v>
      </c>
      <c r="AA249" s="34">
        <f>AA28</f>
        <v>0</v>
      </c>
      <c r="AB249" s="35">
        <f t="shared" si="838"/>
        <v>0</v>
      </c>
      <c r="AC249" s="34">
        <f>AC28</f>
        <v>0</v>
      </c>
      <c r="AD249" s="34">
        <f>AD28</f>
        <v>0</v>
      </c>
      <c r="AE249" s="34">
        <f>AE28</f>
        <v>0</v>
      </c>
      <c r="AF249" s="34">
        <f>AF28</f>
        <v>0</v>
      </c>
      <c r="AG249" s="35">
        <f t="shared" si="839"/>
        <v>0</v>
      </c>
      <c r="AH249" s="34">
        <f>AH28</f>
        <v>0</v>
      </c>
      <c r="AI249" s="34">
        <f>AI28</f>
        <v>0</v>
      </c>
      <c r="AJ249" s="34">
        <f>AJ28</f>
        <v>0</v>
      </c>
      <c r="AK249" s="34">
        <f>AK28</f>
        <v>0</v>
      </c>
      <c r="AL249" s="35">
        <f t="shared" si="840"/>
        <v>0</v>
      </c>
      <c r="AM249" s="34">
        <f>AM28</f>
        <v>0</v>
      </c>
      <c r="AN249" s="34">
        <f>AN28</f>
        <v>0</v>
      </c>
      <c r="AO249" s="34">
        <f>AO28</f>
        <v>0</v>
      </c>
      <c r="AP249" s="34">
        <f>AP28</f>
        <v>0</v>
      </c>
      <c r="AQ249" s="35">
        <f t="shared" si="841"/>
        <v>0</v>
      </c>
    </row>
    <row r="250" spans="1:43" outlineLevel="1" x14ac:dyDescent="0.25">
      <c r="A250" s="254"/>
      <c r="B250" s="57" t="s">
        <v>217</v>
      </c>
      <c r="C250" s="144"/>
      <c r="D250" s="34">
        <v>97.3</v>
      </c>
      <c r="E250" s="34">
        <f>192.1-D250</f>
        <v>94.8</v>
      </c>
      <c r="F250" s="34">
        <f>255.4-E250-D250</f>
        <v>63.300000000000026</v>
      </c>
      <c r="G250" s="256">
        <f>308-F250-E250-D250</f>
        <v>52.59999999999998</v>
      </c>
      <c r="H250" s="35">
        <f t="shared" si="827"/>
        <v>308</v>
      </c>
      <c r="I250" s="34">
        <v>90.3</v>
      </c>
      <c r="J250" s="34">
        <f>146.6-I250</f>
        <v>56.3</v>
      </c>
      <c r="K250" s="34">
        <f>188-J250-I250</f>
        <v>41.399999999999991</v>
      </c>
      <c r="L250" s="256">
        <f>248.6-K250-J250-I250</f>
        <v>60.59999999999998</v>
      </c>
      <c r="M250" s="35">
        <f t="shared" si="835"/>
        <v>248.59999999999997</v>
      </c>
      <c r="N250" s="34">
        <v>99.3</v>
      </c>
      <c r="O250" s="34">
        <f>175.3-N250</f>
        <v>76.000000000000014</v>
      </c>
      <c r="P250" s="34">
        <f>255.3-O250-N250</f>
        <v>80.000000000000014</v>
      </c>
      <c r="Q250" s="34">
        <f>Q16*Q291</f>
        <v>96.34918385095385</v>
      </c>
      <c r="R250" s="35">
        <f t="shared" si="836"/>
        <v>351.64918385095388</v>
      </c>
      <c r="S250" s="34">
        <f>S16*S291</f>
        <v>94.172806416697142</v>
      </c>
      <c r="T250" s="34">
        <f>T16*T291</f>
        <v>85.915974281039951</v>
      </c>
      <c r="U250" s="34">
        <f>U16*U291</f>
        <v>95.093329220633279</v>
      </c>
      <c r="V250" s="34">
        <f>V16*V291</f>
        <v>98.227284612790811</v>
      </c>
      <c r="W250" s="35">
        <f t="shared" si="837"/>
        <v>373.40939453116118</v>
      </c>
      <c r="X250" s="34">
        <f>X16*X291</f>
        <v>97.956030321093991</v>
      </c>
      <c r="Y250" s="34">
        <f>Y16*Y291</f>
        <v>95.00022362450035</v>
      </c>
      <c r="Z250" s="34">
        <f>Z16*Z291</f>
        <v>104.91785178241108</v>
      </c>
      <c r="AA250" s="34">
        <f>AA16*AA291</f>
        <v>106.34805110940619</v>
      </c>
      <c r="AB250" s="35">
        <f t="shared" si="838"/>
        <v>404.2221568374116</v>
      </c>
      <c r="AC250" s="34">
        <f>AC16*AC291</f>
        <v>104.78535967957157</v>
      </c>
      <c r="AD250" s="34">
        <f>AD16*AD291</f>
        <v>102.81496648681856</v>
      </c>
      <c r="AE250" s="34">
        <f>AE16*AE291</f>
        <v>113.59076131348252</v>
      </c>
      <c r="AF250" s="34">
        <f>AF16*AF291</f>
        <v>115.18918731821179</v>
      </c>
      <c r="AG250" s="35">
        <f t="shared" si="839"/>
        <v>436.38027479808443</v>
      </c>
      <c r="AH250" s="34">
        <f>AH16*AH291</f>
        <v>113.21591274917358</v>
      </c>
      <c r="AI250" s="34">
        <f>AI16*AI291</f>
        <v>111.17330690551302</v>
      </c>
      <c r="AJ250" s="34">
        <f>AJ16*AJ291</f>
        <v>122.59310855026072</v>
      </c>
      <c r="AK250" s="34">
        <f>AK16*AK291</f>
        <v>124.36782969493505</v>
      </c>
      <c r="AL250" s="35">
        <f t="shared" si="840"/>
        <v>471.35015789988233</v>
      </c>
      <c r="AM250" s="34">
        <f>AM16*AM291</f>
        <v>122.34255762877034</v>
      </c>
      <c r="AN250" s="34">
        <f>AN16*AN291</f>
        <v>120.07583035723594</v>
      </c>
      <c r="AO250" s="34">
        <f>AO16*AO291</f>
        <v>132.16729271134739</v>
      </c>
      <c r="AP250" s="34">
        <f>AP16*AP291</f>
        <v>134.11879603905984</v>
      </c>
      <c r="AQ250" s="35">
        <f t="shared" si="841"/>
        <v>508.70447673641354</v>
      </c>
    </row>
    <row r="251" spans="1:43" outlineLevel="1" x14ac:dyDescent="0.25">
      <c r="A251" s="254"/>
      <c r="B251" s="146" t="s">
        <v>223</v>
      </c>
      <c r="C251" s="147"/>
      <c r="D251" s="34">
        <v>6.1</v>
      </c>
      <c r="E251" s="256">
        <f>5.4+91.1-D251</f>
        <v>90.4</v>
      </c>
      <c r="F251" s="256">
        <f>10.5+122.3-E251-D251</f>
        <v>36.300000000000004</v>
      </c>
      <c r="G251" s="256">
        <f>10.5+187.9-F251-E251-D251</f>
        <v>65.599999999999994</v>
      </c>
      <c r="H251" s="35">
        <f t="shared" si="827"/>
        <v>198.4</v>
      </c>
      <c r="I251" s="256">
        <f>5.1+294.9</f>
        <v>300</v>
      </c>
      <c r="J251" s="256">
        <f>596.3+67.7-I251</f>
        <v>364</v>
      </c>
      <c r="K251" s="256">
        <f>902.4+124.6+63.7-J251-I251</f>
        <v>426.70000000000005</v>
      </c>
      <c r="L251" s="256">
        <f>1197.6+454.4+24.5-K251-J251-I251</f>
        <v>585.79999999999995</v>
      </c>
      <c r="M251" s="35">
        <f t="shared" si="828"/>
        <v>1676.5</v>
      </c>
      <c r="N251" s="256">
        <f>308.3+132.6-10.2</f>
        <v>430.7</v>
      </c>
      <c r="O251" s="256">
        <f>617.9+175.4-15.4-N251</f>
        <v>347.2</v>
      </c>
      <c r="P251" s="256">
        <f>931.7+204.7-6.8-O251-N251</f>
        <v>351.7000000000001</v>
      </c>
      <c r="Q251" s="63">
        <v>0</v>
      </c>
      <c r="R251" s="35">
        <f t="shared" si="829"/>
        <v>1129.6000000000001</v>
      </c>
      <c r="S251" s="63">
        <v>0</v>
      </c>
      <c r="T251" s="63">
        <v>0</v>
      </c>
      <c r="U251" s="63">
        <v>0</v>
      </c>
      <c r="V251" s="63">
        <v>0</v>
      </c>
      <c r="W251" s="35">
        <f t="shared" si="830"/>
        <v>0</v>
      </c>
      <c r="X251" s="63">
        <v>0</v>
      </c>
      <c r="Y251" s="63">
        <v>0</v>
      </c>
      <c r="Z251" s="63">
        <v>0</v>
      </c>
      <c r="AA251" s="63">
        <v>0</v>
      </c>
      <c r="AB251" s="35">
        <f t="shared" si="831"/>
        <v>0</v>
      </c>
      <c r="AC251" s="63">
        <v>0</v>
      </c>
      <c r="AD251" s="63">
        <v>0</v>
      </c>
      <c r="AE251" s="63">
        <v>0</v>
      </c>
      <c r="AF251" s="63">
        <v>0</v>
      </c>
      <c r="AG251" s="35">
        <f t="shared" si="839"/>
        <v>0</v>
      </c>
      <c r="AH251" s="63">
        <v>0</v>
      </c>
      <c r="AI251" s="63">
        <v>0</v>
      </c>
      <c r="AJ251" s="63">
        <v>0</v>
      </c>
      <c r="AK251" s="63">
        <v>0</v>
      </c>
      <c r="AL251" s="35">
        <f t="shared" si="840"/>
        <v>0</v>
      </c>
      <c r="AM251" s="63">
        <v>0</v>
      </c>
      <c r="AN251" s="63">
        <v>0</v>
      </c>
      <c r="AO251" s="63">
        <v>0</v>
      </c>
      <c r="AP251" s="63">
        <v>0</v>
      </c>
      <c r="AQ251" s="35">
        <f t="shared" si="841"/>
        <v>0</v>
      </c>
    </row>
    <row r="252" spans="1:43" outlineLevel="1" x14ac:dyDescent="0.25">
      <c r="A252" s="254"/>
      <c r="B252" s="623" t="s">
        <v>69</v>
      </c>
      <c r="C252" s="624"/>
      <c r="D252" s="251"/>
      <c r="E252" s="353"/>
      <c r="F252" s="246"/>
      <c r="G252" s="246"/>
      <c r="H252" s="247"/>
      <c r="I252" s="246"/>
      <c r="J252" s="246"/>
      <c r="K252" s="246"/>
      <c r="L252" s="246"/>
      <c r="M252" s="247"/>
      <c r="N252" s="246"/>
      <c r="O252" s="246"/>
      <c r="P252" s="246"/>
      <c r="Q252" s="246"/>
      <c r="R252" s="247"/>
      <c r="S252" s="246"/>
      <c r="T252" s="246"/>
      <c r="U252" s="246"/>
      <c r="V252" s="246"/>
      <c r="W252" s="247"/>
      <c r="X252" s="246"/>
      <c r="Y252" s="246"/>
      <c r="Z252" s="246"/>
      <c r="AA252" s="246"/>
      <c r="AB252" s="247"/>
      <c r="AC252" s="246"/>
      <c r="AD252" s="246"/>
      <c r="AE252" s="246"/>
      <c r="AF252" s="246"/>
      <c r="AG252" s="247"/>
      <c r="AH252" s="246"/>
      <c r="AI252" s="246"/>
      <c r="AJ252" s="246"/>
      <c r="AK252" s="246"/>
      <c r="AL252" s="247"/>
      <c r="AM252" s="246"/>
      <c r="AN252" s="246"/>
      <c r="AO252" s="246"/>
      <c r="AP252" s="246"/>
      <c r="AQ252" s="247"/>
    </row>
    <row r="253" spans="1:43" outlineLevel="1" x14ac:dyDescent="0.25">
      <c r="A253" s="254"/>
      <c r="B253" s="619" t="s">
        <v>108</v>
      </c>
      <c r="C253" s="620"/>
      <c r="D253" s="81">
        <v>-28.8</v>
      </c>
      <c r="E253" s="81">
        <f>9.8-D253</f>
        <v>38.6</v>
      </c>
      <c r="F253" s="81">
        <f>-70.1-E253-D253</f>
        <v>-79.899999999999991</v>
      </c>
      <c r="G253" s="81">
        <f>-197.7-F253-E253-D253</f>
        <v>-127.60000000000001</v>
      </c>
      <c r="H253" s="82">
        <f t="shared" ref="H253:H259" si="847">SUM(D253:G253)</f>
        <v>-197.7</v>
      </c>
      <c r="I253" s="81">
        <v>-22.9</v>
      </c>
      <c r="J253" s="81">
        <f>-60.7-I253</f>
        <v>-37.800000000000004</v>
      </c>
      <c r="K253" s="81">
        <f>13.4-J253-I253</f>
        <v>74.099999999999994</v>
      </c>
      <c r="L253" s="81">
        <f>-2.7-K253-J253-I253</f>
        <v>-16.099999999999994</v>
      </c>
      <c r="M253" s="82">
        <f t="shared" ref="M253:M258" si="848">SUM(I253:L253)</f>
        <v>-2.7000000000000028</v>
      </c>
      <c r="N253" s="81">
        <v>19.600000000000001</v>
      </c>
      <c r="O253" s="81">
        <f>12.8-N253</f>
        <v>-6.8000000000000007</v>
      </c>
      <c r="P253" s="81">
        <f>-13.1-O253-N253</f>
        <v>-25.9</v>
      </c>
      <c r="Q253" s="81">
        <f t="shared" ref="Q253:Q255" si="849">-(Q189-P189)</f>
        <v>-161.57244399610568</v>
      </c>
      <c r="R253" s="82">
        <f t="shared" ref="R253:R258" si="850">SUM(N253:Q253)</f>
        <v>-174.67244399610567</v>
      </c>
      <c r="S253" s="81">
        <f>-(S189-Q189)</f>
        <v>49.214423921641469</v>
      </c>
      <c r="T253" s="81">
        <f t="shared" ref="T253:V255" si="851">-(T189-S189)</f>
        <v>33.318765586868835</v>
      </c>
      <c r="U253" s="81">
        <f t="shared" si="851"/>
        <v>-17.763829816597536</v>
      </c>
      <c r="V253" s="81">
        <f t="shared" si="851"/>
        <v>-83.069382918670499</v>
      </c>
      <c r="W253" s="82">
        <f t="shared" ref="W253:W258" si="852">SUM(S253:V253)</f>
        <v>-18.30002322675773</v>
      </c>
      <c r="X253" s="81">
        <f>-(X189-V189)</f>
        <v>-13.036187396686955</v>
      </c>
      <c r="Y253" s="81">
        <f t="shared" ref="Y253:AA255" si="853">-(Y189-X189)</f>
        <v>19.724745619379064</v>
      </c>
      <c r="Z253" s="81">
        <f t="shared" si="853"/>
        <v>-15.714693887048725</v>
      </c>
      <c r="AA253" s="81">
        <f t="shared" si="853"/>
        <v>-85.429027425215054</v>
      </c>
      <c r="AB253" s="82">
        <f t="shared" ref="AB253:AB258" si="854">SUM(X253:AA253)</f>
        <v>-94.45516308957167</v>
      </c>
      <c r="AC253" s="81">
        <f>-(AC189-AA189)</f>
        <v>-1.5855373350646005</v>
      </c>
      <c r="AD253" s="81">
        <f t="shared" ref="AD253:AF255" si="855">-(AD189-AC189)</f>
        <v>16.966476751665823</v>
      </c>
      <c r="AE253" s="81">
        <f t="shared" si="855"/>
        <v>-19.391364393718277</v>
      </c>
      <c r="AF253" s="81">
        <f t="shared" si="855"/>
        <v>-95.999420983048822</v>
      </c>
      <c r="AG253" s="82">
        <f t="shared" ref="AG253:AG258" si="856">SUM(AC253:AF253)</f>
        <v>-100.00984596016588</v>
      </c>
      <c r="AH253" s="81">
        <f>-(AH189-AF189)</f>
        <v>2.2568822299156182</v>
      </c>
      <c r="AI253" s="81">
        <f t="shared" ref="AI253:AK255" si="857">-(AI189-AH189)</f>
        <v>18.811172570309964</v>
      </c>
      <c r="AJ253" s="81">
        <f t="shared" si="857"/>
        <v>-19.262214104336636</v>
      </c>
      <c r="AK253" s="81">
        <f t="shared" si="857"/>
        <v>-104.56979016538116</v>
      </c>
      <c r="AL253" s="82">
        <f t="shared" ref="AL253:AL258" si="858">SUM(AH253:AK253)</f>
        <v>-102.76394946949222</v>
      </c>
      <c r="AM253" s="81">
        <f>-(AM189-AK189)</f>
        <v>1.5543318519187324</v>
      </c>
      <c r="AN253" s="81">
        <f t="shared" ref="AN253:AN255" si="859">-(AN189-AM189)</f>
        <v>21.174882060057143</v>
      </c>
      <c r="AO253" s="81">
        <f t="shared" ref="AO253:AO255" si="860">-(AO189-AN189)</f>
        <v>-18.441127568999491</v>
      </c>
      <c r="AP253" s="81">
        <f t="shared" ref="AP253:AP255" si="861">-(AP189-AO189)</f>
        <v>-113.19509565402404</v>
      </c>
      <c r="AQ253" s="82">
        <f t="shared" ref="AQ253:AQ258" si="862">SUM(AM253:AP253)</f>
        <v>-108.90700931104766</v>
      </c>
    </row>
    <row r="254" spans="1:43" outlineLevel="1" x14ac:dyDescent="0.25">
      <c r="A254" s="254"/>
      <c r="B254" s="396" t="s">
        <v>203</v>
      </c>
      <c r="C254" s="397"/>
      <c r="D254" s="81">
        <v>44.8</v>
      </c>
      <c r="E254" s="81">
        <f>-51-D254</f>
        <v>-95.8</v>
      </c>
      <c r="F254" s="81">
        <f>-140.5-E254-D254</f>
        <v>-89.5</v>
      </c>
      <c r="G254" s="81">
        <f>-173-F254-E254-D254</f>
        <v>-32.5</v>
      </c>
      <c r="H254" s="82">
        <f t="shared" si="847"/>
        <v>-173</v>
      </c>
      <c r="I254" s="81">
        <v>122.8</v>
      </c>
      <c r="J254" s="81">
        <f>36.9-I254</f>
        <v>-85.9</v>
      </c>
      <c r="K254" s="81">
        <f>-51.7-J254-I254</f>
        <v>-88.6</v>
      </c>
      <c r="L254" s="81">
        <f>-10.9-K254-J254-I254</f>
        <v>40.799999999999997</v>
      </c>
      <c r="M254" s="82">
        <f t="shared" si="848"/>
        <v>-10.900000000000006</v>
      </c>
      <c r="N254" s="81">
        <v>90.1</v>
      </c>
      <c r="O254" s="81">
        <f>51.3-N254</f>
        <v>-38.799999999999997</v>
      </c>
      <c r="P254" s="81">
        <f>8.4-O254-N254</f>
        <v>-42.9</v>
      </c>
      <c r="Q254" s="81">
        <f t="shared" si="849"/>
        <v>-884.30996789593542</v>
      </c>
      <c r="R254" s="82">
        <f t="shared" si="850"/>
        <v>-875.90996789593544</v>
      </c>
      <c r="S254" s="81">
        <f>-(S190-Q190)</f>
        <v>713.07559624370197</v>
      </c>
      <c r="T254" s="81">
        <f t="shared" si="851"/>
        <v>-64.317438811243392</v>
      </c>
      <c r="U254" s="81">
        <f t="shared" si="851"/>
        <v>-6.0994125323093158</v>
      </c>
      <c r="V254" s="81">
        <f t="shared" si="851"/>
        <v>-719.06104132586393</v>
      </c>
      <c r="W254" s="82">
        <f t="shared" si="852"/>
        <v>-76.402296425714667</v>
      </c>
      <c r="X254" s="81">
        <f>-(X190-V190)</f>
        <v>666.89438790882059</v>
      </c>
      <c r="Y254" s="81">
        <f t="shared" si="853"/>
        <v>-94.527762303459212</v>
      </c>
      <c r="Z254" s="81">
        <f t="shared" si="853"/>
        <v>-44.786849780727152</v>
      </c>
      <c r="AA254" s="81">
        <f t="shared" si="853"/>
        <v>-734.09768793152784</v>
      </c>
      <c r="AB254" s="82">
        <f t="shared" si="854"/>
        <v>-206.51791210689362</v>
      </c>
      <c r="AC254" s="81">
        <f>-(AC190-AA190)</f>
        <v>732.03609969316017</v>
      </c>
      <c r="AD254" s="81">
        <f t="shared" si="855"/>
        <v>-108.57906775612378</v>
      </c>
      <c r="AE254" s="81">
        <f t="shared" si="855"/>
        <v>-52.380933107276178</v>
      </c>
      <c r="AF254" s="81">
        <f t="shared" si="855"/>
        <v>-804.61636052531776</v>
      </c>
      <c r="AG254" s="82">
        <f t="shared" si="856"/>
        <v>-233.54026169555755</v>
      </c>
      <c r="AH254" s="81">
        <f>-(AH190-AF190)</f>
        <v>806.18503805759974</v>
      </c>
      <c r="AI254" s="81">
        <f t="shared" si="857"/>
        <v>-115.81182708725373</v>
      </c>
      <c r="AJ254" s="81">
        <f t="shared" si="857"/>
        <v>-53.592579505721915</v>
      </c>
      <c r="AK254" s="81">
        <f t="shared" si="857"/>
        <v>-871.0162709367869</v>
      </c>
      <c r="AL254" s="82">
        <f t="shared" si="858"/>
        <v>-234.2356394721628</v>
      </c>
      <c r="AM254" s="81">
        <f>-(AM190-AK190)</f>
        <v>868.67465562662073</v>
      </c>
      <c r="AN254" s="81">
        <f t="shared" si="859"/>
        <v>-122.86836988961977</v>
      </c>
      <c r="AO254" s="81">
        <f t="shared" si="860"/>
        <v>-53.667544227918825</v>
      </c>
      <c r="AP254" s="81">
        <f t="shared" si="861"/>
        <v>-940.6557574139274</v>
      </c>
      <c r="AQ254" s="82">
        <f t="shared" si="862"/>
        <v>-248.51701590484527</v>
      </c>
    </row>
    <row r="255" spans="1:43" outlineLevel="1" x14ac:dyDescent="0.25">
      <c r="A255" s="254"/>
      <c r="B255" s="619" t="s">
        <v>226</v>
      </c>
      <c r="C255" s="620"/>
      <c r="D255" s="81">
        <v>847.3</v>
      </c>
      <c r="E255" s="81">
        <f>774.6-D255</f>
        <v>-72.699999999999932</v>
      </c>
      <c r="F255" s="81">
        <f>831.6-E255-D255</f>
        <v>57</v>
      </c>
      <c r="G255" s="81">
        <f>922-F255-E255-D255</f>
        <v>90.399999999999977</v>
      </c>
      <c r="H255" s="82">
        <f t="shared" si="847"/>
        <v>922</v>
      </c>
      <c r="I255" s="81">
        <v>-28.5</v>
      </c>
      <c r="J255" s="81">
        <f>-247.7-I255</f>
        <v>-219.2</v>
      </c>
      <c r="K255" s="81">
        <f>-492.1-J255-I255</f>
        <v>-244.40000000000003</v>
      </c>
      <c r="L255" s="81">
        <f>-317.5-K255-J255-I255</f>
        <v>174.60000000000002</v>
      </c>
      <c r="M255" s="82">
        <f t="shared" si="848"/>
        <v>-317.5</v>
      </c>
      <c r="N255" s="81">
        <v>5.2</v>
      </c>
      <c r="O255" s="81">
        <f>139.7-N255</f>
        <v>134.5</v>
      </c>
      <c r="P255" s="81">
        <f>216.8-O255-N255</f>
        <v>77.100000000000009</v>
      </c>
      <c r="Q255" s="81">
        <f t="shared" si="849"/>
        <v>-5.6559999999999491</v>
      </c>
      <c r="R255" s="82">
        <f t="shared" si="850"/>
        <v>211.14400000000006</v>
      </c>
      <c r="S255" s="81">
        <f>-(S191-Q191)</f>
        <v>-5.7125600000000532</v>
      </c>
      <c r="T255" s="81">
        <f t="shared" si="851"/>
        <v>-5.7696856000000025</v>
      </c>
      <c r="U255" s="81">
        <f t="shared" si="851"/>
        <v>-5.8273824560000094</v>
      </c>
      <c r="V255" s="81">
        <f t="shared" si="851"/>
        <v>-5.8856562805600561</v>
      </c>
      <c r="W255" s="82">
        <f t="shared" si="852"/>
        <v>-23.195284336560121</v>
      </c>
      <c r="X255" s="81">
        <f>-(X191-V191)</f>
        <v>-5.9445128433656009</v>
      </c>
      <c r="Y255" s="81">
        <f t="shared" si="853"/>
        <v>-6.0039579717993092</v>
      </c>
      <c r="Z255" s="81">
        <f t="shared" si="853"/>
        <v>-6.0639975515172182</v>
      </c>
      <c r="AA255" s="81">
        <f t="shared" si="853"/>
        <v>-6.1246375270324052</v>
      </c>
      <c r="AB255" s="82">
        <f t="shared" si="854"/>
        <v>-24.137105893714534</v>
      </c>
      <c r="AC255" s="81">
        <f>-(AC191-AA191)</f>
        <v>-6.1858839023027485</v>
      </c>
      <c r="AD255" s="81">
        <f t="shared" si="855"/>
        <v>-6.2477427413257374</v>
      </c>
      <c r="AE255" s="81">
        <f t="shared" si="855"/>
        <v>-6.3102201687390789</v>
      </c>
      <c r="AF255" s="81">
        <f t="shared" si="855"/>
        <v>-6.3733223704264219</v>
      </c>
      <c r="AG255" s="82">
        <f t="shared" si="856"/>
        <v>-25.117169182793987</v>
      </c>
      <c r="AH255" s="81">
        <f>-(AH191-AF191)</f>
        <v>-6.4370555941306975</v>
      </c>
      <c r="AI255" s="81">
        <f t="shared" si="857"/>
        <v>-6.5014261500720067</v>
      </c>
      <c r="AJ255" s="81">
        <f t="shared" si="857"/>
        <v>-6.5664404115726711</v>
      </c>
      <c r="AK255" s="81">
        <f t="shared" si="857"/>
        <v>-6.6321048156884217</v>
      </c>
      <c r="AL255" s="82">
        <f t="shared" si="858"/>
        <v>-26.137026971463797</v>
      </c>
      <c r="AM255" s="81">
        <f>-(AM191-AK191)</f>
        <v>-6.6984258638453866</v>
      </c>
      <c r="AN255" s="81">
        <f t="shared" si="859"/>
        <v>-6.7654101224837859</v>
      </c>
      <c r="AO255" s="81">
        <f t="shared" si="860"/>
        <v>-6.8330642237086749</v>
      </c>
      <c r="AP255" s="81">
        <f t="shared" si="861"/>
        <v>-6.9013948659456901</v>
      </c>
      <c r="AQ255" s="82">
        <f t="shared" si="862"/>
        <v>-27.198295075983538</v>
      </c>
    </row>
    <row r="256" spans="1:43" outlineLevel="1" x14ac:dyDescent="0.25">
      <c r="A256" s="254"/>
      <c r="B256" s="619" t="s">
        <v>37</v>
      </c>
      <c r="C256" s="620"/>
      <c r="D256" s="81">
        <v>-21.3</v>
      </c>
      <c r="E256" s="81">
        <f>-83.4-D256</f>
        <v>-62.100000000000009</v>
      </c>
      <c r="F256" s="81">
        <f>-15.1-E256-D256</f>
        <v>68.300000000000011</v>
      </c>
      <c r="G256" s="81">
        <f>31.9-F256-E256-D256</f>
        <v>47</v>
      </c>
      <c r="H256" s="82">
        <f t="shared" si="847"/>
        <v>31.900000000000006</v>
      </c>
      <c r="I256" s="81">
        <v>-110.3</v>
      </c>
      <c r="J256" s="81">
        <f>-186.4-I256</f>
        <v>-76.100000000000009</v>
      </c>
      <c r="K256" s="81">
        <f>-320.3-J256-I256</f>
        <v>-133.89999999999998</v>
      </c>
      <c r="L256" s="81">
        <f>-210.8-K256-J256-I256</f>
        <v>109.49999999999997</v>
      </c>
      <c r="M256" s="82">
        <f t="shared" si="848"/>
        <v>-210.79999999999998</v>
      </c>
      <c r="N256" s="81">
        <v>24.8</v>
      </c>
      <c r="O256" s="81">
        <f>21.3-N256</f>
        <v>-3.5</v>
      </c>
      <c r="P256" s="81">
        <f>108.2-O256-N256</f>
        <v>86.9</v>
      </c>
      <c r="Q256" s="81">
        <f>Q203-P203</f>
        <v>195.67835840020734</v>
      </c>
      <c r="R256" s="82">
        <f t="shared" si="850"/>
        <v>303.87835840020733</v>
      </c>
      <c r="S256" s="81">
        <f>S203-Q203</f>
        <v>-128.62590619606931</v>
      </c>
      <c r="T256" s="81">
        <f>T203-S203</f>
        <v>8.8296510160664639</v>
      </c>
      <c r="U256" s="81">
        <f>U203-T203</f>
        <v>182.64150140593756</v>
      </c>
      <c r="V256" s="81">
        <f>V203-U203</f>
        <v>-53.482021795973651</v>
      </c>
      <c r="W256" s="82">
        <f t="shared" si="852"/>
        <v>9.3632244299610647</v>
      </c>
      <c r="X256" s="81">
        <f>X203-V203</f>
        <v>-35.132330122222129</v>
      </c>
      <c r="Y256" s="81">
        <f>Y203-X203</f>
        <v>21.536203054405178</v>
      </c>
      <c r="Z256" s="81">
        <f>Z203-Y203</f>
        <v>168.17166236267599</v>
      </c>
      <c r="AA256" s="81">
        <f>AA203-Z203</f>
        <v>-27.723351253395322</v>
      </c>
      <c r="AB256" s="82">
        <f t="shared" si="854"/>
        <v>126.85218404146372</v>
      </c>
      <c r="AC256" s="81">
        <f>AC203-AA203</f>
        <v>-72.056508356986569</v>
      </c>
      <c r="AD256" s="81">
        <f>AD203-AC203</f>
        <v>30.628876527862758</v>
      </c>
      <c r="AE256" s="81">
        <f>AE203-AD203</f>
        <v>216.57504336479155</v>
      </c>
      <c r="AF256" s="81">
        <f>AF203-AE203</f>
        <v>-59.074225172544857</v>
      </c>
      <c r="AG256" s="82">
        <f t="shared" si="856"/>
        <v>116.07318636312289</v>
      </c>
      <c r="AH256" s="81">
        <f>AH203-AF203</f>
        <v>-71.505811004738462</v>
      </c>
      <c r="AI256" s="81">
        <f>AI203-AH203</f>
        <v>30.566046450264139</v>
      </c>
      <c r="AJ256" s="81">
        <f>AJ203-AI203</f>
        <v>214.26734639153733</v>
      </c>
      <c r="AK256" s="81">
        <f>AK203-AJ203</f>
        <v>-43.170951300974593</v>
      </c>
      <c r="AL256" s="82">
        <f t="shared" si="858"/>
        <v>130.15663053608841</v>
      </c>
      <c r="AM256" s="81">
        <f>AM203-AK203</f>
        <v>-83.957739383923581</v>
      </c>
      <c r="AN256" s="81">
        <f>AN203-AM203</f>
        <v>32.325349875154643</v>
      </c>
      <c r="AO256" s="81">
        <f>AO203-AN203</f>
        <v>237.3758652031056</v>
      </c>
      <c r="AP256" s="81">
        <f>AP203-AO203</f>
        <v>-55.352538907144663</v>
      </c>
      <c r="AQ256" s="82">
        <f t="shared" si="862"/>
        <v>130.390936787192</v>
      </c>
    </row>
    <row r="257" spans="1:43" outlineLevel="1" x14ac:dyDescent="0.25">
      <c r="A257" s="254"/>
      <c r="B257" s="396" t="s">
        <v>208</v>
      </c>
      <c r="C257" s="397"/>
      <c r="D257" s="81">
        <v>362.7</v>
      </c>
      <c r="E257" s="81">
        <f>9.4-D257</f>
        <v>-353.3</v>
      </c>
      <c r="F257" s="81">
        <f>-32.4-E257-D257</f>
        <v>-41.799999999999955</v>
      </c>
      <c r="G257" s="81">
        <f>-30.5-F257-E257-D257</f>
        <v>1.8999999999999773</v>
      </c>
      <c r="H257" s="82">
        <f t="shared" si="847"/>
        <v>-30.5</v>
      </c>
      <c r="I257" s="81">
        <v>426.7</v>
      </c>
      <c r="J257" s="81">
        <f>112.1-I257</f>
        <v>-314.60000000000002</v>
      </c>
      <c r="K257" s="81">
        <f>92-J257-I257</f>
        <v>-20.099999999999966</v>
      </c>
      <c r="L257" s="81">
        <f>31-K257-J257-I257</f>
        <v>-61</v>
      </c>
      <c r="M257" s="82">
        <f t="shared" si="848"/>
        <v>31</v>
      </c>
      <c r="N257" s="81">
        <v>398.9</v>
      </c>
      <c r="O257" s="81">
        <f>89.8-N257</f>
        <v>-309.09999999999997</v>
      </c>
      <c r="P257" s="81">
        <f>52.4-O257-N257</f>
        <v>-37.400000000000034</v>
      </c>
      <c r="Q257" s="81">
        <f>+(Q208-P208)</f>
        <v>-16.282999999999902</v>
      </c>
      <c r="R257" s="82">
        <f t="shared" si="850"/>
        <v>36.117000000000075</v>
      </c>
      <c r="S257" s="81">
        <f>+(S208-Q208)</f>
        <v>483.60509999999999</v>
      </c>
      <c r="T257" s="81">
        <f>+(T208-S208)</f>
        <v>-314.34331500000008</v>
      </c>
      <c r="U257" s="81">
        <f>+(U208-T208)</f>
        <v>-17.81278784999995</v>
      </c>
      <c r="V257" s="81">
        <f>+(V208-U208)</f>
        <v>-17.634659971500014</v>
      </c>
      <c r="W257" s="82">
        <f t="shared" si="852"/>
        <v>133.81433717849995</v>
      </c>
      <c r="X257" s="81">
        <f>+(X208-V208)</f>
        <v>523.74940115355025</v>
      </c>
      <c r="Y257" s="81">
        <f>+(Y208-X208)</f>
        <v>-340.43711074980752</v>
      </c>
      <c r="Z257" s="81">
        <f>+(Z208-Y208)</f>
        <v>-19.291436275822434</v>
      </c>
      <c r="AA257" s="81">
        <f>+(AA208-Z208)</f>
        <v>-19.098521913064133</v>
      </c>
      <c r="AB257" s="82">
        <f t="shared" si="854"/>
        <v>144.92233221485617</v>
      </c>
      <c r="AC257" s="81">
        <f>+(AC208-AA208)</f>
        <v>567.22610081800713</v>
      </c>
      <c r="AD257" s="81">
        <f>+(AD208-AC208)</f>
        <v>-368.69696553170434</v>
      </c>
      <c r="AE257" s="81">
        <f>+(AE208-AD208)</f>
        <v>-20.892828046796694</v>
      </c>
      <c r="AF257" s="81">
        <f>+(AF208-AE208)</f>
        <v>-20.68389976632875</v>
      </c>
      <c r="AG257" s="82">
        <f t="shared" si="856"/>
        <v>156.95240747317735</v>
      </c>
      <c r="AH257" s="81">
        <f>+(AH208-AF208)</f>
        <v>614.31182305996003</v>
      </c>
      <c r="AI257" s="81">
        <f>+(AI208-AH208)</f>
        <v>-399.30268498897431</v>
      </c>
      <c r="AJ257" s="81">
        <f>+(AJ208-AI208)</f>
        <v>-22.627152149375434</v>
      </c>
      <c r="AK257" s="81">
        <f>+(AK208-AJ208)</f>
        <v>-22.400880627881634</v>
      </c>
      <c r="AL257" s="82">
        <f t="shared" si="858"/>
        <v>169.98110529372866</v>
      </c>
      <c r="AM257" s="81">
        <f>+(AM208-AK208)</f>
        <v>665.30615464807897</v>
      </c>
      <c r="AN257" s="81">
        <f>+(AN208-AM208)</f>
        <v>-432.44900052125104</v>
      </c>
      <c r="AO257" s="81">
        <f>+(AO208-AN208)</f>
        <v>-24.505443362871119</v>
      </c>
      <c r="AP257" s="81">
        <f>+(AP208-AO208)</f>
        <v>-24.260388929242254</v>
      </c>
      <c r="AQ257" s="82">
        <f t="shared" si="862"/>
        <v>184.09132183471456</v>
      </c>
    </row>
    <row r="258" spans="1:43" outlineLevel="1" x14ac:dyDescent="0.25">
      <c r="A258" s="254"/>
      <c r="B258" s="396" t="s">
        <v>268</v>
      </c>
      <c r="C258" s="397"/>
      <c r="D258" s="81">
        <v>0</v>
      </c>
      <c r="E258" s="81">
        <v>0</v>
      </c>
      <c r="F258" s="81">
        <f>1045.4-E258-D258</f>
        <v>1045.4000000000001</v>
      </c>
      <c r="G258" s="81">
        <f>1237-F258-E258-D258</f>
        <v>191.59999999999991</v>
      </c>
      <c r="H258" s="82">
        <f t="shared" si="847"/>
        <v>1237</v>
      </c>
      <c r="I258" s="81">
        <v>125.1</v>
      </c>
      <c r="J258" s="81">
        <f>-1227.4-I258</f>
        <v>-1352.5</v>
      </c>
      <c r="K258" s="81">
        <f>-1224.5-J258-I258</f>
        <v>2.9000000000000057</v>
      </c>
      <c r="L258" s="81">
        <f>-1214.6-K258-J258-I258</f>
        <v>9.9000000000000057</v>
      </c>
      <c r="M258" s="82">
        <f t="shared" si="848"/>
        <v>-1214.5999999999999</v>
      </c>
      <c r="N258" s="81">
        <v>56.9</v>
      </c>
      <c r="O258" s="81">
        <f>40-N258</f>
        <v>-16.899999999999999</v>
      </c>
      <c r="P258" s="81">
        <f>128.9-O258-N258</f>
        <v>88.9</v>
      </c>
      <c r="Q258" s="81">
        <f t="shared" ref="Q258" si="863">+(Q206-P206)</f>
        <v>0</v>
      </c>
      <c r="R258" s="82">
        <f t="shared" si="850"/>
        <v>128.9</v>
      </c>
      <c r="S258" s="81">
        <f>+(S206-Q206)</f>
        <v>0</v>
      </c>
      <c r="T258" s="81">
        <f t="shared" ref="T258:V258" si="864">+(T206-S206)</f>
        <v>0</v>
      </c>
      <c r="U258" s="81">
        <f t="shared" si="864"/>
        <v>0</v>
      </c>
      <c r="V258" s="81">
        <f t="shared" si="864"/>
        <v>0</v>
      </c>
      <c r="W258" s="82">
        <f t="shared" si="852"/>
        <v>0</v>
      </c>
      <c r="X258" s="81">
        <f>+(X206-V206)</f>
        <v>0</v>
      </c>
      <c r="Y258" s="81">
        <f t="shared" ref="Y258:AA258" si="865">+(Y206-X206)</f>
        <v>0</v>
      </c>
      <c r="Z258" s="81">
        <f t="shared" si="865"/>
        <v>0</v>
      </c>
      <c r="AA258" s="81">
        <f t="shared" si="865"/>
        <v>0</v>
      </c>
      <c r="AB258" s="82">
        <f t="shared" si="854"/>
        <v>0</v>
      </c>
      <c r="AC258" s="81">
        <f>+(AC206-AA206)</f>
        <v>0</v>
      </c>
      <c r="AD258" s="81">
        <f t="shared" ref="AD258:AF258" si="866">+(AD206-AC206)</f>
        <v>0</v>
      </c>
      <c r="AE258" s="81">
        <f t="shared" si="866"/>
        <v>0</v>
      </c>
      <c r="AF258" s="81">
        <f t="shared" si="866"/>
        <v>0</v>
      </c>
      <c r="AG258" s="82">
        <f t="shared" si="856"/>
        <v>0</v>
      </c>
      <c r="AH258" s="81">
        <f>+(AH206-AF206)</f>
        <v>0</v>
      </c>
      <c r="AI258" s="81">
        <f t="shared" ref="AI258:AK258" si="867">+(AI206-AH206)</f>
        <v>0</v>
      </c>
      <c r="AJ258" s="81">
        <f t="shared" si="867"/>
        <v>0</v>
      </c>
      <c r="AK258" s="81">
        <f t="shared" si="867"/>
        <v>0</v>
      </c>
      <c r="AL258" s="82">
        <f t="shared" si="858"/>
        <v>0</v>
      </c>
      <c r="AM258" s="81">
        <f>+(AM206-AK206)</f>
        <v>0</v>
      </c>
      <c r="AN258" s="81">
        <f t="shared" ref="AN258" si="868">+(AN206-AM206)</f>
        <v>0</v>
      </c>
      <c r="AO258" s="81">
        <f t="shared" ref="AO258" si="869">+(AO206-AN206)</f>
        <v>0</v>
      </c>
      <c r="AP258" s="81">
        <f t="shared" ref="AP258" si="870">+(AP206-AO206)</f>
        <v>0</v>
      </c>
      <c r="AQ258" s="82">
        <f t="shared" si="862"/>
        <v>0</v>
      </c>
    </row>
    <row r="259" spans="1:43" ht="17.25" outlineLevel="1" x14ac:dyDescent="0.4">
      <c r="A259" s="254"/>
      <c r="B259" s="619" t="s">
        <v>224</v>
      </c>
      <c r="C259" s="620"/>
      <c r="D259" s="248">
        <v>305.60000000000002</v>
      </c>
      <c r="E259" s="248">
        <f>429.3-D259</f>
        <v>123.69999999999999</v>
      </c>
      <c r="F259" s="248">
        <f>-67.4-E259-D259</f>
        <v>-496.70000000000005</v>
      </c>
      <c r="G259" s="248">
        <f>-141.1-F259-E259-D259</f>
        <v>-73.699999999999989</v>
      </c>
      <c r="H259" s="241">
        <f t="shared" si="847"/>
        <v>-141.10000000000002</v>
      </c>
      <c r="I259" s="248">
        <f>-31.8-301.6</f>
        <v>-333.40000000000003</v>
      </c>
      <c r="J259" s="248">
        <f>-608.6-140.5-I259</f>
        <v>-415.7</v>
      </c>
      <c r="K259" s="248">
        <f>-918.2+70.5-J259-I259</f>
        <v>-98.600000000000023</v>
      </c>
      <c r="L259" s="248">
        <f>-1231.4+280.5-K259-J259-I259</f>
        <v>-103.20000000000005</v>
      </c>
      <c r="M259" s="241">
        <f t="shared" ref="M259" si="871">SUM(I259:L259)</f>
        <v>-950.90000000000009</v>
      </c>
      <c r="N259" s="248">
        <f>-314.8+12.3</f>
        <v>-302.5</v>
      </c>
      <c r="O259" s="248">
        <f>-676.3+59.5-N259</f>
        <v>-314.29999999999995</v>
      </c>
      <c r="P259" s="248">
        <f>-1029.8+154.6-O259-N259</f>
        <v>-258.39999999999998</v>
      </c>
      <c r="Q259" s="248">
        <f t="shared" ref="Q259" si="872">(Q204-P204)+(Q214-P214)+(Q215-P215)+(Q207-P207)+(Q205-P205)</f>
        <v>221.75774610234214</v>
      </c>
      <c r="R259" s="241">
        <f t="shared" ref="R259" si="873">SUM(N259:Q259)</f>
        <v>-653.44225389765779</v>
      </c>
      <c r="S259" s="248">
        <f>(S204-Q204)+(S214-Q214)+(S215-Q215)+(S207-Q207)+(S205-Q205)</f>
        <v>79.474037824011134</v>
      </c>
      <c r="T259" s="248">
        <f t="shared" ref="T259:V259" si="874">(T204-S204)+(T214-S214)+(T215-S215)+(T207-S207)+(T205-S205)</f>
        <v>-75.040899443346007</v>
      </c>
      <c r="U259" s="248">
        <f t="shared" si="874"/>
        <v>115.56487202641767</v>
      </c>
      <c r="V259" s="248">
        <f t="shared" si="874"/>
        <v>240.57953059422675</v>
      </c>
      <c r="W259" s="241">
        <f t="shared" ref="W259" si="875">SUM(S259:V259)</f>
        <v>360.57754100130956</v>
      </c>
      <c r="X259" s="248">
        <f>(X204-V204)+(X214-V214)+(X215-V215)+(X207-V207)+(X205-V205)</f>
        <v>-143.70751493026853</v>
      </c>
      <c r="Y259" s="248">
        <f t="shared" ref="Y259:AA259" si="876">(Y204-X204)+(Y214-X214)+(Y215-X215)+(Y207-X207)+(Y205-X205)</f>
        <v>-82.037139916647789</v>
      </c>
      <c r="Z259" s="248">
        <f t="shared" si="876"/>
        <v>159.36340999923391</v>
      </c>
      <c r="AA259" s="248">
        <f t="shared" si="876"/>
        <v>-11.000433595193272</v>
      </c>
      <c r="AB259" s="241">
        <f t="shared" ref="AB259" si="877">SUM(X259:AA259)</f>
        <v>-77.381678442875682</v>
      </c>
      <c r="AC259" s="248">
        <f>(AC204-AA204)+(AC214-AA214)+(AC215-AA215)+(AC207-AA207)+(AC205-AA205)</f>
        <v>-28.404833462626243</v>
      </c>
      <c r="AD259" s="248">
        <f t="shared" ref="AD259:AF259" si="878">(AD204-AC204)+(AD214-AC214)+(AD215-AC215)+(AD207-AC207)+(AD205-AC205)</f>
        <v>-47.347189863240374</v>
      </c>
      <c r="AE259" s="248">
        <f t="shared" si="878"/>
        <v>235.57915200472064</v>
      </c>
      <c r="AF259" s="248">
        <f t="shared" si="878"/>
        <v>-58.926655313074775</v>
      </c>
      <c r="AG259" s="241">
        <f t="shared" ref="AG259" si="879">SUM(AC259:AF259)</f>
        <v>100.90047336577925</v>
      </c>
      <c r="AH259" s="248">
        <f>(AH204-AF204)+(AH214-AF214)+(AH215-AF215)+(AH207-AF207)+(AH205-AF205)</f>
        <v>-52.912012712169485</v>
      </c>
      <c r="AI259" s="248">
        <f t="shared" ref="AI259:AK259" si="880">(AI204-AH204)+(AI214-AH214)+(AI215-AH215)+(AI207-AH207)+(AI205-AH205)</f>
        <v>-38.174519086421583</v>
      </c>
      <c r="AJ259" s="248">
        <f t="shared" si="880"/>
        <v>265.1302555926502</v>
      </c>
      <c r="AK259" s="248">
        <f t="shared" si="880"/>
        <v>-49.918469185578033</v>
      </c>
      <c r="AL259" s="241">
        <f t="shared" ref="AL259" si="881">SUM(AH259:AK259)</f>
        <v>124.1252546084811</v>
      </c>
      <c r="AM259" s="248">
        <f>(AM204-AK204)+(AM214-AK214)+(AM215-AK215)+(AM207-AK207)+(AM205-AK205)</f>
        <v>-67.084819134518057</v>
      </c>
      <c r="AN259" s="248">
        <f t="shared" ref="AN259" si="882">(AN204-AM204)+(AN214-AM214)+(AN215-AM215)+(AN207-AM207)+(AN205-AM205)</f>
        <v>-40.182142704174112</v>
      </c>
      <c r="AO259" s="248">
        <f t="shared" ref="AO259" si="883">(AO204-AN204)+(AO214-AN214)+(AO215-AN215)+(AO207-AN207)+(AO205-AN205)</f>
        <v>286.83789055772388</v>
      </c>
      <c r="AP259" s="248">
        <f t="shared" ref="AP259" si="884">(AP204-AO204)+(AP214-AO214)+(AP215-AO215)+(AP207-AO207)+(AP205-AO205)</f>
        <v>-47.194252518715643</v>
      </c>
      <c r="AQ259" s="241">
        <f t="shared" ref="AQ259" si="885">SUM(AM259:AP259)</f>
        <v>132.37667620031607</v>
      </c>
    </row>
    <row r="260" spans="1:43" outlineLevel="1" x14ac:dyDescent="0.25">
      <c r="A260" s="254"/>
      <c r="B260" s="625" t="s">
        <v>12</v>
      </c>
      <c r="C260" s="626"/>
      <c r="D260" s="80">
        <f t="shared" ref="D260:AL260" si="886">D244+SUM(D245:D259)</f>
        <v>2379.0000000000005</v>
      </c>
      <c r="E260" s="80">
        <f t="shared" si="886"/>
        <v>390.39999999999969</v>
      </c>
      <c r="F260" s="80">
        <f t="shared" si="886"/>
        <v>1169.400000000001</v>
      </c>
      <c r="G260" s="80">
        <f t="shared" si="886"/>
        <v>1108.1000000000008</v>
      </c>
      <c r="H260" s="242">
        <f t="shared" si="886"/>
        <v>5046.9000000000051</v>
      </c>
      <c r="I260" s="80">
        <f t="shared" si="886"/>
        <v>1836.0999999999985</v>
      </c>
      <c r="J260" s="80">
        <f t="shared" si="886"/>
        <v>-1361.3000000000009</v>
      </c>
      <c r="K260" s="80">
        <f t="shared" si="886"/>
        <v>-367.69999999999925</v>
      </c>
      <c r="L260" s="80">
        <f t="shared" si="886"/>
        <v>1490.7000000000014</v>
      </c>
      <c r="M260" s="242">
        <f t="shared" si="886"/>
        <v>1597.8000000000043</v>
      </c>
      <c r="N260" s="80">
        <f t="shared" si="886"/>
        <v>1835.7000000000003</v>
      </c>
      <c r="O260" s="80">
        <f t="shared" si="886"/>
        <v>883.80000000000018</v>
      </c>
      <c r="P260" s="80">
        <f t="shared" si="886"/>
        <v>1748.9999999999991</v>
      </c>
      <c r="Q260" s="80">
        <f t="shared" si="886"/>
        <v>1061.9856349532286</v>
      </c>
      <c r="R260" s="242">
        <f t="shared" si="886"/>
        <v>5530.4856349532274</v>
      </c>
      <c r="S260" s="80">
        <f t="shared" si="886"/>
        <v>2557.167153716583</v>
      </c>
      <c r="T260" s="80">
        <f t="shared" si="886"/>
        <v>992.52879047845238</v>
      </c>
      <c r="U260" s="80">
        <f t="shared" si="886"/>
        <v>1876.5328035899565</v>
      </c>
      <c r="V260" s="80">
        <f t="shared" si="886"/>
        <v>1068.6946045398399</v>
      </c>
      <c r="W260" s="242">
        <f t="shared" si="886"/>
        <v>6494.9233523248304</v>
      </c>
      <c r="X260" s="80">
        <f t="shared" si="886"/>
        <v>2541.4120531195222</v>
      </c>
      <c r="Y260" s="80">
        <f t="shared" si="886"/>
        <v>1158.0296164519837</v>
      </c>
      <c r="Z260" s="80">
        <f t="shared" si="886"/>
        <v>1956.8120694742552</v>
      </c>
      <c r="AA260" s="80">
        <f t="shared" si="886"/>
        <v>976.28458974116995</v>
      </c>
      <c r="AB260" s="242">
        <f t="shared" si="886"/>
        <v>6632.5383287869317</v>
      </c>
      <c r="AC260" s="80">
        <f t="shared" si="886"/>
        <v>2868.5273527453455</v>
      </c>
      <c r="AD260" s="80">
        <f t="shared" si="886"/>
        <v>1302.4205767065293</v>
      </c>
      <c r="AE260" s="80">
        <f t="shared" si="886"/>
        <v>2217.0295361899371</v>
      </c>
      <c r="AF260" s="80">
        <f t="shared" si="886"/>
        <v>977.02235165743275</v>
      </c>
      <c r="AG260" s="242">
        <f t="shared" si="886"/>
        <v>7364.9998172992437</v>
      </c>
      <c r="AH260" s="80">
        <f t="shared" si="886"/>
        <v>3123.2795753472788</v>
      </c>
      <c r="AI260" s="80">
        <f t="shared" si="886"/>
        <v>1439.8391246837643</v>
      </c>
      <c r="AJ260" s="80">
        <f t="shared" si="886"/>
        <v>2406.0982636774747</v>
      </c>
      <c r="AK260" s="80">
        <f t="shared" si="886"/>
        <v>1102.0257497069465</v>
      </c>
      <c r="AL260" s="242">
        <f t="shared" si="886"/>
        <v>8071.2427134154714</v>
      </c>
      <c r="AM260" s="80">
        <f t="shared" ref="AM260:AQ260" si="887">AM244+SUM(AM245:AM259)</f>
        <v>3376.4855088507406</v>
      </c>
      <c r="AN260" s="80">
        <f t="shared" si="887"/>
        <v>1580.8121847333314</v>
      </c>
      <c r="AO260" s="80">
        <f t="shared" si="887"/>
        <v>2628.9559015785899</v>
      </c>
      <c r="AP260" s="80">
        <f t="shared" si="887"/>
        <v>1203.4714084892726</v>
      </c>
      <c r="AQ260" s="242">
        <f t="shared" si="887"/>
        <v>8789.7250036519345</v>
      </c>
    </row>
    <row r="261" spans="1:43" outlineLevel="1" x14ac:dyDescent="0.25">
      <c r="A261" s="254"/>
      <c r="B261" s="603" t="s">
        <v>13</v>
      </c>
      <c r="C261" s="604"/>
      <c r="D261" s="354"/>
      <c r="E261" s="24"/>
      <c r="F261" s="24"/>
      <c r="G261" s="24"/>
      <c r="H261" s="25"/>
      <c r="I261" s="301"/>
      <c r="J261" s="301"/>
      <c r="K261" s="24"/>
      <c r="L261" s="24"/>
      <c r="M261" s="249"/>
      <c r="N261" s="24"/>
      <c r="O261" s="24"/>
      <c r="P261" s="24"/>
      <c r="Q261" s="24"/>
      <c r="R261" s="249"/>
      <c r="S261" s="24"/>
      <c r="T261" s="24"/>
      <c r="U261" s="24"/>
      <c r="V261" s="24"/>
      <c r="W261" s="249"/>
      <c r="X261" s="24"/>
      <c r="Y261" s="24"/>
      <c r="Z261" s="24"/>
      <c r="AA261" s="24"/>
      <c r="AB261" s="249"/>
      <c r="AC261" s="24"/>
      <c r="AD261" s="24"/>
      <c r="AE261" s="24"/>
      <c r="AF261" s="24"/>
      <c r="AG261" s="249"/>
      <c r="AH261" s="24"/>
      <c r="AI261" s="24"/>
      <c r="AJ261" s="24"/>
      <c r="AK261" s="24"/>
      <c r="AL261" s="249"/>
      <c r="AM261" s="24"/>
      <c r="AN261" s="24"/>
      <c r="AO261" s="24"/>
      <c r="AP261" s="24"/>
      <c r="AQ261" s="249"/>
    </row>
    <row r="262" spans="1:43" outlineLevel="1" x14ac:dyDescent="0.25">
      <c r="A262" s="254"/>
      <c r="B262" s="394" t="s">
        <v>220</v>
      </c>
      <c r="C262" s="395"/>
      <c r="D262" s="34">
        <f>-108.7+32.1+14.2</f>
        <v>-62.399999999999991</v>
      </c>
      <c r="E262" s="34">
        <f>-150.2+218.3+55.1-D262</f>
        <v>185.60000000000002</v>
      </c>
      <c r="F262" s="34">
        <f>-176.3+281.7+57.5-E262-D262</f>
        <v>39.699999999999946</v>
      </c>
      <c r="G262" s="34">
        <f>-190.4+298.3+59.8-F262-E262-D262</f>
        <v>4.8000000000000256</v>
      </c>
      <c r="H262" s="35">
        <f>SUM(D262:G262)</f>
        <v>167.7</v>
      </c>
      <c r="I262" s="34">
        <f>-38+64.6+1.3</f>
        <v>27.899999999999995</v>
      </c>
      <c r="J262" s="34">
        <f>-65.1+93.7+4.3-I262</f>
        <v>5.0000000000000107</v>
      </c>
      <c r="K262" s="34">
        <f>-297.4+133.5+10-J262-I262</f>
        <v>-186.79999999999998</v>
      </c>
      <c r="L262" s="34">
        <f>-443.9+186.7+73.7-K262-J262-I262</f>
        <v>-29.600000000000023</v>
      </c>
      <c r="M262" s="35">
        <f>SUM(I262:L262)</f>
        <v>-183.5</v>
      </c>
      <c r="N262" s="34">
        <f>-135.5+91.2+113.7</f>
        <v>69.400000000000006</v>
      </c>
      <c r="O262" s="34">
        <f>-321.7+121.7+289-N262</f>
        <v>19.599999999999994</v>
      </c>
      <c r="P262" s="34">
        <f>-367.3+130.4+298.7-O262-N262</f>
        <v>-27.200000000000017</v>
      </c>
      <c r="Q262" s="34">
        <f>-(Q188-P188)-(Q193-P193)</f>
        <v>-14.659459950551565</v>
      </c>
      <c r="R262" s="35">
        <f>SUM(N262:Q262)</f>
        <v>47.140540049448418</v>
      </c>
      <c r="S262" s="34">
        <f>-(S188-Q188)-(S193-Q193)</f>
        <v>14.187837530601627</v>
      </c>
      <c r="T262" s="34">
        <f>-(T188-S188)-(T193-S193)</f>
        <v>12.998476758978171</v>
      </c>
      <c r="U262" s="34">
        <f>-(U188-T188)-(U193-T193)</f>
        <v>-0.33525500171288058</v>
      </c>
      <c r="V262" s="34">
        <f>-(V188-U188)-(V193-U193)</f>
        <v>0.44602468501841486</v>
      </c>
      <c r="W262" s="35">
        <f>SUM(S262:V262)</f>
        <v>27.297083972885332</v>
      </c>
      <c r="X262" s="34">
        <f>-(X188-V188)-(X193-V193)</f>
        <v>-0.73380239143020276</v>
      </c>
      <c r="Y262" s="34">
        <f>-(Y188-X188)-(Y193-X193)</f>
        <v>9.3169099820219685</v>
      </c>
      <c r="Z262" s="34">
        <f>-(Z188-Y188)-(Z193-Y193)</f>
        <v>-2.7352815694054584</v>
      </c>
      <c r="AA262" s="34">
        <f>-(AA188-Z188)-(AA193-Z193)</f>
        <v>1.6252534146123594</v>
      </c>
      <c r="AB262" s="35">
        <f>SUM(X262:AA262)</f>
        <v>7.4730794357986667</v>
      </c>
      <c r="AC262" s="34">
        <f>-(AC188-AA188)-(AC193-AA193)</f>
        <v>-7.5050924848995066</v>
      </c>
      <c r="AD262" s="34">
        <f>-(AD188-AC188)-(AD193-AC193)</f>
        <v>6.5970636653377142</v>
      </c>
      <c r="AE262" s="34">
        <f>-(AE188-AD188)-(AE193-AD193)</f>
        <v>-7.579211913999643</v>
      </c>
      <c r="AF262" s="34">
        <f>-(AF188-AE188)-(AF193-AE193)</f>
        <v>-1.3789910772254927</v>
      </c>
      <c r="AG262" s="35">
        <f>SUM(AC262:AF262)</f>
        <v>-9.8662318107869282</v>
      </c>
      <c r="AH262" s="34">
        <f>-(AH188-AF188)-(AH193-AF193)</f>
        <v>-11.000844963665855</v>
      </c>
      <c r="AI262" s="34">
        <f>-(AI188-AH188)-(AI193-AH193)</f>
        <v>3.8016588857662157</v>
      </c>
      <c r="AJ262" s="34">
        <f>-(AJ188-AI188)-(AJ193-AI193)</f>
        <v>-11.279456733222247</v>
      </c>
      <c r="AK262" s="34">
        <f>-(AK188-AJ188)-(AK193-AJ193)</f>
        <v>-4.3567001851724285</v>
      </c>
      <c r="AL262" s="35">
        <f>SUM(AH262:AK262)</f>
        <v>-22.835342996294315</v>
      </c>
      <c r="AM262" s="34">
        <f>-(AM188-AK188)-(AM193-AK193)</f>
        <v>-12.880745973907807</v>
      </c>
      <c r="AN262" s="34">
        <f>-(AN188-AM188)-(AN193-AM193)</f>
        <v>2.9311016184730647</v>
      </c>
      <c r="AO262" s="34">
        <f>-(AO188-AN188)-(AO193-AN193)</f>
        <v>-13.395666467095481</v>
      </c>
      <c r="AP262" s="34">
        <f>-(AP188-AO188)-(AP193-AO193)</f>
        <v>-6.0461946772726378</v>
      </c>
      <c r="AQ262" s="35">
        <f>SUM(AM262:AP262)</f>
        <v>-29.391505499802861</v>
      </c>
    </row>
    <row r="263" spans="1:43" outlineLevel="1" x14ac:dyDescent="0.25">
      <c r="A263" s="254"/>
      <c r="B263" s="595" t="s">
        <v>221</v>
      </c>
      <c r="C263" s="596"/>
      <c r="D263" s="34">
        <v>-431.4</v>
      </c>
      <c r="E263" s="34">
        <f>-845.6-D263</f>
        <v>-414.20000000000005</v>
      </c>
      <c r="F263" s="34">
        <f>-1280.7-E263-D263</f>
        <v>-435.1</v>
      </c>
      <c r="G263" s="34">
        <f>-1806.6-F263-E263-D263</f>
        <v>-525.9</v>
      </c>
      <c r="H263" s="257">
        <f>SUM(D263:G263)</f>
        <v>-1806.6</v>
      </c>
      <c r="I263" s="34">
        <v>-394.3</v>
      </c>
      <c r="J263" s="34">
        <f>-758.3-I263</f>
        <v>-363.99999999999994</v>
      </c>
      <c r="K263" s="34">
        <f>-1138.4-J263-I263</f>
        <v>-380.10000000000008</v>
      </c>
      <c r="L263" s="34">
        <f>-1483.6-K263-J263-I263</f>
        <v>-345.19999999999976</v>
      </c>
      <c r="M263" s="449">
        <f>SUM(I263:L263)</f>
        <v>-1483.6</v>
      </c>
      <c r="N263" s="34">
        <v>-324.2</v>
      </c>
      <c r="O263" s="34">
        <f>-647.9-N263</f>
        <v>-323.7</v>
      </c>
      <c r="P263" s="34">
        <f>-985.7-O263-N263</f>
        <v>-337.8</v>
      </c>
      <c r="Q263" s="34">
        <f>-Q16*Q294</f>
        <v>-714.29999999999984</v>
      </c>
      <c r="R263" s="350">
        <f>SUM(N263:Q263)</f>
        <v>-1700</v>
      </c>
      <c r="S263" s="34">
        <f>-S16*S294</f>
        <v>-486.233284113921</v>
      </c>
      <c r="T263" s="34">
        <f>-T16*T294</f>
        <v>-468.85049909986975</v>
      </c>
      <c r="U263" s="34">
        <f>-U16*U294</f>
        <v>-518.30656836358526</v>
      </c>
      <c r="V263" s="34">
        <f>-V16*V294</f>
        <v>-507.23568076532149</v>
      </c>
      <c r="W263" s="350">
        <f>SUM(S263:V263)</f>
        <v>-1980.6260323426973</v>
      </c>
      <c r="X263" s="34">
        <f>-X16*X294</f>
        <v>-482.5383781820143</v>
      </c>
      <c r="Y263" s="34">
        <f>-Y16*Y294</f>
        <v>-472.35132305130162</v>
      </c>
      <c r="Z263" s="34">
        <f>-Z16*Z294</f>
        <v>-520.40839294477894</v>
      </c>
      <c r="AA263" s="34">
        <f>-AA16*AA294</f>
        <v>-504.63092124505152</v>
      </c>
      <c r="AB263" s="350">
        <f>SUM(X263:AA263)</f>
        <v>-1979.9290154231462</v>
      </c>
      <c r="AC263" s="34">
        <f>-AC16*AC294</f>
        <v>-473.70026432466426</v>
      </c>
      <c r="AD263" s="34">
        <f>-AD16*AD294</f>
        <v>-465.38656223801922</v>
      </c>
      <c r="AE263" s="34">
        <f>-AE16*AE294</f>
        <v>-513.78625071620024</v>
      </c>
      <c r="AF263" s="34">
        <f>-AF16*AF294</f>
        <v>-526.95856438047326</v>
      </c>
      <c r="AG263" s="350">
        <f>SUM(AC263:AF263)</f>
        <v>-1979.8316416593568</v>
      </c>
      <c r="AH263" s="34">
        <f>-AH16*AH294</f>
        <v>-513.57532395882401</v>
      </c>
      <c r="AI263" s="34">
        <f>-AI16*AI294</f>
        <v>-504.74270715064631</v>
      </c>
      <c r="AJ263" s="34">
        <f>-AJ16*AJ294</f>
        <v>-557.00964390762579</v>
      </c>
      <c r="AK263" s="34">
        <f>-AK16*AK294</f>
        <v>-565.7083601411307</v>
      </c>
      <c r="AL263" s="35">
        <f>SUM(AH263:AK263)</f>
        <v>-2141.0360351582267</v>
      </c>
      <c r="AM263" s="34">
        <f>-AM16*AM294</f>
        <v>-555.69903175720424</v>
      </c>
      <c r="AN263" s="34">
        <f>-AN16*AN294</f>
        <v>-545.58060444356465</v>
      </c>
      <c r="AO263" s="34">
        <f>-AO16*AO294</f>
        <v>-600.63511004295515</v>
      </c>
      <c r="AP263" s="34">
        <f>-AP16*AP294</f>
        <v>-609.53532665640057</v>
      </c>
      <c r="AQ263" s="35">
        <f>SUM(AM263:AP263)</f>
        <v>-2311.4500729001247</v>
      </c>
    </row>
    <row r="264" spans="1:43" ht="17.25" outlineLevel="1" x14ac:dyDescent="0.4">
      <c r="A264" s="254"/>
      <c r="B264" s="595" t="s">
        <v>109</v>
      </c>
      <c r="C264" s="596"/>
      <c r="D264" s="37">
        <v>-16.600000000000001</v>
      </c>
      <c r="E264" s="37">
        <f>48.5-37.1-D264</f>
        <v>28</v>
      </c>
      <c r="F264" s="37">
        <f>684.2-72.9-E264-D264</f>
        <v>599.90000000000009</v>
      </c>
      <c r="G264" s="37">
        <f>684.3-56.2-F264-E264-D264</f>
        <v>16.79999999999982</v>
      </c>
      <c r="H264" s="38">
        <f>SUM(D264:G264)</f>
        <v>628.09999999999991</v>
      </c>
      <c r="I264" s="37">
        <v>-19.899999999999999</v>
      </c>
      <c r="J264" s="37">
        <f>-22.5-I264</f>
        <v>-2.6000000000000014</v>
      </c>
      <c r="K264" s="37">
        <f>-39.4-J264-I264</f>
        <v>-16.899999999999999</v>
      </c>
      <c r="L264" s="37">
        <f>-44.4-K264-J264-I264</f>
        <v>-5</v>
      </c>
      <c r="M264" s="38">
        <f>SUM(I264:L264)</f>
        <v>-44.4</v>
      </c>
      <c r="N264" s="37">
        <v>-17.7</v>
      </c>
      <c r="O264" s="37">
        <f>-20.1-N264</f>
        <v>-2.4000000000000021</v>
      </c>
      <c r="P264" s="37">
        <f>-62.3-O264-N264</f>
        <v>-42.199999999999989</v>
      </c>
      <c r="Q264" s="37">
        <f t="shared" ref="Q264" si="888">-(Q194-P194)-(Q198-P198)-(Q196-P196)+(Q213-P213)-(Q199-P199)-(Q200-P200)</f>
        <v>13.645429494316318</v>
      </c>
      <c r="R264" s="38">
        <f>SUM(N264:Q264)</f>
        <v>-48.654570505683672</v>
      </c>
      <c r="S264" s="37">
        <f>-(S194-Q194)-(S198-Q198)-(S196-Q196)+(S213-Q213)-(S199-Q199)-(S200-Q200)</f>
        <v>30.295443655445013</v>
      </c>
      <c r="T264" s="37">
        <f t="shared" ref="T264:V264" si="889">-(T194-S194)-(T198-S198)-(T196-S196)+(T213-S213)-(T199-S199)-(T200-S200)</f>
        <v>47.344849484469705</v>
      </c>
      <c r="U264" s="37">
        <f t="shared" si="889"/>
        <v>27.44015971047736</v>
      </c>
      <c r="V264" s="37">
        <f t="shared" si="889"/>
        <v>22.923325171469344</v>
      </c>
      <c r="W264" s="38">
        <f>SUM(S264:V264)</f>
        <v>128.00377802186142</v>
      </c>
      <c r="X264" s="37">
        <f>-(X194-V194)-(X198-V198)-(X196-V196)+(X213-V213)-(X199-V199)-(X200-V200)</f>
        <v>18.844206581890546</v>
      </c>
      <c r="Y264" s="37">
        <f t="shared" ref="Y264:AA264" si="890">-(Y194-X194)-(Y198-X198)-(Y196-X196)+(Y213-X213)-(Y199-X199)-(Y200-X200)</f>
        <v>34.546221801460774</v>
      </c>
      <c r="Z264" s="37">
        <f t="shared" si="890"/>
        <v>16.579723974848378</v>
      </c>
      <c r="AA264" s="37">
        <f t="shared" si="890"/>
        <v>20.712505820958086</v>
      </c>
      <c r="AB264" s="38">
        <f>SUM(X264:AA264)</f>
        <v>90.682658179157784</v>
      </c>
      <c r="AC264" s="37">
        <f>-(AC194-AA194)-(AC198-AA198)-(AC196-AA196)+(AC213-AA213)-(AC199-AA199)-(AC200-AA200)</f>
        <v>7.6209315140202705</v>
      </c>
      <c r="AD264" s="37">
        <f t="shared" ref="AD264:AF264" si="891">-(AD194-AC194)-(AD198-AC198)-(AD196-AC196)+(AD213-AC213)-(AD199-AC199)-(AD200-AC200)</f>
        <v>26.209190702407966</v>
      </c>
      <c r="AE264" s="37">
        <f t="shared" si="891"/>
        <v>6.098187309991431</v>
      </c>
      <c r="AF264" s="37">
        <f t="shared" si="891"/>
        <v>13.572658442357778</v>
      </c>
      <c r="AG264" s="38">
        <f>SUM(AC264:AF264)</f>
        <v>53.500967968777445</v>
      </c>
      <c r="AH264" s="37">
        <f>-(AH194-AF194)-(AH198-AF198)-(AH196-AF196)+(AH213-AF213)-(AH199-AF199)-(AH200-AF200)</f>
        <v>-3.1902515775698248E-2</v>
      </c>
      <c r="AI264" s="37">
        <f t="shared" ref="AI264:AK264" si="892">-(AI194-AH194)-(AI198-AH198)-(AI196-AH196)+(AI213-AH213)-(AI199-AH199)-(AI200-AH200)</f>
        <v>19.262974842454298</v>
      </c>
      <c r="AJ264" s="37">
        <f t="shared" si="892"/>
        <v>-1.725770164317936</v>
      </c>
      <c r="AK264" s="37">
        <f t="shared" si="892"/>
        <v>6.9757366148920426</v>
      </c>
      <c r="AL264" s="38">
        <f>SUM(AH264:AK264)</f>
        <v>24.481038777252706</v>
      </c>
      <c r="AM264" s="37">
        <f>-(AM194-AK194)-(AM198-AK198)-(AM196-AK196)+(AM213-AK213)-(AM199-AK199)-(AM200-AK200)</f>
        <v>-5.0499721899227836</v>
      </c>
      <c r="AN264" s="37">
        <f t="shared" ref="AN264" si="893">-(AN194-AM194)-(AN198-AM198)-(AN196-AM196)+(AN213-AM213)-(AN199-AM199)-(AN200-AM200)</f>
        <v>15.692211259586173</v>
      </c>
      <c r="AO264" s="37">
        <f t="shared" ref="AO264" si="894">-(AO194-AN194)-(AO198-AN198)-(AO196-AN196)+(AO213-AN213)-(AO199-AN199)-(AO200-AN200)</f>
        <v>-6.797984353667232</v>
      </c>
      <c r="AP264" s="37">
        <f t="shared" ref="AP264" si="895">-(AP194-AO194)-(AP198-AO198)-(AP196-AO196)+(AP213-AO213)-(AP199-AO199)-(AP200-AO200)</f>
        <v>2.6122787777773908</v>
      </c>
      <c r="AQ264" s="38">
        <f>SUM(AM264:AP264)</f>
        <v>6.4565334937735486</v>
      </c>
    </row>
    <row r="265" spans="1:43" outlineLevel="1" x14ac:dyDescent="0.25">
      <c r="A265" s="254"/>
      <c r="B265" s="585" t="s">
        <v>14</v>
      </c>
      <c r="C265" s="586"/>
      <c r="D265" s="41">
        <f t="shared" ref="D265:AL265" si="896">SUM(D262:D264)</f>
        <v>-510.4</v>
      </c>
      <c r="E265" s="41">
        <f t="shared" si="896"/>
        <v>-200.60000000000002</v>
      </c>
      <c r="F265" s="41">
        <f t="shared" si="896"/>
        <v>204.5</v>
      </c>
      <c r="G265" s="41">
        <f t="shared" si="896"/>
        <v>-504.30000000000007</v>
      </c>
      <c r="H265" s="42">
        <f t="shared" si="896"/>
        <v>-1010.8</v>
      </c>
      <c r="I265" s="41">
        <f t="shared" si="896"/>
        <v>-386.3</v>
      </c>
      <c r="J265" s="41">
        <f t="shared" si="896"/>
        <v>-361.59999999999997</v>
      </c>
      <c r="K265" s="41">
        <f t="shared" si="896"/>
        <v>-583.80000000000007</v>
      </c>
      <c r="L265" s="41">
        <f t="shared" si="896"/>
        <v>-379.79999999999978</v>
      </c>
      <c r="M265" s="42">
        <f t="shared" si="896"/>
        <v>-1711.5</v>
      </c>
      <c r="N265" s="41">
        <f t="shared" si="896"/>
        <v>-272.5</v>
      </c>
      <c r="O265" s="41">
        <f t="shared" si="896"/>
        <v>-306.5</v>
      </c>
      <c r="P265" s="41">
        <f t="shared" si="896"/>
        <v>-407.2</v>
      </c>
      <c r="Q265" s="41">
        <f t="shared" si="896"/>
        <v>-715.31403045623506</v>
      </c>
      <c r="R265" s="42">
        <f t="shared" si="896"/>
        <v>-1701.5140304562353</v>
      </c>
      <c r="S265" s="41">
        <f t="shared" si="896"/>
        <v>-441.75000292787439</v>
      </c>
      <c r="T265" s="41">
        <f t="shared" si="896"/>
        <v>-408.5071728564219</v>
      </c>
      <c r="U265" s="41">
        <f t="shared" si="896"/>
        <v>-491.20166365482078</v>
      </c>
      <c r="V265" s="41">
        <f t="shared" si="896"/>
        <v>-483.86633090883373</v>
      </c>
      <c r="W265" s="42">
        <f t="shared" si="896"/>
        <v>-1825.3251703479505</v>
      </c>
      <c r="X265" s="41">
        <f t="shared" si="896"/>
        <v>-464.42797399155398</v>
      </c>
      <c r="Y265" s="41">
        <f t="shared" si="896"/>
        <v>-428.48819126781888</v>
      </c>
      <c r="Z265" s="41">
        <f t="shared" si="896"/>
        <v>-506.56395053933596</v>
      </c>
      <c r="AA265" s="41">
        <f t="shared" si="896"/>
        <v>-482.29316200948108</v>
      </c>
      <c r="AB265" s="42">
        <f t="shared" si="896"/>
        <v>-1881.77327780819</v>
      </c>
      <c r="AC265" s="41">
        <f t="shared" si="896"/>
        <v>-473.5844252955435</v>
      </c>
      <c r="AD265" s="41">
        <f t="shared" si="896"/>
        <v>-432.58030787027354</v>
      </c>
      <c r="AE265" s="41">
        <f t="shared" si="896"/>
        <v>-515.26727532020846</v>
      </c>
      <c r="AF265" s="41">
        <f t="shared" si="896"/>
        <v>-514.76489701534092</v>
      </c>
      <c r="AG265" s="42">
        <f t="shared" si="896"/>
        <v>-1936.1969055013665</v>
      </c>
      <c r="AH265" s="41">
        <f t="shared" si="896"/>
        <v>-524.6080714382656</v>
      </c>
      <c r="AI265" s="41">
        <f t="shared" si="896"/>
        <v>-481.67807342242583</v>
      </c>
      <c r="AJ265" s="41">
        <f t="shared" si="896"/>
        <v>-570.01487080516597</v>
      </c>
      <c r="AK265" s="41">
        <f t="shared" si="896"/>
        <v>-563.08932371141111</v>
      </c>
      <c r="AL265" s="42">
        <f t="shared" si="896"/>
        <v>-2139.3903393772684</v>
      </c>
      <c r="AM265" s="41">
        <f t="shared" ref="AM265:AQ265" si="897">SUM(AM262:AM264)</f>
        <v>-573.62974992103477</v>
      </c>
      <c r="AN265" s="41">
        <f t="shared" si="897"/>
        <v>-526.95729156550533</v>
      </c>
      <c r="AO265" s="41">
        <f t="shared" si="897"/>
        <v>-620.82876086371789</v>
      </c>
      <c r="AP265" s="41">
        <f t="shared" si="897"/>
        <v>-612.96924255589579</v>
      </c>
      <c r="AQ265" s="42">
        <f t="shared" si="897"/>
        <v>-2334.3850449061542</v>
      </c>
    </row>
    <row r="266" spans="1:43" outlineLevel="1" x14ac:dyDescent="0.25">
      <c r="A266" s="254"/>
      <c r="B266" s="623" t="s">
        <v>15</v>
      </c>
      <c r="C266" s="624"/>
      <c r="D266" s="251"/>
      <c r="E266" s="246"/>
      <c r="F266" s="246"/>
      <c r="G266" s="246"/>
      <c r="H266" s="247"/>
      <c r="I266" s="246"/>
      <c r="J266" s="246"/>
      <c r="K266" s="246"/>
      <c r="L266" s="246"/>
      <c r="M266" s="247"/>
      <c r="N266" s="246"/>
      <c r="O266" s="246"/>
      <c r="P266" s="246"/>
      <c r="Q266" s="246"/>
      <c r="R266" s="247"/>
      <c r="S266" s="246"/>
      <c r="T266" s="246"/>
      <c r="U266" s="246"/>
      <c r="V266" s="246"/>
      <c r="W266" s="247"/>
      <c r="X266" s="246"/>
      <c r="Y266" s="246"/>
      <c r="Z266" s="246"/>
      <c r="AA266" s="246"/>
      <c r="AB266" s="247"/>
      <c r="AC266" s="246"/>
      <c r="AD266" s="246"/>
      <c r="AE266" s="246"/>
      <c r="AF266" s="246"/>
      <c r="AG266" s="247"/>
      <c r="AH266" s="246"/>
      <c r="AI266" s="246"/>
      <c r="AJ266" s="246"/>
      <c r="AK266" s="246"/>
      <c r="AL266" s="247"/>
      <c r="AM266" s="246"/>
      <c r="AN266" s="246"/>
      <c r="AO266" s="246"/>
      <c r="AP266" s="246"/>
      <c r="AQ266" s="247"/>
    </row>
    <row r="267" spans="1:43" outlineLevel="1" x14ac:dyDescent="0.25">
      <c r="A267" s="254"/>
      <c r="B267" s="619" t="s">
        <v>270</v>
      </c>
      <c r="C267" s="620"/>
      <c r="D267" s="81">
        <v>0</v>
      </c>
      <c r="E267" s="81">
        <f>-D267</f>
        <v>0</v>
      </c>
      <c r="F267" s="81">
        <f>1996-350-E267-D267</f>
        <v>1646</v>
      </c>
      <c r="G267" s="81">
        <f>1996-F267-E267-D267</f>
        <v>350</v>
      </c>
      <c r="H267" s="82">
        <f t="shared" ref="H267:H271" si="898">SUM(D267:G267)</f>
        <v>1996</v>
      </c>
      <c r="I267" s="81">
        <v>0</v>
      </c>
      <c r="J267" s="81">
        <f>1739.7-I267</f>
        <v>1739.7</v>
      </c>
      <c r="K267" s="81">
        <f>1157.2+4727.6-J267-I267</f>
        <v>4145.1000000000004</v>
      </c>
      <c r="L267" s="81">
        <f>1406.6-K267-J267-I267</f>
        <v>-4478.2000000000007</v>
      </c>
      <c r="M267" s="82">
        <f t="shared" ref="M267:M271" si="899">SUM(I267:L267)</f>
        <v>1406.5999999999995</v>
      </c>
      <c r="N267" s="81">
        <v>192.9</v>
      </c>
      <c r="O267" s="81">
        <f>203.3-N267</f>
        <v>10.400000000000006</v>
      </c>
      <c r="P267" s="81">
        <f>215.6-O267-N267</f>
        <v>12.299999999999983</v>
      </c>
      <c r="Q267" s="81">
        <f>+(Q209-P209)+(Q212-P212)</f>
        <v>-250</v>
      </c>
      <c r="R267" s="82">
        <f t="shared" ref="R267:R271" si="900">SUM(N267:Q267)</f>
        <v>-34.400000000000006</v>
      </c>
      <c r="S267" s="81">
        <f>+(S209-Q209)+(S212-Q212)</f>
        <v>-499.99999999999989</v>
      </c>
      <c r="T267" s="81">
        <f>+(T209-S209)+(T212-S212)</f>
        <v>-500</v>
      </c>
      <c r="U267" s="81">
        <f>+(U209-T209)+(U212-T212)</f>
        <v>-499</v>
      </c>
      <c r="V267" s="81">
        <f>+(V209-U209)+(V212-U212)</f>
        <v>-250</v>
      </c>
      <c r="W267" s="82">
        <f t="shared" ref="W267:W271" si="901">SUM(S267:V267)</f>
        <v>-1749</v>
      </c>
      <c r="X267" s="81">
        <f>+(X209-V209)+(X212-V212)</f>
        <v>-250</v>
      </c>
      <c r="Y267" s="81">
        <f>+(Y209-X209)+(Y212-X212)</f>
        <v>-250</v>
      </c>
      <c r="Z267" s="81">
        <f>+(Z209-Y209)+(Z212-Y212)</f>
        <v>-250</v>
      </c>
      <c r="AA267" s="81">
        <f>+(AA209-Z209)+(AA212-Z212)</f>
        <v>-250</v>
      </c>
      <c r="AB267" s="82">
        <f t="shared" ref="AB267:AB271" si="902">SUM(X267:AA267)</f>
        <v>-1000</v>
      </c>
      <c r="AC267" s="81">
        <f>+(AC209-AA209)+(AC212-AA212)</f>
        <v>-359.35000000000082</v>
      </c>
      <c r="AD267" s="81">
        <f>+(AD209-AC209)+(AD212-AC212)</f>
        <v>-385.75</v>
      </c>
      <c r="AE267" s="81">
        <f>+(AE209-AD209)+(AE212-AD212)</f>
        <v>-385.75</v>
      </c>
      <c r="AF267" s="81">
        <f>+(AF209-AE209)+(AF212-AE212)</f>
        <v>-385.75</v>
      </c>
      <c r="AG267" s="82">
        <f t="shared" ref="AG267:AG271" si="903">SUM(AC267:AF267)</f>
        <v>-1516.6000000000008</v>
      </c>
      <c r="AH267" s="81">
        <f>+(AH209-AF209)+(AH212-AF212)</f>
        <v>-312.5</v>
      </c>
      <c r="AI267" s="81">
        <f>+(AI209-AH209)+(AI212-AH212)</f>
        <v>-312.5</v>
      </c>
      <c r="AJ267" s="81">
        <f>+(AJ209-AI209)+(AJ212-AI212)</f>
        <v>-312.5</v>
      </c>
      <c r="AK267" s="81">
        <f>+(AK209-AJ209)+(AK212-AJ212)</f>
        <v>-312.5</v>
      </c>
      <c r="AL267" s="82">
        <f t="shared" ref="AL267:AL271" si="904">SUM(AH267:AK267)</f>
        <v>-1250</v>
      </c>
      <c r="AM267" s="81">
        <f>+(AM209-AK209)+(AM212-AK212)</f>
        <v>-312.5</v>
      </c>
      <c r="AN267" s="81">
        <f>+(AN209-AM209)+(AN212-AM212)</f>
        <v>-312.5</v>
      </c>
      <c r="AO267" s="81">
        <f>+(AO209-AN209)+(AO212-AN212)</f>
        <v>-312.5</v>
      </c>
      <c r="AP267" s="81">
        <f>+(AP209-AO209)+(AP212-AO212)</f>
        <v>-312.5</v>
      </c>
      <c r="AQ267" s="82">
        <f t="shared" ref="AQ267:AQ271" si="905">SUM(AM267:AP267)</f>
        <v>-1250</v>
      </c>
    </row>
    <row r="268" spans="1:43" outlineLevel="1" x14ac:dyDescent="0.25">
      <c r="A268" s="254"/>
      <c r="B268" s="396" t="s">
        <v>269</v>
      </c>
      <c r="C268" s="397"/>
      <c r="D268" s="81">
        <v>-350</v>
      </c>
      <c r="E268" s="81">
        <v>0</v>
      </c>
      <c r="F268" s="81">
        <f>-75-E268-D268</f>
        <v>275</v>
      </c>
      <c r="G268" s="81">
        <f>-350-F268-E268-D268</f>
        <v>-275</v>
      </c>
      <c r="H268" s="82">
        <f t="shared" si="898"/>
        <v>-350</v>
      </c>
      <c r="I268" s="81"/>
      <c r="J268" s="81">
        <f t="shared" ref="J268" si="906">0-I268</f>
        <v>0</v>
      </c>
      <c r="K268" s="81">
        <v>-220.7</v>
      </c>
      <c r="L268" s="81">
        <f>-967.7-K268-J268-I268</f>
        <v>-747</v>
      </c>
      <c r="M268" s="82">
        <f t="shared" si="899"/>
        <v>-967.7</v>
      </c>
      <c r="N268" s="81">
        <f>-144.7-500</f>
        <v>-644.70000000000005</v>
      </c>
      <c r="O268" s="81">
        <f>-296.5-320.5-1250-N268</f>
        <v>-1222.3</v>
      </c>
      <c r="P268" s="81">
        <f>-296.5-346.2-1250-O268-N268</f>
        <v>-25.700000000000045</v>
      </c>
      <c r="Q268" s="81"/>
      <c r="R268" s="82">
        <f t="shared" si="900"/>
        <v>-1892.7</v>
      </c>
      <c r="S268" s="81"/>
      <c r="T268" s="81"/>
      <c r="U268" s="81"/>
      <c r="V268" s="81"/>
      <c r="W268" s="82">
        <f t="shared" si="901"/>
        <v>0</v>
      </c>
      <c r="X268" s="81"/>
      <c r="Y268" s="81"/>
      <c r="Z268" s="81"/>
      <c r="AA268" s="81"/>
      <c r="AB268" s="82">
        <f t="shared" si="902"/>
        <v>0</v>
      </c>
      <c r="AC268" s="81"/>
      <c r="AD268" s="81"/>
      <c r="AE268" s="81"/>
      <c r="AF268" s="81"/>
      <c r="AG268" s="82">
        <f t="shared" si="903"/>
        <v>0</v>
      </c>
      <c r="AH268" s="81"/>
      <c r="AI268" s="81"/>
      <c r="AJ268" s="81"/>
      <c r="AK268" s="81"/>
      <c r="AL268" s="82">
        <f t="shared" si="904"/>
        <v>0</v>
      </c>
      <c r="AM268" s="81"/>
      <c r="AN268" s="81"/>
      <c r="AO268" s="81"/>
      <c r="AP268" s="81"/>
      <c r="AQ268" s="82">
        <f t="shared" si="905"/>
        <v>0</v>
      </c>
    </row>
    <row r="269" spans="1:43" outlineLevel="1" x14ac:dyDescent="0.25">
      <c r="A269" s="254"/>
      <c r="B269" s="396" t="s">
        <v>267</v>
      </c>
      <c r="C269" s="397"/>
      <c r="D269" s="81"/>
      <c r="E269" s="81">
        <v>75</v>
      </c>
      <c r="F269" s="81">
        <v>0</v>
      </c>
      <c r="G269" s="81">
        <f>0-F269-E269-D269</f>
        <v>-75</v>
      </c>
      <c r="H269" s="82">
        <f t="shared" si="898"/>
        <v>0</v>
      </c>
      <c r="I269" s="81">
        <f>398.9+99</f>
        <v>497.9</v>
      </c>
      <c r="J269" s="81">
        <f>613+494.1-I269</f>
        <v>609.19999999999993</v>
      </c>
      <c r="K269" s="81">
        <f t="shared" ref="K269" si="907">0-J269-I269</f>
        <v>-1107.0999999999999</v>
      </c>
      <c r="L269" s="81">
        <f>4727.6-K269-J269-I269</f>
        <v>4727.6000000000013</v>
      </c>
      <c r="M269" s="82">
        <f t="shared" si="899"/>
        <v>4727.6000000000013</v>
      </c>
      <c r="N269" s="81">
        <v>0</v>
      </c>
      <c r="O269" s="81">
        <f t="shared" ref="O269:O274" si="908">0-N269</f>
        <v>0</v>
      </c>
      <c r="P269" s="81">
        <f t="shared" ref="P269:P274" si="909">0-O269-N269</f>
        <v>0</v>
      </c>
      <c r="Q269" s="81"/>
      <c r="R269" s="82">
        <f t="shared" si="900"/>
        <v>0</v>
      </c>
      <c r="S269" s="81"/>
      <c r="T269" s="81"/>
      <c r="U269" s="81"/>
      <c r="V269" s="81"/>
      <c r="W269" s="82">
        <f t="shared" si="901"/>
        <v>0</v>
      </c>
      <c r="X269" s="81"/>
      <c r="Y269" s="81"/>
      <c r="Z269" s="81"/>
      <c r="AA269" s="81"/>
      <c r="AB269" s="82">
        <f t="shared" si="902"/>
        <v>0</v>
      </c>
      <c r="AC269" s="81"/>
      <c r="AD269" s="81"/>
      <c r="AE269" s="81"/>
      <c r="AF269" s="81"/>
      <c r="AG269" s="82">
        <f t="shared" si="903"/>
        <v>0</v>
      </c>
      <c r="AH269" s="81"/>
      <c r="AI269" s="81"/>
      <c r="AJ269" s="81"/>
      <c r="AK269" s="81"/>
      <c r="AL269" s="82">
        <f t="shared" si="904"/>
        <v>0</v>
      </c>
      <c r="AM269" s="81"/>
      <c r="AN269" s="81"/>
      <c r="AO269" s="81"/>
      <c r="AP269" s="81"/>
      <c r="AQ269" s="82">
        <f t="shared" si="905"/>
        <v>0</v>
      </c>
    </row>
    <row r="270" spans="1:43" outlineLevel="1" x14ac:dyDescent="0.25">
      <c r="A270" s="254"/>
      <c r="B270" s="396" t="s">
        <v>219</v>
      </c>
      <c r="C270" s="397"/>
      <c r="D270" s="81">
        <v>108.4</v>
      </c>
      <c r="E270" s="81">
        <f>275.7-D270</f>
        <v>167.29999999999998</v>
      </c>
      <c r="F270" s="81">
        <f>358.5-E270-D270</f>
        <v>82.800000000000011</v>
      </c>
      <c r="G270" s="81">
        <f>409.8-F270-E270-D270</f>
        <v>51.300000000000011</v>
      </c>
      <c r="H270" s="82">
        <f t="shared" si="898"/>
        <v>409.8</v>
      </c>
      <c r="I270" s="81">
        <v>33.1</v>
      </c>
      <c r="J270" s="81">
        <f>65.4-I270</f>
        <v>32.300000000000004</v>
      </c>
      <c r="K270" s="81">
        <f>98.9-J270-I270</f>
        <v>33.499999999999993</v>
      </c>
      <c r="L270" s="81">
        <f>298.8-K270-J270-I270</f>
        <v>199.9</v>
      </c>
      <c r="M270" s="82">
        <f t="shared" si="899"/>
        <v>298.8</v>
      </c>
      <c r="N270" s="81">
        <v>102.8</v>
      </c>
      <c r="O270" s="81">
        <f>134.4-N270</f>
        <v>31.600000000000009</v>
      </c>
      <c r="P270" s="81">
        <f>191.6-O270-N270</f>
        <v>57.2</v>
      </c>
      <c r="Q270" s="81">
        <v>0</v>
      </c>
      <c r="R270" s="82">
        <f t="shared" si="900"/>
        <v>191.60000000000002</v>
      </c>
      <c r="S270" s="81">
        <v>0</v>
      </c>
      <c r="T270" s="81">
        <v>0</v>
      </c>
      <c r="U270" s="81">
        <v>0</v>
      </c>
      <c r="V270" s="81">
        <v>0</v>
      </c>
      <c r="W270" s="82">
        <f t="shared" si="901"/>
        <v>0</v>
      </c>
      <c r="X270" s="81">
        <v>0</v>
      </c>
      <c r="Y270" s="81">
        <v>0</v>
      </c>
      <c r="Z270" s="81">
        <v>0</v>
      </c>
      <c r="AA270" s="81">
        <v>0</v>
      </c>
      <c r="AB270" s="82">
        <f t="shared" si="902"/>
        <v>0</v>
      </c>
      <c r="AC270" s="81">
        <v>0</v>
      </c>
      <c r="AD270" s="81">
        <v>0</v>
      </c>
      <c r="AE270" s="81">
        <v>0</v>
      </c>
      <c r="AF270" s="81">
        <v>0</v>
      </c>
      <c r="AG270" s="82">
        <f t="shared" si="903"/>
        <v>0</v>
      </c>
      <c r="AH270" s="81">
        <v>0</v>
      </c>
      <c r="AI270" s="81">
        <v>0</v>
      </c>
      <c r="AJ270" s="81">
        <v>0</v>
      </c>
      <c r="AK270" s="81">
        <v>0</v>
      </c>
      <c r="AL270" s="82">
        <f t="shared" si="904"/>
        <v>0</v>
      </c>
      <c r="AM270" s="81">
        <v>0</v>
      </c>
      <c r="AN270" s="81">
        <v>0</v>
      </c>
      <c r="AO270" s="81">
        <v>0</v>
      </c>
      <c r="AP270" s="81">
        <v>0</v>
      </c>
      <c r="AQ270" s="82">
        <f t="shared" si="905"/>
        <v>0</v>
      </c>
    </row>
    <row r="271" spans="1:43" outlineLevel="1" x14ac:dyDescent="0.25">
      <c r="A271" s="254"/>
      <c r="B271" s="396" t="s">
        <v>225</v>
      </c>
      <c r="C271" s="397"/>
      <c r="D271" s="81">
        <v>-446.7</v>
      </c>
      <c r="E271" s="81">
        <f>-894.5-D271</f>
        <v>-447.8</v>
      </c>
      <c r="F271" s="81">
        <f>-1330.7-E271-D271</f>
        <v>-436.2000000000001</v>
      </c>
      <c r="G271" s="81">
        <f>-1761.3-F271-E271-D271</f>
        <v>-430.59999999999997</v>
      </c>
      <c r="H271" s="82">
        <f t="shared" si="898"/>
        <v>-1761.3</v>
      </c>
      <c r="I271" s="81">
        <v>-484.2</v>
      </c>
      <c r="J271" s="81">
        <f>-965.2-I271</f>
        <v>-481.00000000000006</v>
      </c>
      <c r="K271" s="81">
        <f>-1444.2-J271-I271</f>
        <v>-479.00000000000006</v>
      </c>
      <c r="L271" s="81">
        <f>-1923.5-K271-J271-I271</f>
        <v>-479.3</v>
      </c>
      <c r="M271" s="82">
        <f t="shared" si="899"/>
        <v>-1923.5</v>
      </c>
      <c r="N271" s="81">
        <v>-528.20000000000005</v>
      </c>
      <c r="O271" s="81">
        <f>-1058-N271</f>
        <v>-529.79999999999995</v>
      </c>
      <c r="P271" s="81">
        <f>-1588.2-O271-N271</f>
        <v>-530.20000000000005</v>
      </c>
      <c r="Q271" s="81">
        <f>-Q43*Q38</f>
        <v>-577.95541613588114</v>
      </c>
      <c r="R271" s="82">
        <f t="shared" si="900"/>
        <v>-2166.1554161358813</v>
      </c>
      <c r="S271" s="81">
        <f>-S43*S38</f>
        <v>-576.40458209438282</v>
      </c>
      <c r="T271" s="81">
        <f>-T43*T38</f>
        <v>-574.85243099637376</v>
      </c>
      <c r="U271" s="81">
        <f>-U43*U38</f>
        <v>-573.29896172333451</v>
      </c>
      <c r="V271" s="81">
        <f>-V43*V38</f>
        <v>-600.33138181358572</v>
      </c>
      <c r="W271" s="82">
        <f t="shared" si="901"/>
        <v>-2324.887356627677</v>
      </c>
      <c r="X271" s="81">
        <f>-X43*X38</f>
        <v>-598.69746738200479</v>
      </c>
      <c r="Y271" s="81">
        <f>-Y43*Y38</f>
        <v>-597.06216533731856</v>
      </c>
      <c r="Z271" s="81">
        <f>-Z43*Z38</f>
        <v>-595.42547450108691</v>
      </c>
      <c r="AA271" s="81">
        <f>-AA43*AA38</f>
        <v>-623.47676337856262</v>
      </c>
      <c r="AB271" s="82">
        <f t="shared" si="902"/>
        <v>-2414.6618705989727</v>
      </c>
      <c r="AC271" s="81">
        <f>-AC43*AC38</f>
        <v>-622.88078657198389</v>
      </c>
      <c r="AD271" s="81">
        <f>-AD43*AD38</f>
        <v>-622.28430362798986</v>
      </c>
      <c r="AE271" s="81">
        <f>-AE43*AE38</f>
        <v>-621.6873141167398</v>
      </c>
      <c r="AF271" s="81">
        <f>-AF43*AF38</f>
        <v>-621.08981760802794</v>
      </c>
      <c r="AG271" s="82">
        <f t="shared" si="903"/>
        <v>-2487.9422219247417</v>
      </c>
      <c r="AH271" s="81">
        <f>-AH43*AH38</f>
        <v>-620.49181367128324</v>
      </c>
      <c r="AI271" s="81">
        <f>-AI43*AI38</f>
        <v>-619.89330187556891</v>
      </c>
      <c r="AJ271" s="81">
        <f>-AJ43*AJ38</f>
        <v>-619.29428178958221</v>
      </c>
      <c r="AK271" s="81">
        <f>-AK43*AK38</f>
        <v>-680.56422827981953</v>
      </c>
      <c r="AL271" s="82">
        <f t="shared" si="904"/>
        <v>-2540.2436256162537</v>
      </c>
      <c r="AM271" s="81">
        <f>-AM43*AM38</f>
        <v>-679.90418652172389</v>
      </c>
      <c r="AN271" s="81">
        <f>-AN43*AN38</f>
        <v>-679.24358421861075</v>
      </c>
      <c r="AO271" s="81">
        <f>-AO43*AO38</f>
        <v>-678.58242089443331</v>
      </c>
      <c r="AP271" s="81">
        <f>-AP43*AP38</f>
        <v>-725.3751447978326</v>
      </c>
      <c r="AQ271" s="82">
        <f t="shared" si="905"/>
        <v>-2763.1053364326003</v>
      </c>
    </row>
    <row r="272" spans="1:43" outlineLevel="1" x14ac:dyDescent="0.25">
      <c r="A272" s="254"/>
      <c r="B272" s="396" t="s">
        <v>110</v>
      </c>
      <c r="C272" s="148"/>
      <c r="D272" s="81">
        <v>-5114.7</v>
      </c>
      <c r="E272" s="81">
        <f>-7827.9-D272</f>
        <v>-2713.2</v>
      </c>
      <c r="F272" s="81">
        <f>-7972.9-E272-D272</f>
        <v>-145</v>
      </c>
      <c r="G272" s="81">
        <f>-10222.3-F272-E272-D272</f>
        <v>-2249.3999999999996</v>
      </c>
      <c r="H272" s="82">
        <f>SUM(D272:G272)</f>
        <v>-10222.299999999999</v>
      </c>
      <c r="I272" s="81">
        <v>-1091.4000000000001</v>
      </c>
      <c r="J272" s="81">
        <f>-1698.9-I272</f>
        <v>-607.5</v>
      </c>
      <c r="K272" s="81">
        <f>-1698.9-J272-I272</f>
        <v>0</v>
      </c>
      <c r="L272" s="81">
        <f>-1698.9-K272-J272-I272</f>
        <v>0</v>
      </c>
      <c r="M272" s="82">
        <f>SUM(I272:L272)</f>
        <v>-1698.9</v>
      </c>
      <c r="N272" s="81">
        <f>-N163</f>
        <v>0</v>
      </c>
      <c r="O272" s="81">
        <f t="shared" si="908"/>
        <v>0</v>
      </c>
      <c r="P272" s="81">
        <f t="shared" si="909"/>
        <v>0</v>
      </c>
      <c r="Q272" s="81">
        <f>-Q163</f>
        <v>0</v>
      </c>
      <c r="R272" s="82">
        <f>SUM(N272:Q272)</f>
        <v>0</v>
      </c>
      <c r="S272" s="81">
        <f>-S163</f>
        <v>-500</v>
      </c>
      <c r="T272" s="81">
        <f>-T163</f>
        <v>-500</v>
      </c>
      <c r="U272" s="81">
        <f>-U163</f>
        <v>-500</v>
      </c>
      <c r="V272" s="81">
        <f>-V163</f>
        <v>-500</v>
      </c>
      <c r="W272" s="82">
        <f>SUM(S272:V272)</f>
        <v>-2000</v>
      </c>
      <c r="X272" s="81">
        <f>-X163</f>
        <v>-500</v>
      </c>
      <c r="Y272" s="81">
        <f>-Y163</f>
        <v>-500</v>
      </c>
      <c r="Z272" s="81">
        <f>-Z163</f>
        <v>-500</v>
      </c>
      <c r="AA272" s="81">
        <f>-AA163</f>
        <v>-500</v>
      </c>
      <c r="AB272" s="82">
        <f>SUM(X272:AA272)</f>
        <v>-2000</v>
      </c>
      <c r="AC272" s="81">
        <f>-AC163</f>
        <v>-250</v>
      </c>
      <c r="AD272" s="81">
        <f>-AD163</f>
        <v>-250</v>
      </c>
      <c r="AE272" s="81">
        <f>-AE163</f>
        <v>-250</v>
      </c>
      <c r="AF272" s="81">
        <f>-AF163</f>
        <v>-250</v>
      </c>
      <c r="AG272" s="82">
        <f>SUM(AC272:AF272)</f>
        <v>-1000</v>
      </c>
      <c r="AH272" s="81">
        <f>-AH163</f>
        <v>-250</v>
      </c>
      <c r="AI272" s="81">
        <f>-AI163</f>
        <v>-250</v>
      </c>
      <c r="AJ272" s="81">
        <f>-AJ163</f>
        <v>-250</v>
      </c>
      <c r="AK272" s="81">
        <f>-AK163</f>
        <v>-250</v>
      </c>
      <c r="AL272" s="82">
        <f>SUM(AH272:AK272)</f>
        <v>-1000</v>
      </c>
      <c r="AM272" s="81">
        <f>-AM163</f>
        <v>-250</v>
      </c>
      <c r="AN272" s="81">
        <f>-AN163</f>
        <v>-250</v>
      </c>
      <c r="AO272" s="81">
        <f>-AO163</f>
        <v>-250</v>
      </c>
      <c r="AP272" s="81">
        <f>-AP163</f>
        <v>-250</v>
      </c>
      <c r="AQ272" s="82">
        <f>SUM(AM272:AP272)</f>
        <v>-1000</v>
      </c>
    </row>
    <row r="273" spans="1:43" outlineLevel="1" x14ac:dyDescent="0.25">
      <c r="A273" s="254"/>
      <c r="B273" s="396" t="s">
        <v>241</v>
      </c>
      <c r="C273" s="75"/>
      <c r="D273" s="81">
        <v>-55.3</v>
      </c>
      <c r="E273" s="81">
        <f>-56.3-D273</f>
        <v>-1</v>
      </c>
      <c r="F273" s="81">
        <f>-106.1-E273-D273</f>
        <v>-49.8</v>
      </c>
      <c r="G273" s="81">
        <f>-111.6-F273-E273-D273</f>
        <v>-5.5</v>
      </c>
      <c r="H273" s="82">
        <f t="shared" ref="H273:H274" si="910">SUM(D273:G273)</f>
        <v>-111.6</v>
      </c>
      <c r="I273" s="81">
        <v>-78.400000000000006</v>
      </c>
      <c r="J273" s="81">
        <f>-87.6-I273</f>
        <v>-9.1999999999999886</v>
      </c>
      <c r="K273" s="81">
        <f>-89.1-J273-I273</f>
        <v>-1.5</v>
      </c>
      <c r="L273" s="81">
        <f>-91.9-K273-J273-I273</f>
        <v>-2.8000000000000114</v>
      </c>
      <c r="M273" s="82">
        <f t="shared" ref="M273" si="911">SUM(I273:L273)</f>
        <v>-91.9</v>
      </c>
      <c r="N273" s="81">
        <v>-88.6</v>
      </c>
      <c r="O273" s="81">
        <f>-90.1-N273</f>
        <v>-1.5</v>
      </c>
      <c r="P273" s="81">
        <f>-94.2-O273-N273</f>
        <v>-4.1000000000000085</v>
      </c>
      <c r="Q273" s="81">
        <f>(P273/P250)*Q250</f>
        <v>-4.9378956723613943</v>
      </c>
      <c r="R273" s="82">
        <f t="shared" ref="R273" si="912">SUM(N273:Q273)</f>
        <v>-99.137895672361395</v>
      </c>
      <c r="S273" s="81">
        <f>(Q273/Q250)*S250</f>
        <v>-4.8263563288557378</v>
      </c>
      <c r="T273" s="81">
        <f>(S273/S250)*T250</f>
        <v>-4.4031936819033062</v>
      </c>
      <c r="U273" s="81">
        <f>(T273/T250)*U250</f>
        <v>-4.8735331225574647</v>
      </c>
      <c r="V273" s="81">
        <f>(U273/U250)*V250</f>
        <v>-5.0341483364055382</v>
      </c>
      <c r="W273" s="82">
        <f t="shared" ref="W273" si="913">SUM(S273:V273)</f>
        <v>-19.137231469722046</v>
      </c>
      <c r="X273" s="81">
        <f>(V273/V250)*X250</f>
        <v>-5.0202465539560759</v>
      </c>
      <c r="Y273" s="81">
        <f>(X273/X250)*Y250</f>
        <v>-4.8687614607556515</v>
      </c>
      <c r="Z273" s="81">
        <f>(Y273/Y250)*Z250</f>
        <v>-5.3770399038485772</v>
      </c>
      <c r="AA273" s="81">
        <f>(Z273/Z250)*AA250</f>
        <v>-5.4503376193570769</v>
      </c>
      <c r="AB273" s="82">
        <f t="shared" ref="AB273" si="914">SUM(X273:AA273)</f>
        <v>-20.716385537917382</v>
      </c>
      <c r="AC273" s="81">
        <f>(AA273/AA250)*AC250</f>
        <v>-5.3702496835780531</v>
      </c>
      <c r="AD273" s="81">
        <f>(AC273/AC250)*AD250</f>
        <v>-5.269267032449461</v>
      </c>
      <c r="AE273" s="81">
        <f>(AD273/AD250)*AE250</f>
        <v>-5.8215265173159896</v>
      </c>
      <c r="AF273" s="81">
        <f>(AE273/AE250)*AF250</f>
        <v>-5.9034458500583655</v>
      </c>
      <c r="AG273" s="82">
        <f t="shared" ref="AG273" si="915">SUM(AC273:AF273)</f>
        <v>-22.364489083401867</v>
      </c>
      <c r="AH273" s="81">
        <f>(AF273/AF250)*AH250</f>
        <v>-5.8023155283951571</v>
      </c>
      <c r="AI273" s="81">
        <f>(AH273/AH250)*AI250</f>
        <v>-5.6976319789075527</v>
      </c>
      <c r="AJ273" s="81">
        <f>(AI273/AI250)*AJ250</f>
        <v>-6.2828968132008738</v>
      </c>
      <c r="AK273" s="81">
        <f>(AJ273/AJ250)*AK250</f>
        <v>-6.3738512718654334</v>
      </c>
      <c r="AL273" s="82">
        <f t="shared" ref="AL273" si="916">SUM(AH273:AK273)</f>
        <v>-24.156695592369019</v>
      </c>
      <c r="AM273" s="81">
        <f>(AK273/AK250)*AM250</f>
        <v>-6.2700560784744912</v>
      </c>
      <c r="AN273" s="81">
        <f>(AM273/AM250)*AN250</f>
        <v>-6.1538863058083537</v>
      </c>
      <c r="AO273" s="81">
        <f>(AN273/AN250)*AO250</f>
        <v>-6.7735737514565661</v>
      </c>
      <c r="AP273" s="81">
        <f>(AO273/AO250)*AP250</f>
        <v>-6.87358829700183</v>
      </c>
      <c r="AQ273" s="82">
        <f t="shared" ref="AQ273" si="917">SUM(AM273:AP273)</f>
        <v>-26.071104432741244</v>
      </c>
    </row>
    <row r="274" spans="1:43" ht="17.25" outlineLevel="1" x14ac:dyDescent="0.4">
      <c r="A274" s="254"/>
      <c r="B274" s="619" t="s">
        <v>111</v>
      </c>
      <c r="C274" s="620"/>
      <c r="D274" s="248">
        <v>-0.3</v>
      </c>
      <c r="E274" s="248">
        <f>0.1-D274</f>
        <v>0.4</v>
      </c>
      <c r="F274" s="248">
        <f>-17.6-E274-D274</f>
        <v>-17.7</v>
      </c>
      <c r="G274" s="248">
        <f>-17.5-F274-E274-D274</f>
        <v>9.9999999999999256E-2</v>
      </c>
      <c r="H274" s="241">
        <f t="shared" si="910"/>
        <v>-17.5</v>
      </c>
      <c r="I274" s="248">
        <v>0</v>
      </c>
      <c r="J274" s="248">
        <f>-10.4-I274</f>
        <v>-10.4</v>
      </c>
      <c r="K274" s="248">
        <f>-37.8-J274-I274</f>
        <v>-27.4</v>
      </c>
      <c r="L274" s="248">
        <f>-37.7-K274-J274-I274</f>
        <v>9.9999999999996092E-2</v>
      </c>
      <c r="M274" s="241">
        <f t="shared" ref="M274" si="918">SUM(I274:L274)</f>
        <v>-37.700000000000003</v>
      </c>
      <c r="N274" s="248">
        <v>0</v>
      </c>
      <c r="O274" s="248">
        <f t="shared" si="908"/>
        <v>0</v>
      </c>
      <c r="P274" s="248">
        <f t="shared" si="909"/>
        <v>0</v>
      </c>
      <c r="Q274" s="248">
        <v>0</v>
      </c>
      <c r="R274" s="241">
        <f t="shared" ref="R274" si="919">SUM(N274:Q274)</f>
        <v>0</v>
      </c>
      <c r="S274" s="248">
        <v>0</v>
      </c>
      <c r="T274" s="248">
        <v>0</v>
      </c>
      <c r="U274" s="248">
        <v>0</v>
      </c>
      <c r="V274" s="248">
        <v>0</v>
      </c>
      <c r="W274" s="241">
        <f t="shared" ref="W274" si="920">SUM(S274:V274)</f>
        <v>0</v>
      </c>
      <c r="X274" s="248">
        <v>0</v>
      </c>
      <c r="Y274" s="248">
        <v>0</v>
      </c>
      <c r="Z274" s="248">
        <v>0</v>
      </c>
      <c r="AA274" s="248">
        <v>0</v>
      </c>
      <c r="AB274" s="241">
        <f t="shared" ref="AB274" si="921">SUM(X274:AA274)</f>
        <v>0</v>
      </c>
      <c r="AC274" s="248">
        <v>0</v>
      </c>
      <c r="AD274" s="248">
        <v>0</v>
      </c>
      <c r="AE274" s="248">
        <v>0</v>
      </c>
      <c r="AF274" s="248">
        <v>0</v>
      </c>
      <c r="AG274" s="241">
        <f t="shared" ref="AG274" si="922">SUM(AC274:AF274)</f>
        <v>0</v>
      </c>
      <c r="AH274" s="248">
        <v>0</v>
      </c>
      <c r="AI274" s="248">
        <v>0</v>
      </c>
      <c r="AJ274" s="248">
        <v>0</v>
      </c>
      <c r="AK274" s="248">
        <v>0</v>
      </c>
      <c r="AL274" s="241">
        <f t="shared" ref="AL274" si="923">SUM(AH274:AK274)</f>
        <v>0</v>
      </c>
      <c r="AM274" s="248">
        <v>0</v>
      </c>
      <c r="AN274" s="248">
        <v>0</v>
      </c>
      <c r="AO274" s="248">
        <v>0</v>
      </c>
      <c r="AP274" s="248">
        <v>0</v>
      </c>
      <c r="AQ274" s="241">
        <f t="shared" ref="AQ274" si="924">SUM(AM274:AP274)</f>
        <v>0</v>
      </c>
    </row>
    <row r="275" spans="1:43" outlineLevel="1" x14ac:dyDescent="0.25">
      <c r="A275" s="254"/>
      <c r="B275" s="625" t="s">
        <v>16</v>
      </c>
      <c r="C275" s="626"/>
      <c r="D275" s="80">
        <f t="shared" ref="D275:AL275" si="925">SUM(D267:D274)</f>
        <v>-5858.6</v>
      </c>
      <c r="E275" s="80">
        <f t="shared" si="925"/>
        <v>-2919.2999999999997</v>
      </c>
      <c r="F275" s="80">
        <f t="shared" si="925"/>
        <v>1355.1</v>
      </c>
      <c r="G275" s="80">
        <f t="shared" si="925"/>
        <v>-2634.1</v>
      </c>
      <c r="H275" s="242">
        <f t="shared" si="925"/>
        <v>-10056.9</v>
      </c>
      <c r="I275" s="80">
        <f t="shared" si="925"/>
        <v>-1123.0000000000002</v>
      </c>
      <c r="J275" s="80">
        <f t="shared" si="925"/>
        <v>1273.1000000000001</v>
      </c>
      <c r="K275" s="80">
        <f t="shared" si="925"/>
        <v>2342.9000000000005</v>
      </c>
      <c r="L275" s="80">
        <f t="shared" si="925"/>
        <v>-779.69999999999948</v>
      </c>
      <c r="M275" s="242">
        <f t="shared" si="925"/>
        <v>1713.3000000000009</v>
      </c>
      <c r="N275" s="80">
        <f>SUM(N267:N274)</f>
        <v>-965.80000000000007</v>
      </c>
      <c r="O275" s="80">
        <f t="shared" si="925"/>
        <v>-1711.6</v>
      </c>
      <c r="P275" s="80">
        <f t="shared" si="925"/>
        <v>-490.50000000000011</v>
      </c>
      <c r="Q275" s="80">
        <f t="shared" si="925"/>
        <v>-832.89331180824252</v>
      </c>
      <c r="R275" s="242">
        <f t="shared" si="925"/>
        <v>-4000.7933118082428</v>
      </c>
      <c r="S275" s="80">
        <f t="shared" si="925"/>
        <v>-1581.2309384232385</v>
      </c>
      <c r="T275" s="80">
        <f t="shared" si="925"/>
        <v>-1579.2556246782769</v>
      </c>
      <c r="U275" s="80">
        <f t="shared" si="925"/>
        <v>-1577.1724948458921</v>
      </c>
      <c r="V275" s="80">
        <f t="shared" si="925"/>
        <v>-1355.3655301499912</v>
      </c>
      <c r="W275" s="242">
        <f t="shared" si="925"/>
        <v>-6093.0245880973989</v>
      </c>
      <c r="X275" s="80">
        <f t="shared" si="925"/>
        <v>-1353.7177139359608</v>
      </c>
      <c r="Y275" s="80">
        <f t="shared" si="925"/>
        <v>-1351.9309267980743</v>
      </c>
      <c r="Z275" s="80">
        <f t="shared" si="925"/>
        <v>-1350.8025144049354</v>
      </c>
      <c r="AA275" s="80">
        <f t="shared" si="925"/>
        <v>-1378.9271009979198</v>
      </c>
      <c r="AB275" s="242">
        <f t="shared" si="925"/>
        <v>-5435.3782561368907</v>
      </c>
      <c r="AC275" s="80">
        <f t="shared" si="925"/>
        <v>-1237.6010362555628</v>
      </c>
      <c r="AD275" s="80">
        <f t="shared" si="925"/>
        <v>-1263.3035706604394</v>
      </c>
      <c r="AE275" s="80">
        <f t="shared" si="925"/>
        <v>-1263.2588406340558</v>
      </c>
      <c r="AF275" s="80">
        <f t="shared" si="925"/>
        <v>-1262.7432634580864</v>
      </c>
      <c r="AG275" s="242">
        <f t="shared" si="925"/>
        <v>-5026.9067110081451</v>
      </c>
      <c r="AH275" s="80">
        <f t="shared" si="925"/>
        <v>-1188.7941291996783</v>
      </c>
      <c r="AI275" s="80">
        <f t="shared" si="925"/>
        <v>-1188.0909338544764</v>
      </c>
      <c r="AJ275" s="80">
        <f t="shared" si="925"/>
        <v>-1188.0771786027833</v>
      </c>
      <c r="AK275" s="80">
        <f t="shared" si="925"/>
        <v>-1249.438079551685</v>
      </c>
      <c r="AL275" s="242">
        <f t="shared" si="925"/>
        <v>-4814.4003212086227</v>
      </c>
      <c r="AM275" s="80">
        <f t="shared" ref="AM275:AQ275" si="926">SUM(AM267:AM274)</f>
        <v>-1248.6742426001983</v>
      </c>
      <c r="AN275" s="80">
        <f t="shared" si="926"/>
        <v>-1247.8974705244191</v>
      </c>
      <c r="AO275" s="80">
        <f t="shared" si="926"/>
        <v>-1247.8559946458897</v>
      </c>
      <c r="AP275" s="80">
        <f t="shared" si="926"/>
        <v>-1294.7487330948343</v>
      </c>
      <c r="AQ275" s="242">
        <f t="shared" si="926"/>
        <v>-5039.1764408653407</v>
      </c>
    </row>
    <row r="276" spans="1:43" outlineLevel="1" x14ac:dyDescent="0.25">
      <c r="A276" s="254"/>
      <c r="B276" s="76" t="s">
        <v>113</v>
      </c>
      <c r="C276" s="77"/>
      <c r="D276" s="354">
        <f>-4.7-0.1</f>
        <v>-4.8</v>
      </c>
      <c r="E276" s="299">
        <f>18.3-0.1-D276</f>
        <v>23</v>
      </c>
      <c r="F276" s="299">
        <f>-2.5-E276-D276</f>
        <v>-20.7</v>
      </c>
      <c r="G276" s="299">
        <f>-49-F276-E276-D276</f>
        <v>-46.5</v>
      </c>
      <c r="H276" s="249">
        <f>SUM(D276:G276)</f>
        <v>-49</v>
      </c>
      <c r="I276" s="299">
        <v>27.1</v>
      </c>
      <c r="J276" s="299">
        <f>8.7-I276</f>
        <v>-18.400000000000002</v>
      </c>
      <c r="K276" s="299">
        <f>10.9-J276-I276</f>
        <v>2.2000000000000028</v>
      </c>
      <c r="L276" s="299">
        <f>64.7-K276-J276-I276</f>
        <v>53.800000000000004</v>
      </c>
      <c r="M276" s="249">
        <f>SUM(I276:L276)</f>
        <v>64.7</v>
      </c>
      <c r="N276" s="299">
        <v>79.8</v>
      </c>
      <c r="O276" s="299">
        <f>66.7-N276</f>
        <v>-13.099999999999994</v>
      </c>
      <c r="P276" s="299">
        <f>87.9-O276-N276</f>
        <v>21.200000000000003</v>
      </c>
      <c r="Q276" s="250">
        <v>0</v>
      </c>
      <c r="R276" s="249">
        <f>SUM(N276:Q276)</f>
        <v>87.9</v>
      </c>
      <c r="S276" s="250">
        <v>0</v>
      </c>
      <c r="T276" s="250">
        <v>0</v>
      </c>
      <c r="U276" s="250">
        <v>0</v>
      </c>
      <c r="V276" s="250">
        <v>0</v>
      </c>
      <c r="W276" s="249">
        <f>SUM(S276:V276)</f>
        <v>0</v>
      </c>
      <c r="X276" s="250">
        <v>0</v>
      </c>
      <c r="Y276" s="250">
        <v>0</v>
      </c>
      <c r="Z276" s="250">
        <v>0</v>
      </c>
      <c r="AA276" s="250">
        <v>0</v>
      </c>
      <c r="AB276" s="249">
        <f>SUM(X276:AA276)</f>
        <v>0</v>
      </c>
      <c r="AC276" s="250">
        <v>0</v>
      </c>
      <c r="AD276" s="250">
        <v>0</v>
      </c>
      <c r="AE276" s="250">
        <v>0</v>
      </c>
      <c r="AF276" s="250">
        <v>0</v>
      </c>
      <c r="AG276" s="249">
        <f>SUM(AC276:AF276)</f>
        <v>0</v>
      </c>
      <c r="AH276" s="250">
        <v>0</v>
      </c>
      <c r="AI276" s="250">
        <v>0</v>
      </c>
      <c r="AJ276" s="250">
        <v>0</v>
      </c>
      <c r="AK276" s="250">
        <v>0</v>
      </c>
      <c r="AL276" s="249">
        <f>SUM(AH276:AK276)</f>
        <v>0</v>
      </c>
      <c r="AM276" s="250">
        <v>0</v>
      </c>
      <c r="AN276" s="250">
        <v>0</v>
      </c>
      <c r="AO276" s="250">
        <v>0</v>
      </c>
      <c r="AP276" s="250">
        <v>0</v>
      </c>
      <c r="AQ276" s="249">
        <f>SUM(AM276:AP276)</f>
        <v>0</v>
      </c>
    </row>
    <row r="277" spans="1:43" ht="17.25" outlineLevel="1" x14ac:dyDescent="0.4">
      <c r="A277" s="254"/>
      <c r="B277" s="595" t="s">
        <v>17</v>
      </c>
      <c r="C277" s="596"/>
      <c r="D277" s="37">
        <f t="shared" ref="D277:AL277" si="927">D275+D265+D260+D276</f>
        <v>-3994.7999999999997</v>
      </c>
      <c r="E277" s="37">
        <f t="shared" si="927"/>
        <v>-2706.5</v>
      </c>
      <c r="F277" s="37">
        <f t="shared" si="927"/>
        <v>2708.3000000000011</v>
      </c>
      <c r="G277" s="37">
        <f t="shared" si="927"/>
        <v>-2076.7999999999993</v>
      </c>
      <c r="H277" s="38">
        <f t="shared" si="927"/>
        <v>-6069.7999999999938</v>
      </c>
      <c r="I277" s="37">
        <f t="shared" si="927"/>
        <v>353.89999999999839</v>
      </c>
      <c r="J277" s="37">
        <f t="shared" si="927"/>
        <v>-468.20000000000061</v>
      </c>
      <c r="K277" s="37">
        <f t="shared" si="927"/>
        <v>1393.600000000001</v>
      </c>
      <c r="L277" s="37">
        <f t="shared" si="927"/>
        <v>385.0000000000021</v>
      </c>
      <c r="M277" s="38">
        <f t="shared" si="927"/>
        <v>1664.3000000000052</v>
      </c>
      <c r="N277" s="37">
        <f t="shared" si="927"/>
        <v>677.2</v>
      </c>
      <c r="O277" s="37">
        <f t="shared" si="927"/>
        <v>-1147.3999999999996</v>
      </c>
      <c r="P277" s="37">
        <f t="shared" si="927"/>
        <v>872.49999999999909</v>
      </c>
      <c r="Q277" s="37">
        <f t="shared" si="927"/>
        <v>-486.22170731124902</v>
      </c>
      <c r="R277" s="38">
        <f t="shared" si="927"/>
        <v>-83.921707311250969</v>
      </c>
      <c r="S277" s="37">
        <f t="shared" si="927"/>
        <v>534.18621236547006</v>
      </c>
      <c r="T277" s="37">
        <f t="shared" si="927"/>
        <v>-995.23400705624647</v>
      </c>
      <c r="U277" s="37">
        <f t="shared" si="927"/>
        <v>-191.84135491075631</v>
      </c>
      <c r="V277" s="37">
        <f t="shared" si="927"/>
        <v>-770.53725651898503</v>
      </c>
      <c r="W277" s="38">
        <f t="shared" si="927"/>
        <v>-1423.4264061205185</v>
      </c>
      <c r="X277" s="37">
        <f t="shared" si="927"/>
        <v>723.26636519200747</v>
      </c>
      <c r="Y277" s="37">
        <f t="shared" si="927"/>
        <v>-622.38950161390949</v>
      </c>
      <c r="Z277" s="37">
        <f t="shared" si="927"/>
        <v>99.445604529983711</v>
      </c>
      <c r="AA277" s="37">
        <f t="shared" si="927"/>
        <v>-884.93567326623076</v>
      </c>
      <c r="AB277" s="38">
        <f t="shared" si="927"/>
        <v>-684.61320515814896</v>
      </c>
      <c r="AC277" s="37">
        <f t="shared" si="927"/>
        <v>1157.3418911942392</v>
      </c>
      <c r="AD277" s="37">
        <f t="shared" si="927"/>
        <v>-393.46330182418365</v>
      </c>
      <c r="AE277" s="37">
        <f t="shared" si="927"/>
        <v>438.50342023567282</v>
      </c>
      <c r="AF277" s="37">
        <f t="shared" si="927"/>
        <v>-800.48580881599457</v>
      </c>
      <c r="AG277" s="38">
        <f t="shared" si="927"/>
        <v>401.89620078973167</v>
      </c>
      <c r="AH277" s="37">
        <f t="shared" si="927"/>
        <v>1409.8773747093348</v>
      </c>
      <c r="AI277" s="37">
        <f t="shared" si="927"/>
        <v>-229.92988259313779</v>
      </c>
      <c r="AJ277" s="37">
        <f t="shared" si="927"/>
        <v>648.00621426952557</v>
      </c>
      <c r="AK277" s="37">
        <f t="shared" si="927"/>
        <v>-710.50165355614945</v>
      </c>
      <c r="AL277" s="38">
        <f t="shared" si="927"/>
        <v>1117.4520528295798</v>
      </c>
      <c r="AM277" s="37">
        <f t="shared" ref="AM277:AQ277" si="928">AM275+AM265+AM260+AM276</f>
        <v>1554.1815163295075</v>
      </c>
      <c r="AN277" s="37">
        <f t="shared" si="928"/>
        <v>-194.04257735659303</v>
      </c>
      <c r="AO277" s="37">
        <f t="shared" si="928"/>
        <v>760.27114606898226</v>
      </c>
      <c r="AP277" s="37">
        <f t="shared" si="928"/>
        <v>-704.24656716145751</v>
      </c>
      <c r="AQ277" s="38">
        <f t="shared" si="928"/>
        <v>1416.163517880439</v>
      </c>
    </row>
    <row r="278" spans="1:43" ht="17.25" outlineLevel="1" x14ac:dyDescent="0.4">
      <c r="A278" s="254"/>
      <c r="B278" s="595" t="s">
        <v>18</v>
      </c>
      <c r="C278" s="596"/>
      <c r="D278" s="37">
        <v>8756.2999999999993</v>
      </c>
      <c r="E278" s="37">
        <f>D279</f>
        <v>4761.6000000000004</v>
      </c>
      <c r="F278" s="37">
        <f>E279</f>
        <v>2055.1000000000004</v>
      </c>
      <c r="G278" s="37">
        <f>F279</f>
        <v>4763.4000000000015</v>
      </c>
      <c r="H278" s="38">
        <f>D278</f>
        <v>8756.2999999999993</v>
      </c>
      <c r="I278" s="270">
        <f>H279</f>
        <v>2686.5000000000055</v>
      </c>
      <c r="J278" s="37">
        <f>I279</f>
        <v>3040.5000000000036</v>
      </c>
      <c r="K278" s="37">
        <f>J279</f>
        <v>2572.3000000000029</v>
      </c>
      <c r="L278" s="37">
        <f>K279</f>
        <v>3965.9000000000042</v>
      </c>
      <c r="M278" s="38">
        <f>H279</f>
        <v>2686.5000000000055</v>
      </c>
      <c r="N278" s="37">
        <f>+M279</f>
        <v>4350.8000000000102</v>
      </c>
      <c r="O278" s="37">
        <f>N279</f>
        <v>5028.00000000001</v>
      </c>
      <c r="P278" s="37">
        <f>O279</f>
        <v>3880.6000000000104</v>
      </c>
      <c r="Q278" s="37">
        <f>P279</f>
        <v>4753.1000000000095</v>
      </c>
      <c r="R278" s="38">
        <f>M279</f>
        <v>4350.8000000000102</v>
      </c>
      <c r="S278" s="37">
        <f>+R279</f>
        <v>4266.8782926887588</v>
      </c>
      <c r="T278" s="37">
        <f>S279</f>
        <v>4801.0645050542289</v>
      </c>
      <c r="U278" s="37">
        <f>T279</f>
        <v>3805.8304979979825</v>
      </c>
      <c r="V278" s="37">
        <f>U279</f>
        <v>3613.9891430872262</v>
      </c>
      <c r="W278" s="38">
        <f>R279</f>
        <v>4266.8782926887588</v>
      </c>
      <c r="X278" s="37">
        <f>+W279</f>
        <v>2843.4518865682403</v>
      </c>
      <c r="Y278" s="37">
        <f>X279</f>
        <v>3566.7182517602478</v>
      </c>
      <c r="Z278" s="37">
        <f>Y279</f>
        <v>2944.3287501463383</v>
      </c>
      <c r="AA278" s="37">
        <f>Z279</f>
        <v>3043.7743546763222</v>
      </c>
      <c r="AB278" s="38">
        <f>W279</f>
        <v>2843.4518865682403</v>
      </c>
      <c r="AC278" s="37">
        <f>+AB279</f>
        <v>2158.8386814100913</v>
      </c>
      <c r="AD278" s="37">
        <f>AC279</f>
        <v>3316.1805726043303</v>
      </c>
      <c r="AE278" s="37">
        <f>AD279</f>
        <v>2922.7172707801465</v>
      </c>
      <c r="AF278" s="37">
        <f>AE279</f>
        <v>3361.2206910158193</v>
      </c>
      <c r="AG278" s="38">
        <f>AB279</f>
        <v>2158.8386814100913</v>
      </c>
      <c r="AH278" s="37">
        <f>+AG279</f>
        <v>2560.734882199823</v>
      </c>
      <c r="AI278" s="37">
        <f>AH279</f>
        <v>3970.6122569091576</v>
      </c>
      <c r="AJ278" s="37">
        <f>AI279</f>
        <v>3740.6823743160198</v>
      </c>
      <c r="AK278" s="37">
        <f>AJ279</f>
        <v>4388.6885885855454</v>
      </c>
      <c r="AL278" s="38">
        <f>AG279</f>
        <v>2560.734882199823</v>
      </c>
      <c r="AM278" s="37">
        <f>+AL279</f>
        <v>3678.1869350294028</v>
      </c>
      <c r="AN278" s="37">
        <f>AM279</f>
        <v>5232.3684513589105</v>
      </c>
      <c r="AO278" s="37">
        <f>AN279</f>
        <v>5038.3258740023175</v>
      </c>
      <c r="AP278" s="37">
        <f>AO279</f>
        <v>5798.5970200713</v>
      </c>
      <c r="AQ278" s="38">
        <f>AL279</f>
        <v>3678.1869350294028</v>
      </c>
    </row>
    <row r="279" spans="1:43" outlineLevel="1" x14ac:dyDescent="0.25">
      <c r="A279" s="254"/>
      <c r="B279" s="628" t="s">
        <v>112</v>
      </c>
      <c r="C279" s="629"/>
      <c r="D279" s="283">
        <f>+D278+D277+0.1</f>
        <v>4761.6000000000004</v>
      </c>
      <c r="E279" s="283">
        <f t="shared" ref="E279:G279" si="929">+E278+E277</f>
        <v>2055.1000000000004</v>
      </c>
      <c r="F279" s="283">
        <f t="shared" si="929"/>
        <v>4763.4000000000015</v>
      </c>
      <c r="G279" s="283">
        <f t="shared" si="929"/>
        <v>2686.6000000000022</v>
      </c>
      <c r="H279" s="357">
        <f>+D278+H277</f>
        <v>2686.5000000000055</v>
      </c>
      <c r="I279" s="283">
        <f>+I278+I277+0.1</f>
        <v>3040.5000000000036</v>
      </c>
      <c r="J279" s="283">
        <f t="shared" ref="J279:L279" si="930">+J278+J277</f>
        <v>2572.3000000000029</v>
      </c>
      <c r="K279" s="283">
        <f t="shared" si="930"/>
        <v>3965.9000000000042</v>
      </c>
      <c r="L279" s="41">
        <f t="shared" si="930"/>
        <v>4350.900000000006</v>
      </c>
      <c r="M279" s="42">
        <f>+I278+M277</f>
        <v>4350.8000000000102</v>
      </c>
      <c r="N279" s="41">
        <f>+N278+N277</f>
        <v>5028.00000000001</v>
      </c>
      <c r="O279" s="41">
        <f t="shared" ref="O279:Q279" si="931">+O278+O277</f>
        <v>3880.6000000000104</v>
      </c>
      <c r="P279" s="41">
        <f t="shared" si="931"/>
        <v>4753.1000000000095</v>
      </c>
      <c r="Q279" s="41">
        <f t="shared" si="931"/>
        <v>4266.8782926887607</v>
      </c>
      <c r="R279" s="42">
        <f>+N278+R277</f>
        <v>4266.8782926887588</v>
      </c>
      <c r="S279" s="41">
        <f>+S278+S277</f>
        <v>4801.0645050542289</v>
      </c>
      <c r="T279" s="41">
        <f t="shared" ref="T279:V279" si="932">+T278+T277</f>
        <v>3805.8304979979825</v>
      </c>
      <c r="U279" s="41">
        <f t="shared" si="932"/>
        <v>3613.9891430872262</v>
      </c>
      <c r="V279" s="41">
        <f t="shared" si="932"/>
        <v>2843.4518865682412</v>
      </c>
      <c r="W279" s="42">
        <f>+S278+W277</f>
        <v>2843.4518865682403</v>
      </c>
      <c r="X279" s="41">
        <f>+X278+X277</f>
        <v>3566.7182517602478</v>
      </c>
      <c r="Y279" s="41">
        <f t="shared" ref="Y279:AA279" si="933">+Y278+Y277</f>
        <v>2944.3287501463383</v>
      </c>
      <c r="Z279" s="41">
        <f t="shared" si="933"/>
        <v>3043.7743546763222</v>
      </c>
      <c r="AA279" s="41">
        <f t="shared" si="933"/>
        <v>2158.8386814100913</v>
      </c>
      <c r="AB279" s="42">
        <f>+X278+AB277</f>
        <v>2158.8386814100913</v>
      </c>
      <c r="AC279" s="41">
        <f>+AC278+AC277</f>
        <v>3316.1805726043303</v>
      </c>
      <c r="AD279" s="41">
        <f t="shared" ref="AD279:AF279" si="934">+AD278+AD277</f>
        <v>2922.7172707801465</v>
      </c>
      <c r="AE279" s="41">
        <f t="shared" si="934"/>
        <v>3361.2206910158193</v>
      </c>
      <c r="AF279" s="41">
        <f t="shared" si="934"/>
        <v>2560.7348821998248</v>
      </c>
      <c r="AG279" s="42">
        <f>+AC278+AG277</f>
        <v>2560.734882199823</v>
      </c>
      <c r="AH279" s="41">
        <f>+AH278+AH277</f>
        <v>3970.6122569091576</v>
      </c>
      <c r="AI279" s="41">
        <f t="shared" ref="AI279:AK279" si="935">+AI278+AI277</f>
        <v>3740.6823743160198</v>
      </c>
      <c r="AJ279" s="41">
        <f t="shared" si="935"/>
        <v>4388.6885885855454</v>
      </c>
      <c r="AK279" s="41">
        <f t="shared" si="935"/>
        <v>3678.186935029396</v>
      </c>
      <c r="AL279" s="42">
        <f>+AH278+AL277</f>
        <v>3678.1869350294028</v>
      </c>
      <c r="AM279" s="41">
        <f>+AM278+AM277</f>
        <v>5232.3684513589105</v>
      </c>
      <c r="AN279" s="41">
        <f t="shared" ref="AN279:AP279" si="936">+AN278+AN277</f>
        <v>5038.3258740023175</v>
      </c>
      <c r="AO279" s="41">
        <f t="shared" si="936"/>
        <v>5798.5970200713</v>
      </c>
      <c r="AP279" s="41">
        <f t="shared" si="936"/>
        <v>5094.3504529098427</v>
      </c>
      <c r="AQ279" s="42">
        <f>+AM278+AQ277</f>
        <v>5094.3504529098418</v>
      </c>
    </row>
    <row r="280" spans="1:43" s="43" customFormat="1" outlineLevel="1" x14ac:dyDescent="0.25">
      <c r="A280" s="307"/>
      <c r="B280" s="630" t="s">
        <v>72</v>
      </c>
      <c r="C280" s="631"/>
      <c r="D280" s="251">
        <f>D260-(-D263)+((-D30*(1-$C$317)))</f>
        <v>2006.5705712515939</v>
      </c>
      <c r="E280" s="251">
        <f>E260-(-E263)+((-E30*(1-$C$317)))</f>
        <v>34.305669539903107</v>
      </c>
      <c r="F280" s="251">
        <f>F260-(-F263)+((-F30*(1-$C$317)))</f>
        <v>802.23409808183669</v>
      </c>
      <c r="G280" s="251">
        <f>G260-(-G263)+((-G30*(1-$C$317)))</f>
        <v>657.4464489170341</v>
      </c>
      <c r="H280" s="252">
        <f>SUM(D280:G280)</f>
        <v>3500.5567877903677</v>
      </c>
      <c r="I280" s="251">
        <f>I260-(-I263)+((-I30*(1-$C$317)))</f>
        <v>1514.0586066402846</v>
      </c>
      <c r="J280" s="251">
        <f>J260-(-J263)+((-J30*(1-$C$317)))</f>
        <v>-1647.3015910912266</v>
      </c>
      <c r="K280" s="251">
        <f>K260-(-K263)+((-K30*(1-$C$317)))</f>
        <v>-652.81806657076606</v>
      </c>
      <c r="L280" s="251">
        <f>L260-(-L263)+((-L30*(1-$C$317)))</f>
        <v>1243.7842854193241</v>
      </c>
      <c r="M280" s="252">
        <f>SUM(I280:L280)</f>
        <v>457.72323439761601</v>
      </c>
      <c r="N280" s="251">
        <f>N260-(-N263)+((-N30*(1-$C$317)))</f>
        <v>1606.4033060008981</v>
      </c>
      <c r="O280" s="251">
        <f>O260-(-O263)+((-O30*(1-$C$317)))</f>
        <v>650.52154258577684</v>
      </c>
      <c r="P280" s="251">
        <f>P260-(-P263)+((-P30*(1-$C$317)))</f>
        <v>1500.3635037324084</v>
      </c>
      <c r="Q280" s="251">
        <f>Q260-(-Q263)+((-Q30*(1-$C$317)))</f>
        <v>434.7256753155151</v>
      </c>
      <c r="R280" s="252">
        <f>SUM(N280:Q280)</f>
        <v>4192.0140276345983</v>
      </c>
      <c r="S280" s="251">
        <f>S260-(-S263)+((-S30*(1-$C$317)))</f>
        <v>2156.5929464179758</v>
      </c>
      <c r="T280" s="251">
        <f>T260-(-T263)+((-T30*(1-$C$317)))</f>
        <v>606.63005461744012</v>
      </c>
      <c r="U280" s="251">
        <f>U260-(-U263)+((-U30*(1-$C$317)))</f>
        <v>1438.4036538300018</v>
      </c>
      <c r="V280" s="251">
        <f>V260-(-V263)+((-V30*(1-$C$317)))</f>
        <v>638.33624523752985</v>
      </c>
      <c r="W280" s="252">
        <f>SUM(S280:V280)</f>
        <v>4839.9629001029471</v>
      </c>
      <c r="X280" s="251">
        <f>X260-(-X263)+((-X30*(1-$C$317)))</f>
        <v>2134.3191507063329</v>
      </c>
      <c r="Y280" s="251">
        <f>Y260-(-Y263)+((-Y30*(1-$C$317)))</f>
        <v>759.68142004586241</v>
      </c>
      <c r="Z280" s="251">
        <f>Z260-(-Z263)+((-Z30*(1-$C$317)))</f>
        <v>1508.9153889539521</v>
      </c>
      <c r="AA280" s="251">
        <f>AA260-(-AA263)+((-AA30*(1-$C$317)))</f>
        <v>542.62681186984696</v>
      </c>
      <c r="AB280" s="252">
        <f>SUM(X280:AA280)</f>
        <v>4945.5427715759952</v>
      </c>
      <c r="AC280" s="251">
        <f>AC260-(-AC263)+((-AC30*(1-$C$317)))</f>
        <v>2464.3223544269958</v>
      </c>
      <c r="AD280" s="251">
        <f>AD260-(-AD263)+((-AD30*(1-$C$317)))</f>
        <v>904.38685973092709</v>
      </c>
      <c r="AE280" s="251">
        <f>AE260-(-AE263)+((-AE30*(1-$C$317)))</f>
        <v>1768.2855019518363</v>
      </c>
      <c r="AF280" s="251">
        <f>AF260-(-AF263)+((-AF30*(1-$C$317)))</f>
        <v>512.79390191414814</v>
      </c>
      <c r="AG280" s="252">
        <f>SUM(AC280:AF280)</f>
        <v>5649.7886180239075</v>
      </c>
      <c r="AH280" s="251">
        <f>AH260-(-AH263)+((-AH30*(1-$C$317)))</f>
        <v>2670.1305657802668</v>
      </c>
      <c r="AI280" s="251">
        <f>AI260-(-AI263)+((-AI30*(1-$C$317)))</f>
        <v>993.65405778169747</v>
      </c>
      <c r="AJ280" s="251">
        <f>AJ260-(-AJ263)+((-AJ30*(1-$C$317)))</f>
        <v>1905.7762219763729</v>
      </c>
      <c r="AK280" s="251">
        <f>AK260-(-AK263)+((-AK30*(1-$C$317)))</f>
        <v>591.13547156847903</v>
      </c>
      <c r="AL280" s="252">
        <f>SUM(AH280:AK280)</f>
        <v>6160.6963171068164</v>
      </c>
      <c r="AM280" s="251">
        <f>AM260-(-AM263)+((-AM30*(1-$C$317)))</f>
        <v>2873.7359792735228</v>
      </c>
      <c r="AN280" s="251">
        <f>AN260-(-AN263)+((-AN30*(1-$C$317)))</f>
        <v>1086.3118864157129</v>
      </c>
      <c r="AO280" s="251">
        <f>AO260-(-AO263)+((-AO30*(1-$C$317)))</f>
        <v>2077.5317924011092</v>
      </c>
      <c r="AP280" s="251">
        <f>AP260-(-AP263)+((-AP30*(1-$C$317)))</f>
        <v>641.27793229521274</v>
      </c>
      <c r="AQ280" s="252">
        <f>SUM(AM280:AP280)</f>
        <v>6678.8575903855572</v>
      </c>
    </row>
    <row r="281" spans="1:43" s="43" customFormat="1" outlineLevel="1" x14ac:dyDescent="0.25">
      <c r="A281" s="307"/>
      <c r="B281" s="396" t="s">
        <v>46</v>
      </c>
      <c r="C281" s="397"/>
      <c r="D281" s="81"/>
      <c r="E281" s="81"/>
      <c r="F281" s="300"/>
      <c r="G281" s="81"/>
      <c r="H281" s="82">
        <v>0</v>
      </c>
      <c r="I281" s="81"/>
      <c r="J281" s="81"/>
      <c r="K281" s="81"/>
      <c r="L281" s="81"/>
      <c r="M281" s="82">
        <v>0</v>
      </c>
      <c r="N281" s="81"/>
      <c r="O281" s="81"/>
      <c r="P281" s="81"/>
      <c r="Q281" s="81"/>
      <c r="R281" s="82">
        <v>0</v>
      </c>
      <c r="S281" s="81"/>
      <c r="T281" s="81"/>
      <c r="U281" s="81"/>
      <c r="V281" s="81"/>
      <c r="W281" s="82">
        <f>R281+1</f>
        <v>1</v>
      </c>
      <c r="X281" s="81"/>
      <c r="Y281" s="81"/>
      <c r="Z281" s="81"/>
      <c r="AA281" s="81"/>
      <c r="AB281" s="82">
        <f>W281+1</f>
        <v>2</v>
      </c>
      <c r="AC281" s="81"/>
      <c r="AD281" s="81"/>
      <c r="AE281" s="81"/>
      <c r="AF281" s="81"/>
      <c r="AG281" s="82">
        <f>AB281+1</f>
        <v>3</v>
      </c>
      <c r="AH281" s="81"/>
      <c r="AI281" s="81"/>
      <c r="AJ281" s="81"/>
      <c r="AK281" s="81"/>
      <c r="AL281" s="82">
        <f>AG281+1</f>
        <v>4</v>
      </c>
      <c r="AM281" s="81"/>
      <c r="AN281" s="81"/>
      <c r="AO281" s="81"/>
      <c r="AP281" s="81"/>
      <c r="AQ281" s="82">
        <f>AL281+1</f>
        <v>5</v>
      </c>
    </row>
    <row r="282" spans="1:43" s="43" customFormat="1" outlineLevel="1" x14ac:dyDescent="0.25">
      <c r="A282" s="307"/>
      <c r="B282" s="632" t="s">
        <v>25</v>
      </c>
      <c r="C282" s="633"/>
      <c r="D282" s="83"/>
      <c r="E282" s="83"/>
      <c r="F282" s="83"/>
      <c r="G282" s="83"/>
      <c r="H282" s="84">
        <f>H280/(1+$C$319)^H281</f>
        <v>3500.5567877903677</v>
      </c>
      <c r="I282" s="83"/>
      <c r="J282" s="83"/>
      <c r="K282" s="83"/>
      <c r="L282" s="83"/>
      <c r="M282" s="84">
        <f>M280/(1+$C$319)^M281</f>
        <v>457.72323439761601</v>
      </c>
      <c r="N282" s="83"/>
      <c r="O282" s="83"/>
      <c r="P282" s="83"/>
      <c r="Q282" s="83"/>
      <c r="R282" s="84">
        <f>R280/(1+$C$319)^R281</f>
        <v>4192.0140276345983</v>
      </c>
      <c r="S282" s="83"/>
      <c r="T282" s="83"/>
      <c r="U282" s="83"/>
      <c r="V282" s="83"/>
      <c r="W282" s="84">
        <f>W280/(1+$C$319)^W281</f>
        <v>4527.1277847094589</v>
      </c>
      <c r="X282" s="83"/>
      <c r="Y282" s="83"/>
      <c r="Z282" s="83"/>
      <c r="AA282" s="83"/>
      <c r="AB282" s="84">
        <f>AB280/(1+$C$319)^AB281</f>
        <v>4326.8855057554665</v>
      </c>
      <c r="AC282" s="83"/>
      <c r="AD282" s="83"/>
      <c r="AE282" s="83"/>
      <c r="AF282" s="83"/>
      <c r="AG282" s="84">
        <f>AG280/(1+$C$319)^AG281</f>
        <v>4623.5372529499073</v>
      </c>
      <c r="AH282" s="83"/>
      <c r="AI282" s="83"/>
      <c r="AJ282" s="83"/>
      <c r="AK282" s="83"/>
      <c r="AL282" s="84">
        <f>AL280/(1+$C$319)^AL281</f>
        <v>4715.7707439530132</v>
      </c>
      <c r="AM282" s="83"/>
      <c r="AN282" s="83"/>
      <c r="AO282" s="83"/>
      <c r="AP282" s="83"/>
      <c r="AQ282" s="84">
        <f>AQ280/(1+$C$319)^AQ281</f>
        <v>4781.9583193048784</v>
      </c>
    </row>
    <row r="283" spans="1:43" outlineLevel="1" x14ac:dyDescent="0.25">
      <c r="A283" s="254"/>
      <c r="B283" s="407" t="s">
        <v>56</v>
      </c>
      <c r="C283" s="77"/>
      <c r="D283" s="24"/>
      <c r="E283" s="24"/>
      <c r="F283" s="24"/>
      <c r="G283" s="24"/>
      <c r="H283" s="25"/>
      <c r="I283" s="24"/>
      <c r="J283" s="24"/>
      <c r="K283" s="24"/>
      <c r="L283" s="24"/>
      <c r="M283" s="25"/>
      <c r="N283" s="24"/>
      <c r="O283" s="24"/>
      <c r="P283" s="24"/>
      <c r="Q283" s="24"/>
      <c r="R283" s="25"/>
      <c r="S283" s="24"/>
      <c r="T283" s="24"/>
      <c r="U283" s="24"/>
      <c r="V283" s="24"/>
      <c r="W283" s="25"/>
      <c r="X283" s="24"/>
      <c r="Y283" s="24"/>
      <c r="Z283" s="24"/>
      <c r="AA283" s="24"/>
      <c r="AB283" s="25"/>
      <c r="AC283" s="24"/>
      <c r="AD283" s="24"/>
      <c r="AE283" s="24"/>
      <c r="AF283" s="24"/>
      <c r="AG283" s="25"/>
      <c r="AH283" s="24"/>
      <c r="AI283" s="24"/>
      <c r="AJ283" s="24"/>
      <c r="AK283" s="24"/>
      <c r="AL283" s="25"/>
      <c r="AM283" s="24"/>
      <c r="AN283" s="24"/>
      <c r="AO283" s="24"/>
      <c r="AP283" s="24"/>
      <c r="AQ283" s="25"/>
    </row>
    <row r="284" spans="1:43" outlineLevel="1" x14ac:dyDescent="0.25">
      <c r="A284" s="254"/>
      <c r="B284" s="394" t="s">
        <v>242</v>
      </c>
      <c r="C284" s="395"/>
      <c r="D284" s="34">
        <f t="shared" ref="D284:AL284" si="937">+D187+D188+D193</f>
        <v>5256.8</v>
      </c>
      <c r="E284" s="34">
        <f t="shared" si="937"/>
        <v>2383.6000000000004</v>
      </c>
      <c r="F284" s="34">
        <f t="shared" si="937"/>
        <v>5058.1000000000022</v>
      </c>
      <c r="G284" s="34">
        <f t="shared" si="937"/>
        <v>2977.1000000000022</v>
      </c>
      <c r="H284" s="35">
        <f t="shared" si="937"/>
        <v>2977.1000000000022</v>
      </c>
      <c r="I284" s="34">
        <f t="shared" si="937"/>
        <v>3308.7000000000039</v>
      </c>
      <c r="J284" s="34">
        <f t="shared" si="937"/>
        <v>2824.0000000000032</v>
      </c>
      <c r="K284" s="34">
        <f>+K187+K188+K193</f>
        <v>4419.2000000000035</v>
      </c>
      <c r="L284" s="34">
        <f t="shared" si="937"/>
        <v>4838.2000000000062</v>
      </c>
      <c r="M284" s="35">
        <f t="shared" si="937"/>
        <v>4838.2000000000062</v>
      </c>
      <c r="N284" s="34">
        <f t="shared" si="937"/>
        <v>5454.4000000000096</v>
      </c>
      <c r="O284" s="34">
        <f t="shared" si="937"/>
        <v>4288.4000000000106</v>
      </c>
      <c r="P284" s="34">
        <f t="shared" si="937"/>
        <v>5192.6000000000095</v>
      </c>
      <c r="Q284" s="34">
        <f t="shared" si="937"/>
        <v>4721.0377526393122</v>
      </c>
      <c r="R284" s="35">
        <f t="shared" si="937"/>
        <v>4721.0377526393122</v>
      </c>
      <c r="S284" s="34">
        <f t="shared" si="937"/>
        <v>5241.036127474179</v>
      </c>
      <c r="T284" s="34">
        <f t="shared" si="937"/>
        <v>4232.8036436589546</v>
      </c>
      <c r="U284" s="34">
        <f t="shared" si="937"/>
        <v>4041.2975437499113</v>
      </c>
      <c r="V284" s="34">
        <f t="shared" si="937"/>
        <v>3270.3142625459077</v>
      </c>
      <c r="W284" s="35">
        <f t="shared" si="937"/>
        <v>3270.3142625459077</v>
      </c>
      <c r="X284" s="34">
        <f t="shared" si="937"/>
        <v>3994.3144301293441</v>
      </c>
      <c r="Y284" s="34">
        <f t="shared" si="937"/>
        <v>3362.6080185334126</v>
      </c>
      <c r="Z284" s="34">
        <f t="shared" si="937"/>
        <v>3464.7889046328019</v>
      </c>
      <c r="AA284" s="34">
        <f t="shared" si="937"/>
        <v>2578.227977951959</v>
      </c>
      <c r="AB284" s="35">
        <f t="shared" si="937"/>
        <v>2578.227977951959</v>
      </c>
      <c r="AC284" s="34">
        <f t="shared" si="937"/>
        <v>3743.0749616310977</v>
      </c>
      <c r="AD284" s="34">
        <f t="shared" si="937"/>
        <v>3343.0145961415756</v>
      </c>
      <c r="AE284" s="34">
        <f t="shared" si="937"/>
        <v>3789.097228291248</v>
      </c>
      <c r="AF284" s="34">
        <f t="shared" si="937"/>
        <v>2989.9904105524793</v>
      </c>
      <c r="AG284" s="35">
        <f t="shared" si="937"/>
        <v>2989.9904105524793</v>
      </c>
      <c r="AH284" s="34">
        <f t="shared" si="937"/>
        <v>4410.8686302254782</v>
      </c>
      <c r="AI284" s="34">
        <f t="shared" si="937"/>
        <v>4177.1370887465737</v>
      </c>
      <c r="AJ284" s="34">
        <f t="shared" si="937"/>
        <v>4836.4227597493218</v>
      </c>
      <c r="AK284" s="34">
        <f t="shared" si="937"/>
        <v>4130.2778063783453</v>
      </c>
      <c r="AL284" s="35">
        <f t="shared" si="937"/>
        <v>4130.2778063783453</v>
      </c>
      <c r="AM284" s="34">
        <f t="shared" ref="AM284:AQ284" si="938">+AM187+AM188+AM193</f>
        <v>5697.3400686817668</v>
      </c>
      <c r="AN284" s="34">
        <f t="shared" si="938"/>
        <v>5500.3663897067017</v>
      </c>
      <c r="AO284" s="34">
        <f t="shared" si="938"/>
        <v>6274.0332022427792</v>
      </c>
      <c r="AP284" s="34">
        <f t="shared" si="938"/>
        <v>5575.8328297585949</v>
      </c>
      <c r="AQ284" s="35">
        <f t="shared" si="938"/>
        <v>5575.8328297585949</v>
      </c>
    </row>
    <row r="285" spans="1:43" outlineLevel="1" x14ac:dyDescent="0.25">
      <c r="A285" s="254"/>
      <c r="B285" s="394" t="s">
        <v>73</v>
      </c>
      <c r="C285" s="395"/>
      <c r="D285" s="34">
        <f t="shared" ref="D285:AL285" si="939">D209+D212</f>
        <v>9130.7000000000007</v>
      </c>
      <c r="E285" s="34">
        <f t="shared" si="939"/>
        <v>9216.5</v>
      </c>
      <c r="F285" s="34">
        <f t="shared" si="939"/>
        <v>11159.1</v>
      </c>
      <c r="G285" s="34">
        <f t="shared" si="939"/>
        <v>11167</v>
      </c>
      <c r="H285" s="35">
        <f t="shared" si="939"/>
        <v>11167</v>
      </c>
      <c r="I285" s="34">
        <f t="shared" si="939"/>
        <v>11649.800000000001</v>
      </c>
      <c r="J285" s="34">
        <f t="shared" si="939"/>
        <v>14015.2</v>
      </c>
      <c r="K285" s="34">
        <f>K209+K212</f>
        <v>16831.7</v>
      </c>
      <c r="L285" s="34">
        <f t="shared" si="939"/>
        <v>16348.300000000001</v>
      </c>
      <c r="M285" s="35">
        <f t="shared" si="939"/>
        <v>16348.300000000001</v>
      </c>
      <c r="N285" s="34">
        <f t="shared" si="939"/>
        <v>15916.1</v>
      </c>
      <c r="O285" s="34">
        <f t="shared" si="939"/>
        <v>14648.599999999999</v>
      </c>
      <c r="P285" s="34">
        <f t="shared" si="939"/>
        <v>14618.1</v>
      </c>
      <c r="Q285" s="34">
        <f t="shared" si="939"/>
        <v>14368.1</v>
      </c>
      <c r="R285" s="35">
        <f t="shared" si="939"/>
        <v>14368.1</v>
      </c>
      <c r="S285" s="34">
        <f t="shared" si="939"/>
        <v>13868.1</v>
      </c>
      <c r="T285" s="34">
        <f t="shared" si="939"/>
        <v>13368.1</v>
      </c>
      <c r="U285" s="34">
        <f t="shared" si="939"/>
        <v>12869.1</v>
      </c>
      <c r="V285" s="34">
        <f t="shared" si="939"/>
        <v>12619.1</v>
      </c>
      <c r="W285" s="35">
        <f t="shared" si="939"/>
        <v>12619.1</v>
      </c>
      <c r="X285" s="34">
        <f t="shared" si="939"/>
        <v>12369.1</v>
      </c>
      <c r="Y285" s="34">
        <f t="shared" si="939"/>
        <v>12119.1</v>
      </c>
      <c r="Z285" s="34">
        <f t="shared" si="939"/>
        <v>11869.1</v>
      </c>
      <c r="AA285" s="34">
        <f t="shared" si="939"/>
        <v>11619.1</v>
      </c>
      <c r="AB285" s="35">
        <f t="shared" si="939"/>
        <v>11619.1</v>
      </c>
      <c r="AC285" s="34">
        <f t="shared" si="939"/>
        <v>11259.75</v>
      </c>
      <c r="AD285" s="34">
        <f t="shared" si="939"/>
        <v>10874</v>
      </c>
      <c r="AE285" s="34">
        <f t="shared" si="939"/>
        <v>10488.25</v>
      </c>
      <c r="AF285" s="34">
        <f t="shared" si="939"/>
        <v>10102.5</v>
      </c>
      <c r="AG285" s="35">
        <f t="shared" si="939"/>
        <v>10102.5</v>
      </c>
      <c r="AH285" s="34">
        <f t="shared" si="939"/>
        <v>9790</v>
      </c>
      <c r="AI285" s="34">
        <f t="shared" si="939"/>
        <v>9477.5</v>
      </c>
      <c r="AJ285" s="34">
        <f t="shared" si="939"/>
        <v>9165</v>
      </c>
      <c r="AK285" s="34">
        <f t="shared" si="939"/>
        <v>8852.5</v>
      </c>
      <c r="AL285" s="35">
        <f t="shared" si="939"/>
        <v>8852.5</v>
      </c>
      <c r="AM285" s="34">
        <f t="shared" ref="AM285:AQ285" si="940">AM209+AM212</f>
        <v>8540</v>
      </c>
      <c r="AN285" s="34">
        <f t="shared" si="940"/>
        <v>8227.5</v>
      </c>
      <c r="AO285" s="34">
        <f t="shared" si="940"/>
        <v>7915</v>
      </c>
      <c r="AP285" s="34">
        <f t="shared" si="940"/>
        <v>7602.5</v>
      </c>
      <c r="AQ285" s="35">
        <f t="shared" si="940"/>
        <v>7602.5</v>
      </c>
    </row>
    <row r="286" spans="1:43" outlineLevel="1" x14ac:dyDescent="0.25">
      <c r="A286" s="254"/>
      <c r="B286" s="634" t="s">
        <v>74</v>
      </c>
      <c r="C286" s="635"/>
      <c r="D286" s="71">
        <f t="shared" ref="D286:AL286" si="941">(D284-D285)/D39</f>
        <v>-3.0907132599329823</v>
      </c>
      <c r="E286" s="71">
        <f t="shared" si="941"/>
        <v>-5.4632605740785154</v>
      </c>
      <c r="F286" s="71">
        <f t="shared" si="941"/>
        <v>-4.9885527391659839</v>
      </c>
      <c r="G286" s="71">
        <f t="shared" si="941"/>
        <v>-6.6975821179389685</v>
      </c>
      <c r="H286" s="72">
        <f t="shared" si="941"/>
        <v>-6.6411774245864397</v>
      </c>
      <c r="I286" s="71">
        <f t="shared" si="941"/>
        <v>-7.0034424853064623</v>
      </c>
      <c r="J286" s="71">
        <f t="shared" si="941"/>
        <v>-9.4784449902600123</v>
      </c>
      <c r="K286" s="71">
        <f t="shared" si="941"/>
        <v>-10.62259306803594</v>
      </c>
      <c r="L286" s="71">
        <f t="shared" si="941"/>
        <v>-9.7625954198473242</v>
      </c>
      <c r="M286" s="72">
        <f t="shared" si="941"/>
        <v>-9.6019593007244595</v>
      </c>
      <c r="N286" s="71">
        <f t="shared" si="941"/>
        <v>-8.8433643279797032</v>
      </c>
      <c r="O286" s="71">
        <f t="shared" si="941"/>
        <v>-8.7442606347062704</v>
      </c>
      <c r="P286" s="71">
        <f t="shared" si="941"/>
        <v>-7.9459618951272892</v>
      </c>
      <c r="Q286" s="71">
        <f t="shared" si="941"/>
        <v>-8.1231465218421786</v>
      </c>
      <c r="R286" s="72">
        <f t="shared" si="941"/>
        <v>-8.1352004639848623</v>
      </c>
      <c r="S286" s="71">
        <f t="shared" si="941"/>
        <v>-7.2812162520308448</v>
      </c>
      <c r="T286" s="71">
        <f t="shared" si="941"/>
        <v>-7.7282084801698314</v>
      </c>
      <c r="U286" s="71">
        <f t="shared" si="941"/>
        <v>-7.4856178118340164</v>
      </c>
      <c r="V286" s="71">
        <f t="shared" si="941"/>
        <v>-7.9460759028563341</v>
      </c>
      <c r="W286" s="72">
        <f t="shared" si="941"/>
        <v>-7.9200840996258828</v>
      </c>
      <c r="X286" s="71">
        <f t="shared" si="941"/>
        <v>-7.1350543126373056</v>
      </c>
      <c r="Y286" s="71">
        <f t="shared" si="941"/>
        <v>-7.4779657698006154</v>
      </c>
      <c r="Z286" s="71">
        <f t="shared" si="941"/>
        <v>-7.1943048766166822</v>
      </c>
      <c r="AA286" s="71">
        <f t="shared" si="941"/>
        <v>-7.7577205244588532</v>
      </c>
      <c r="AB286" s="72">
        <f t="shared" si="941"/>
        <v>-7.731270287306943</v>
      </c>
      <c r="AC286" s="71">
        <f t="shared" si="941"/>
        <v>-6.4537606205447933</v>
      </c>
      <c r="AD286" s="71">
        <f t="shared" si="941"/>
        <v>-6.4699753165552432</v>
      </c>
      <c r="AE286" s="71">
        <f t="shared" si="941"/>
        <v>-5.7588386712082427</v>
      </c>
      <c r="AF286" s="71">
        <f t="shared" si="941"/>
        <v>-6.1179029212007476</v>
      </c>
      <c r="AG286" s="72">
        <f t="shared" si="941"/>
        <v>-6.1125809739712444</v>
      </c>
      <c r="AH286" s="71">
        <f t="shared" si="941"/>
        <v>-4.6297445331205864</v>
      </c>
      <c r="AI286" s="71">
        <f t="shared" si="941"/>
        <v>-4.5647407693079316</v>
      </c>
      <c r="AJ286" s="71">
        <f t="shared" si="941"/>
        <v>-3.7301113548807003</v>
      </c>
      <c r="AK286" s="71">
        <f t="shared" si="941"/>
        <v>-4.0718299641885718</v>
      </c>
      <c r="AL286" s="72">
        <f t="shared" si="941"/>
        <v>-4.0682509850301791</v>
      </c>
      <c r="AM286" s="71">
        <f t="shared" ref="AM286:AQ286" si="942">(AM284-AM285)/AM39</f>
        <v>-2.4526478314231421</v>
      </c>
      <c r="AN286" s="71">
        <f t="shared" si="942"/>
        <v>-2.3544216970498608</v>
      </c>
      <c r="AO286" s="71">
        <f t="shared" si="942"/>
        <v>-1.4175737437700948</v>
      </c>
      <c r="AP286" s="71">
        <f t="shared" si="942"/>
        <v>-1.7518495782529275</v>
      </c>
      <c r="AQ286" s="72">
        <f t="shared" si="942"/>
        <v>-1.750294361406441</v>
      </c>
    </row>
    <row r="287" spans="1:43" x14ac:dyDescent="0.25">
      <c r="A287" s="254"/>
      <c r="B287" s="636"/>
      <c r="C287" s="636"/>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row>
    <row r="288" spans="1:43" ht="15.75" x14ac:dyDescent="0.25">
      <c r="A288" s="254"/>
      <c r="B288" s="565" t="s">
        <v>23</v>
      </c>
      <c r="C288" s="566"/>
      <c r="D288" s="31" t="s">
        <v>106</v>
      </c>
      <c r="E288" s="31" t="s">
        <v>244</v>
      </c>
      <c r="F288" s="31" t="s">
        <v>246</v>
      </c>
      <c r="G288" s="31" t="s">
        <v>337</v>
      </c>
      <c r="H288" s="85" t="s">
        <v>337</v>
      </c>
      <c r="I288" s="31" t="s">
        <v>336</v>
      </c>
      <c r="J288" s="31" t="s">
        <v>335</v>
      </c>
      <c r="K288" s="31" t="s">
        <v>334</v>
      </c>
      <c r="L288" s="31" t="s">
        <v>321</v>
      </c>
      <c r="M288" s="85" t="s">
        <v>321</v>
      </c>
      <c r="N288" s="31" t="s">
        <v>338</v>
      </c>
      <c r="O288" s="31" t="s">
        <v>346</v>
      </c>
      <c r="P288" s="31" t="s">
        <v>348</v>
      </c>
      <c r="Q288" s="33" t="s">
        <v>120</v>
      </c>
      <c r="R288" s="88" t="s">
        <v>120</v>
      </c>
      <c r="S288" s="33" t="s">
        <v>121</v>
      </c>
      <c r="T288" s="33" t="s">
        <v>122</v>
      </c>
      <c r="U288" s="33" t="s">
        <v>123</v>
      </c>
      <c r="V288" s="33" t="s">
        <v>124</v>
      </c>
      <c r="W288" s="88" t="s">
        <v>124</v>
      </c>
      <c r="X288" s="33" t="s">
        <v>125</v>
      </c>
      <c r="Y288" s="33" t="s">
        <v>126</v>
      </c>
      <c r="Z288" s="33" t="s">
        <v>127</v>
      </c>
      <c r="AA288" s="33" t="s">
        <v>128</v>
      </c>
      <c r="AB288" s="88" t="s">
        <v>128</v>
      </c>
      <c r="AC288" s="33" t="s">
        <v>248</v>
      </c>
      <c r="AD288" s="33" t="s">
        <v>249</v>
      </c>
      <c r="AE288" s="33" t="s">
        <v>250</v>
      </c>
      <c r="AF288" s="33" t="s">
        <v>251</v>
      </c>
      <c r="AG288" s="88" t="s">
        <v>251</v>
      </c>
      <c r="AH288" s="33" t="s">
        <v>281</v>
      </c>
      <c r="AI288" s="33" t="s">
        <v>282</v>
      </c>
      <c r="AJ288" s="33" t="s">
        <v>283</v>
      </c>
      <c r="AK288" s="33" t="s">
        <v>284</v>
      </c>
      <c r="AL288" s="88" t="s">
        <v>284</v>
      </c>
      <c r="AM288" s="33" t="s">
        <v>352</v>
      </c>
      <c r="AN288" s="33" t="s">
        <v>353</v>
      </c>
      <c r="AO288" s="33" t="s">
        <v>354</v>
      </c>
      <c r="AP288" s="33" t="s">
        <v>355</v>
      </c>
      <c r="AQ288" s="88" t="s">
        <v>355</v>
      </c>
    </row>
    <row r="289" spans="1:43" ht="17.25" x14ac:dyDescent="0.4">
      <c r="A289" s="254"/>
      <c r="B289" s="567"/>
      <c r="C289" s="568"/>
      <c r="D289" s="32" t="s">
        <v>119</v>
      </c>
      <c r="E289" s="32" t="s">
        <v>243</v>
      </c>
      <c r="F289" s="32" t="s">
        <v>247</v>
      </c>
      <c r="G289" s="32" t="s">
        <v>257</v>
      </c>
      <c r="H289" s="86" t="s">
        <v>258</v>
      </c>
      <c r="I289" s="32" t="s">
        <v>259</v>
      </c>
      <c r="J289" s="32" t="s">
        <v>260</v>
      </c>
      <c r="K289" s="32" t="s">
        <v>261</v>
      </c>
      <c r="L289" s="32" t="s">
        <v>322</v>
      </c>
      <c r="M289" s="86" t="s">
        <v>333</v>
      </c>
      <c r="N289" s="32" t="s">
        <v>339</v>
      </c>
      <c r="O289" s="32" t="s">
        <v>347</v>
      </c>
      <c r="P289" s="32" t="s">
        <v>349</v>
      </c>
      <c r="Q289" s="30" t="s">
        <v>129</v>
      </c>
      <c r="R289" s="89" t="s">
        <v>130</v>
      </c>
      <c r="S289" s="30" t="s">
        <v>131</v>
      </c>
      <c r="T289" s="30" t="s">
        <v>132</v>
      </c>
      <c r="U289" s="30" t="s">
        <v>133</v>
      </c>
      <c r="V289" s="30" t="s">
        <v>134</v>
      </c>
      <c r="W289" s="89" t="s">
        <v>135</v>
      </c>
      <c r="X289" s="30" t="s">
        <v>136</v>
      </c>
      <c r="Y289" s="30" t="s">
        <v>137</v>
      </c>
      <c r="Z289" s="30" t="s">
        <v>138</v>
      </c>
      <c r="AA289" s="30" t="s">
        <v>139</v>
      </c>
      <c r="AB289" s="89" t="s">
        <v>140</v>
      </c>
      <c r="AC289" s="30" t="s">
        <v>252</v>
      </c>
      <c r="AD289" s="30" t="s">
        <v>253</v>
      </c>
      <c r="AE289" s="30" t="s">
        <v>254</v>
      </c>
      <c r="AF289" s="30" t="s">
        <v>255</v>
      </c>
      <c r="AG289" s="89" t="s">
        <v>256</v>
      </c>
      <c r="AH289" s="30" t="s">
        <v>285</v>
      </c>
      <c r="AI289" s="30" t="s">
        <v>286</v>
      </c>
      <c r="AJ289" s="30" t="s">
        <v>287</v>
      </c>
      <c r="AK289" s="30" t="s">
        <v>288</v>
      </c>
      <c r="AL289" s="89" t="s">
        <v>289</v>
      </c>
      <c r="AM289" s="30" t="s">
        <v>356</v>
      </c>
      <c r="AN289" s="30" t="s">
        <v>357</v>
      </c>
      <c r="AO289" s="30" t="s">
        <v>358</v>
      </c>
      <c r="AP289" s="30" t="s">
        <v>359</v>
      </c>
      <c r="AQ289" s="89" t="s">
        <v>360</v>
      </c>
    </row>
    <row r="290" spans="1:43" ht="17.25" outlineLevel="1" x14ac:dyDescent="0.4">
      <c r="A290" s="254"/>
      <c r="B290" s="589" t="s">
        <v>76</v>
      </c>
      <c r="C290" s="590"/>
      <c r="D290" s="16"/>
      <c r="E290" s="16"/>
      <c r="F290" s="16"/>
      <c r="G290" s="16"/>
      <c r="H290" s="17"/>
      <c r="I290" s="16"/>
      <c r="J290" s="16"/>
      <c r="K290" s="16"/>
      <c r="L290" s="16"/>
      <c r="M290" s="17"/>
      <c r="N290" s="16"/>
      <c r="O290" s="16"/>
      <c r="P290" s="16"/>
      <c r="Q290" s="16"/>
      <c r="R290" s="17"/>
      <c r="S290" s="16"/>
      <c r="T290" s="16"/>
      <c r="U290" s="16"/>
      <c r="V290" s="16"/>
      <c r="W290" s="17"/>
      <c r="X290" s="16"/>
      <c r="Y290" s="16"/>
      <c r="Z290" s="16"/>
      <c r="AA290" s="16"/>
      <c r="AB290" s="17"/>
      <c r="AC290" s="16"/>
      <c r="AD290" s="16"/>
      <c r="AE290" s="16"/>
      <c r="AF290" s="16"/>
      <c r="AG290" s="17"/>
      <c r="AH290" s="16"/>
      <c r="AI290" s="16"/>
      <c r="AJ290" s="16"/>
      <c r="AK290" s="16"/>
      <c r="AL290" s="17"/>
      <c r="AM290" s="16"/>
      <c r="AN290" s="16"/>
      <c r="AO290" s="16"/>
      <c r="AP290" s="16"/>
      <c r="AQ290" s="17"/>
    </row>
    <row r="291" spans="1:43" s="43" customFormat="1" outlineLevel="1" x14ac:dyDescent="0.25">
      <c r="A291" s="307"/>
      <c r="B291" s="394" t="s">
        <v>82</v>
      </c>
      <c r="C291" s="395"/>
      <c r="D291" s="49">
        <f t="shared" ref="D291:L291" si="943">D250/D16</f>
        <v>1.4669742337208073E-2</v>
      </c>
      <c r="E291" s="305">
        <f t="shared" si="943"/>
        <v>1.5033540018078308E-2</v>
      </c>
      <c r="F291" s="277">
        <f t="shared" si="943"/>
        <v>9.2774439396160081E-3</v>
      </c>
      <c r="G291" s="277">
        <f t="shared" si="943"/>
        <v>7.7960575070401619E-3</v>
      </c>
      <c r="H291" s="306">
        <f t="shared" si="943"/>
        <v>1.1618870857004896E-2</v>
      </c>
      <c r="I291" s="277">
        <f t="shared" si="943"/>
        <v>1.2723506784461259E-2</v>
      </c>
      <c r="J291" s="277">
        <f t="shared" si="943"/>
        <v>9.3900628783961833E-3</v>
      </c>
      <c r="K291" s="277">
        <f t="shared" si="943"/>
        <v>9.8055470026763899E-3</v>
      </c>
      <c r="L291" s="277">
        <f t="shared" si="943"/>
        <v>9.7693088939401224E-3</v>
      </c>
      <c r="M291" s="79"/>
      <c r="N291" s="277">
        <f>N250/N16</f>
        <v>1.4712418881678371E-2</v>
      </c>
      <c r="O291" s="277">
        <f t="shared" ref="O291:P291" si="944">O250/O16</f>
        <v>1.1397720455908821E-2</v>
      </c>
      <c r="P291" s="277">
        <f t="shared" si="944"/>
        <v>1.0671646768491964E-2</v>
      </c>
      <c r="Q291" s="65">
        <f>AVERAGE(P291,O291,N291,L291)</f>
        <v>1.1637773750004819E-2</v>
      </c>
      <c r="R291" s="79"/>
      <c r="S291" s="65">
        <f>AVERAGE(Q291,P291,O291,N291)</f>
        <v>1.2104889964020996E-2</v>
      </c>
      <c r="T291" s="65">
        <f>AVERAGE(S291,Q291,P291,O291)</f>
        <v>1.1453007734606651E-2</v>
      </c>
      <c r="U291" s="65">
        <f>AVERAGE(T291,S291,Q291,P291)</f>
        <v>1.1466829554281107E-2</v>
      </c>
      <c r="V291" s="65">
        <f>AVERAGE(U291,T291,S291,Q291)</f>
        <v>1.1665625250728394E-2</v>
      </c>
      <c r="W291" s="79"/>
      <c r="X291" s="65">
        <f>AVERAGE(V291,U291,T291,S291)</f>
        <v>1.1672588125909288E-2</v>
      </c>
      <c r="Y291" s="65">
        <f>AVERAGE(X291,V291,U291,T291)</f>
        <v>1.1564512666381359E-2</v>
      </c>
      <c r="Z291" s="65">
        <f>AVERAGE(Y291,X291,V291,U291)</f>
        <v>1.1592388899325037E-2</v>
      </c>
      <c r="AA291" s="65">
        <f>AVERAGE(Z291,Y291,X291,V291)</f>
        <v>1.162377873558602E-2</v>
      </c>
      <c r="AB291" s="79"/>
      <c r="AC291" s="65">
        <f>AVERAGE(AA291,Z291,Y291,X291)</f>
        <v>1.1613317106800426E-2</v>
      </c>
      <c r="AD291" s="65">
        <f>AVERAGE(AC291,AA291,Z291,Y291)</f>
        <v>1.1598499352023209E-2</v>
      </c>
      <c r="AE291" s="65">
        <f>AVERAGE(AD291,AC291,AA291,Z291)</f>
        <v>1.1606996023433673E-2</v>
      </c>
      <c r="AF291" s="65">
        <f>AVERAGE(AE291,AD291,AC291,AA291)</f>
        <v>1.1610647804460833E-2</v>
      </c>
      <c r="AG291" s="79"/>
      <c r="AH291" s="65">
        <f>AVERAGE(AF291,AE291,AD291,AC291)</f>
        <v>1.1607365071679535E-2</v>
      </c>
      <c r="AI291" s="65">
        <f>AVERAGE(AH291,AF291,AE291,AD291)</f>
        <v>1.1605877062899313E-2</v>
      </c>
      <c r="AJ291" s="65">
        <f>AVERAGE(AI291,AH291,AF291,AE291)</f>
        <v>1.1607721490618339E-2</v>
      </c>
      <c r="AK291" s="65">
        <f>AVERAGE(AJ291,AI291,AH291,AF291)</f>
        <v>1.1607902857414504E-2</v>
      </c>
      <c r="AL291" s="79"/>
      <c r="AM291" s="65">
        <f>AVERAGE(AK291,AJ291,AI291,AH291)</f>
        <v>1.1607216620652921E-2</v>
      </c>
      <c r="AN291" s="65">
        <f>AVERAGE(AM291,AK291,AJ291,AI291)</f>
        <v>1.1607179507896269E-2</v>
      </c>
      <c r="AO291" s="65">
        <f>AVERAGE(AN291,AM291,AK291,AJ291)</f>
        <v>1.1607505119145508E-2</v>
      </c>
      <c r="AP291" s="65">
        <f>AVERAGE(AO291,AN291,AM291,AK291)</f>
        <v>1.1607451026277301E-2</v>
      </c>
      <c r="AQ291" s="79"/>
    </row>
    <row r="292" spans="1:43" s="43" customFormat="1" outlineLevel="1" x14ac:dyDescent="0.25">
      <c r="A292" s="307"/>
      <c r="B292" s="394" t="s">
        <v>231</v>
      </c>
      <c r="C292" s="395"/>
      <c r="D292" s="49">
        <f>+D248/-D247</f>
        <v>1.1581818181818182</v>
      </c>
      <c r="E292" s="49">
        <f>+E248/-E247</f>
        <v>0.55639097744360888</v>
      </c>
      <c r="F292" s="277">
        <f t="shared" ref="F292:K292" si="945">+F248/-F247</f>
        <v>1.0682852807283763</v>
      </c>
      <c r="G292" s="277">
        <f t="shared" si="945"/>
        <v>0.69411764705882406</v>
      </c>
      <c r="H292" s="306">
        <f t="shared" si="945"/>
        <v>0.86512370311252995</v>
      </c>
      <c r="I292" s="277">
        <f t="shared" si="945"/>
        <v>1.0222575516693164</v>
      </c>
      <c r="J292" s="277">
        <f t="shared" si="945"/>
        <v>0.63295880149812733</v>
      </c>
      <c r="K292" s="277">
        <f t="shared" si="945"/>
        <v>1.0227272727272729</v>
      </c>
      <c r="L292" s="277">
        <f t="shared" ref="L292" si="946">+L248/-L247</f>
        <v>0.63109756097560987</v>
      </c>
      <c r="M292" s="79"/>
      <c r="N292" s="277">
        <f t="shared" ref="N292:P292" si="947">+N248/-N247</f>
        <v>1.1188405797101451</v>
      </c>
      <c r="O292" s="277">
        <f t="shared" si="947"/>
        <v>0.85072231139646837</v>
      </c>
      <c r="P292" s="277">
        <f t="shared" si="947"/>
        <v>0.9018691588785045</v>
      </c>
      <c r="Q292" s="65">
        <v>1</v>
      </c>
      <c r="R292" s="79"/>
      <c r="S292" s="65">
        <v>1</v>
      </c>
      <c r="T292" s="65">
        <v>1</v>
      </c>
      <c r="U292" s="65">
        <v>1</v>
      </c>
      <c r="V292" s="65">
        <v>1</v>
      </c>
      <c r="W292" s="79"/>
      <c r="X292" s="65">
        <v>1</v>
      </c>
      <c r="Y292" s="65">
        <v>1</v>
      </c>
      <c r="Z292" s="65">
        <v>1</v>
      </c>
      <c r="AA292" s="65">
        <v>1</v>
      </c>
      <c r="AB292" s="79"/>
      <c r="AC292" s="65">
        <v>1</v>
      </c>
      <c r="AD292" s="65">
        <v>1</v>
      </c>
      <c r="AE292" s="65">
        <v>1</v>
      </c>
      <c r="AF292" s="65">
        <v>1</v>
      </c>
      <c r="AG292" s="79"/>
      <c r="AH292" s="65">
        <v>1</v>
      </c>
      <c r="AI292" s="65">
        <v>1</v>
      </c>
      <c r="AJ292" s="65">
        <v>1</v>
      </c>
      <c r="AK292" s="65">
        <v>1</v>
      </c>
      <c r="AL292" s="79"/>
      <c r="AM292" s="65">
        <v>1</v>
      </c>
      <c r="AN292" s="65">
        <v>1</v>
      </c>
      <c r="AO292" s="65">
        <v>1</v>
      </c>
      <c r="AP292" s="65">
        <v>1</v>
      </c>
      <c r="AQ292" s="79"/>
    </row>
    <row r="293" spans="1:43" s="43" customFormat="1" outlineLevel="1" x14ac:dyDescent="0.25">
      <c r="A293" s="307"/>
      <c r="B293" s="595" t="s">
        <v>59</v>
      </c>
      <c r="C293" s="596"/>
      <c r="D293" s="52"/>
      <c r="E293" s="52"/>
      <c r="F293" s="52"/>
      <c r="G293" s="52"/>
      <c r="H293" s="62"/>
      <c r="I293" s="52">
        <f t="shared" ref="I293:AL293" si="948">I260/D260-1</f>
        <v>-0.22820512820512895</v>
      </c>
      <c r="J293" s="52">
        <f t="shared" si="948"/>
        <v>-4.4869364754098413</v>
      </c>
      <c r="K293" s="52">
        <f t="shared" si="948"/>
        <v>-1.314434752864716</v>
      </c>
      <c r="L293" s="52">
        <f t="shared" si="948"/>
        <v>0.34527569713924766</v>
      </c>
      <c r="M293" s="62">
        <f t="shared" si="948"/>
        <v>-0.68340961778517451</v>
      </c>
      <c r="N293" s="52">
        <f t="shared" si="948"/>
        <v>-2.1785305811139466E-4</v>
      </c>
      <c r="O293" s="52">
        <f t="shared" si="948"/>
        <v>-1.649232351428781</v>
      </c>
      <c r="P293" s="52">
        <f t="shared" si="948"/>
        <v>-5.7565950503127619</v>
      </c>
      <c r="Q293" s="52">
        <f t="shared" si="948"/>
        <v>-0.28759265113488464</v>
      </c>
      <c r="R293" s="62">
        <f t="shared" si="948"/>
        <v>2.4613128269828595</v>
      </c>
      <c r="S293" s="52">
        <f t="shared" si="948"/>
        <v>0.39302018506105707</v>
      </c>
      <c r="T293" s="52">
        <f t="shared" si="948"/>
        <v>0.12302420284957249</v>
      </c>
      <c r="U293" s="52">
        <f t="shared" si="948"/>
        <v>7.2917554939941454E-2</v>
      </c>
      <c r="V293" s="52">
        <f t="shared" si="948"/>
        <v>6.3173826140376921E-3</v>
      </c>
      <c r="W293" s="62">
        <f t="shared" si="948"/>
        <v>0.17438571963305693</v>
      </c>
      <c r="X293" s="52">
        <f t="shared" si="948"/>
        <v>-6.161153984072687E-3</v>
      </c>
      <c r="Y293" s="52">
        <f t="shared" si="948"/>
        <v>0.16674662494551007</v>
      </c>
      <c r="Z293" s="52">
        <f t="shared" si="948"/>
        <v>4.2780635505394793E-2</v>
      </c>
      <c r="AA293" s="52">
        <f t="shared" si="948"/>
        <v>-8.6469992836222809E-2</v>
      </c>
      <c r="AB293" s="62">
        <f t="shared" si="948"/>
        <v>2.1188083214691567E-2</v>
      </c>
      <c r="AC293" s="52">
        <f t="shared" si="948"/>
        <v>0.12871399552240925</v>
      </c>
      <c r="AD293" s="52">
        <f t="shared" si="948"/>
        <v>0.12468675947765173</v>
      </c>
      <c r="AE293" s="52">
        <f t="shared" si="948"/>
        <v>0.13298030545447093</v>
      </c>
      <c r="AF293" s="52">
        <f t="shared" si="948"/>
        <v>7.5568325467312292E-4</v>
      </c>
      <c r="AG293" s="62">
        <f t="shared" si="948"/>
        <v>0.1104345655016028</v>
      </c>
      <c r="AH293" s="52">
        <f t="shared" si="948"/>
        <v>8.8809410291354141E-2</v>
      </c>
      <c r="AI293" s="52">
        <f t="shared" si="948"/>
        <v>0.10551011741900562</v>
      </c>
      <c r="AJ293" s="52">
        <f t="shared" si="948"/>
        <v>8.5280202361426527E-2</v>
      </c>
      <c r="AK293" s="52">
        <f t="shared" si="948"/>
        <v>0.1279432326573251</v>
      </c>
      <c r="AL293" s="62">
        <f t="shared" si="948"/>
        <v>9.5891773745516273E-2</v>
      </c>
      <c r="AM293" s="52">
        <f t="shared" ref="AM293" si="949">AM260/AH260-1</f>
        <v>8.1070530957930043E-2</v>
      </c>
      <c r="AN293" s="52">
        <f t="shared" ref="AN293" si="950">AN260/AI260-1</f>
        <v>9.7908896648803978E-2</v>
      </c>
      <c r="AO293" s="52">
        <f t="shared" ref="AO293" si="951">AO260/AJ260-1</f>
        <v>9.2622001879715476E-2</v>
      </c>
      <c r="AP293" s="52">
        <f t="shared" ref="AP293" si="952">AP260/AK260-1</f>
        <v>9.2053800747671E-2</v>
      </c>
      <c r="AQ293" s="62">
        <f t="shared" ref="AQ293" si="953">AQ260/AL260-1</f>
        <v>8.9017554761703588E-2</v>
      </c>
    </row>
    <row r="294" spans="1:43" outlineLevel="1" x14ac:dyDescent="0.25">
      <c r="A294" s="254"/>
      <c r="B294" s="399" t="s">
        <v>77</v>
      </c>
      <c r="C294" s="237"/>
      <c r="D294" s="49">
        <f t="shared" ref="D294:P294" si="954">-D263/D16</f>
        <v>6.5041385860961587E-2</v>
      </c>
      <c r="E294" s="49">
        <f t="shared" si="954"/>
        <v>6.5684517673924428E-2</v>
      </c>
      <c r="F294" s="277">
        <f t="shared" si="954"/>
        <v>6.3769602814011436E-2</v>
      </c>
      <c r="G294" s="277">
        <f t="shared" si="954"/>
        <v>7.7945753668297008E-2</v>
      </c>
      <c r="H294" s="303">
        <f t="shared" si="954"/>
        <v>6.8151467825535855E-2</v>
      </c>
      <c r="I294" s="304">
        <f t="shared" si="954"/>
        <v>5.555790393259219E-2</v>
      </c>
      <c r="J294" s="285">
        <f t="shared" si="954"/>
        <v>6.0710175625865198E-2</v>
      </c>
      <c r="K294" s="285">
        <f t="shared" si="954"/>
        <v>9.0026290234717338E-2</v>
      </c>
      <c r="L294" s="277">
        <f t="shared" si="954"/>
        <v>5.5649594557559891E-2</v>
      </c>
      <c r="M294" s="87">
        <f t="shared" si="954"/>
        <v>6.3083595543838744E-2</v>
      </c>
      <c r="N294" s="304">
        <f t="shared" si="954"/>
        <v>4.8033899309568251E-2</v>
      </c>
      <c r="O294" s="285">
        <f t="shared" si="954"/>
        <v>4.8545290941811634E-2</v>
      </c>
      <c r="P294" s="285">
        <f t="shared" si="954"/>
        <v>4.5061028479957313E-2</v>
      </c>
      <c r="Q294" s="64">
        <v>8.6278486826498871E-2</v>
      </c>
      <c r="R294" s="87">
        <f>-R263/R16</f>
        <v>5.823332813515144E-2</v>
      </c>
      <c r="S294" s="152">
        <v>6.25E-2</v>
      </c>
      <c r="T294" s="65">
        <v>6.25E-2</v>
      </c>
      <c r="U294" s="65">
        <v>6.25E-2</v>
      </c>
      <c r="V294" s="65">
        <v>6.0240099163199522E-2</v>
      </c>
      <c r="W294" s="104">
        <f>-W263/W16</f>
        <v>6.1905244508015947E-2</v>
      </c>
      <c r="X294" s="152">
        <v>5.7500000000000002E-2</v>
      </c>
      <c r="Y294" s="152">
        <v>5.7500000000000002E-2</v>
      </c>
      <c r="Z294" s="152">
        <v>5.7500000000000002E-2</v>
      </c>
      <c r="AA294" s="152">
        <v>5.515585956204333E-2</v>
      </c>
      <c r="AB294" s="104">
        <f>-AB263/AB16</f>
        <v>5.6883823700571413E-2</v>
      </c>
      <c r="AC294" s="152">
        <v>5.2499999999999998E-2</v>
      </c>
      <c r="AD294" s="65">
        <v>5.2499999999999998E-2</v>
      </c>
      <c r="AE294" s="65">
        <v>5.2499999999999998E-2</v>
      </c>
      <c r="AF294" s="65">
        <v>5.3115491488484927E-2</v>
      </c>
      <c r="AG294" s="104">
        <f>-AG263/AG16</f>
        <v>5.266242388642408E-2</v>
      </c>
      <c r="AH294" s="152">
        <f>AVERAGE(AC294,AD294,AE294,AF294)</f>
        <v>5.2653872872121234E-2</v>
      </c>
      <c r="AI294" s="65">
        <f>AVERAGE(AD294,AE294,AF294,AH294)</f>
        <v>5.2692341090151536E-2</v>
      </c>
      <c r="AJ294" s="65">
        <f>AVERAGE(AI294,AH294,AF294,AE294)</f>
        <v>5.274042636268942E-2</v>
      </c>
      <c r="AK294" s="65">
        <f>AVERAGE(AJ294,AI294,AH294,AF294)</f>
        <v>5.2800532953361783E-2</v>
      </c>
      <c r="AL294" s="104">
        <f>-AL263/AL16</f>
        <v>5.2724152559400245E-2</v>
      </c>
      <c r="AM294" s="152">
        <f>AVERAGE(AH294,AI294,AJ294,AK294)</f>
        <v>5.2721793319580997E-2</v>
      </c>
      <c r="AN294" s="65">
        <f>AVERAGE(AI294,AJ294,AK294,AM294)</f>
        <v>5.273877343144593E-2</v>
      </c>
      <c r="AO294" s="65">
        <f>AVERAGE(AN294,AM294,AK294,AJ294)</f>
        <v>5.2750381516769529E-2</v>
      </c>
      <c r="AP294" s="65">
        <f>AVERAGE(AO294,AN294,AM294,AK294)</f>
        <v>5.2752870305289558E-2</v>
      </c>
      <c r="AQ294" s="104">
        <f>-AQ263/AQ16</f>
        <v>5.2741422146468264E-2</v>
      </c>
    </row>
    <row r="295" spans="1:43" s="186" customFormat="1" x14ac:dyDescent="0.25">
      <c r="A295" s="272"/>
      <c r="B295" s="501" t="s">
        <v>363</v>
      </c>
      <c r="C295" s="501"/>
      <c r="D295" s="522"/>
      <c r="E295" s="522"/>
      <c r="F295" s="522"/>
      <c r="G295" s="522"/>
      <c r="H295" s="523">
        <f t="shared" ref="H295:W295" si="955">(H209+H212)/(H25+H245)</f>
        <v>2.0203719785786638</v>
      </c>
      <c r="I295" s="521"/>
      <c r="J295" s="521"/>
      <c r="K295" s="521"/>
      <c r="L295" s="521"/>
      <c r="M295" s="523">
        <f t="shared" si="955"/>
        <v>5.3342143043591674</v>
      </c>
      <c r="N295" s="521"/>
      <c r="O295" s="521"/>
      <c r="P295" s="521"/>
      <c r="Q295" s="521"/>
      <c r="R295" s="531">
        <f t="shared" si="955"/>
        <v>2.218440385030759</v>
      </c>
      <c r="S295" s="521"/>
      <c r="T295" s="521"/>
      <c r="U295" s="521"/>
      <c r="V295" s="521"/>
      <c r="W295" s="523">
        <f t="shared" si="955"/>
        <v>1.7510387560063516</v>
      </c>
      <c r="X295" s="520"/>
      <c r="Y295" s="520"/>
      <c r="Z295" s="520"/>
      <c r="AA295" s="520"/>
      <c r="AB295" s="523">
        <f t="shared" ref="AB295" si="956">(AB209+AB212)/(AB25+AB245)</f>
        <v>1.4635740928617509</v>
      </c>
      <c r="AC295" s="520"/>
      <c r="AD295" s="520"/>
      <c r="AE295" s="520"/>
      <c r="AF295" s="520"/>
      <c r="AG295" s="523">
        <f t="shared" ref="AG295" si="957">(AG209+AG212)/(AG25+AG245)</f>
        <v>1.1760087891547188</v>
      </c>
      <c r="AH295" s="520"/>
      <c r="AI295" s="520"/>
      <c r="AJ295" s="520"/>
      <c r="AK295" s="520"/>
      <c r="AL295" s="523">
        <f t="shared" ref="AL295" si="958">(AL209+AL212)/(AL25+AL245)</f>
        <v>0.95028531754518264</v>
      </c>
      <c r="AM295" s="520"/>
      <c r="AN295" s="520"/>
      <c r="AO295" s="520"/>
      <c r="AP295" s="520"/>
      <c r="AQ295" s="523">
        <f t="shared" ref="AQ295" si="959">(AQ209+AQ212)/(AQ25+AQ245)</f>
        <v>0.75249308004233428</v>
      </c>
    </row>
    <row r="296" spans="1:43" ht="15.75" x14ac:dyDescent="0.25">
      <c r="A296" s="254"/>
      <c r="B296" s="565" t="s">
        <v>19</v>
      </c>
      <c r="C296" s="627"/>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532" t="s">
        <v>371</v>
      </c>
      <c r="AB296" s="533">
        <f>+AB27+AB20</f>
        <v>8331.5308487278344</v>
      </c>
      <c r="AC296" s="22"/>
      <c r="AD296" s="22"/>
      <c r="AE296" s="22"/>
      <c r="AF296" s="22"/>
      <c r="AG296" s="22"/>
      <c r="AH296" s="22"/>
      <c r="AI296" s="22"/>
      <c r="AJ296" s="22"/>
      <c r="AK296" s="22"/>
      <c r="AL296" s="22"/>
      <c r="AM296" s="22"/>
      <c r="AN296" s="22"/>
      <c r="AO296" s="22"/>
      <c r="AP296" s="22"/>
      <c r="AQ296" s="22"/>
    </row>
    <row r="297" spans="1:43" outlineLevel="1" x14ac:dyDescent="0.25">
      <c r="A297" s="254"/>
      <c r="B297" s="57" t="s">
        <v>364</v>
      </c>
      <c r="C297" s="377">
        <v>31.4</v>
      </c>
      <c r="D297" s="379"/>
      <c r="E297" s="14"/>
      <c r="F297" s="14"/>
      <c r="G297" s="14"/>
      <c r="H297" s="14"/>
      <c r="I297" s="14"/>
      <c r="J297" s="14"/>
      <c r="K297" s="14"/>
      <c r="L297" s="14"/>
      <c r="M297" s="14"/>
      <c r="N297" s="14"/>
      <c r="O297" s="14"/>
      <c r="P297" s="14"/>
      <c r="Q297" s="14"/>
      <c r="R297" s="14"/>
      <c r="S297" s="14"/>
      <c r="T297" s="14"/>
      <c r="U297" s="14"/>
      <c r="V297" s="14"/>
      <c r="W297" s="14"/>
      <c r="X297" s="14"/>
      <c r="Y297" s="14"/>
      <c r="Z297" s="14"/>
      <c r="AA297" s="532" t="s">
        <v>372</v>
      </c>
      <c r="AB297" s="535">
        <f>AB209+AB212</f>
        <v>11619.1</v>
      </c>
      <c r="AC297" s="14"/>
      <c r="AD297" s="14"/>
      <c r="AE297" s="14"/>
      <c r="AF297" s="14"/>
      <c r="AG297" s="14"/>
      <c r="AH297" s="14"/>
      <c r="AI297" s="14"/>
      <c r="AJ297" s="14"/>
      <c r="AK297" s="14"/>
      <c r="AL297" s="14"/>
      <c r="AM297" s="14"/>
      <c r="AN297" s="14"/>
      <c r="AO297" s="14"/>
      <c r="AP297" s="14"/>
      <c r="AQ297" s="14"/>
    </row>
    <row r="298" spans="1:43" outlineLevel="1" x14ac:dyDescent="0.25">
      <c r="A298" s="254"/>
      <c r="B298" s="57" t="s">
        <v>365</v>
      </c>
      <c r="C298" s="378">
        <v>33.700000000000003</v>
      </c>
      <c r="D298" s="380"/>
      <c r="AA298" s="532" t="s">
        <v>373</v>
      </c>
      <c r="AB298" s="534">
        <f>+AB187+AB188+AB193</f>
        <v>2578.227977951959</v>
      </c>
    </row>
    <row r="299" spans="1:43" outlineLevel="1" x14ac:dyDescent="0.25">
      <c r="A299" s="254"/>
      <c r="B299" s="57" t="s">
        <v>366</v>
      </c>
      <c r="C299" s="378">
        <v>29.6</v>
      </c>
      <c r="D299" s="380"/>
    </row>
    <row r="300" spans="1:43" outlineLevel="1" x14ac:dyDescent="0.25">
      <c r="A300" s="254"/>
      <c r="B300" s="408" t="s">
        <v>367</v>
      </c>
      <c r="C300" s="387">
        <v>31.4</v>
      </c>
      <c r="D300" s="380"/>
    </row>
    <row r="301" spans="1:43" ht="17.25" outlineLevel="1" x14ac:dyDescent="0.4">
      <c r="A301" s="254"/>
      <c r="B301" s="408" t="s">
        <v>100</v>
      </c>
      <c r="C301" s="141">
        <v>0</v>
      </c>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row>
    <row r="302" spans="1:43" outlineLevel="1" x14ac:dyDescent="0.25">
      <c r="A302" s="254"/>
      <c r="B302" s="140" t="s">
        <v>48</v>
      </c>
      <c r="C302" s="153">
        <f>(C300*(Q42+S42+T42+U42))</f>
        <v>116.99550189061887</v>
      </c>
    </row>
    <row r="303" spans="1:43" ht="15" customHeight="1" x14ac:dyDescent="0.25">
      <c r="A303" s="254"/>
      <c r="B303" s="135" t="s">
        <v>96</v>
      </c>
      <c r="C303" s="162">
        <f>C306-C329</f>
        <v>2.2225243549200968E-4</v>
      </c>
    </row>
    <row r="304" spans="1:43" ht="15.75" x14ac:dyDescent="0.25">
      <c r="A304" s="254"/>
      <c r="B304" s="565" t="s">
        <v>26</v>
      </c>
      <c r="C304" s="627"/>
    </row>
    <row r="305" spans="1:4" outlineLevel="1" x14ac:dyDescent="0.25">
      <c r="A305" s="254"/>
      <c r="B305" s="90" t="s">
        <v>80</v>
      </c>
      <c r="C305" s="28"/>
      <c r="D305" s="379"/>
    </row>
    <row r="306" spans="1:4" outlineLevel="1" x14ac:dyDescent="0.25">
      <c r="A306" s="254"/>
      <c r="B306" s="91" t="s">
        <v>95</v>
      </c>
      <c r="C306" s="154">
        <v>113.13524893662766</v>
      </c>
      <c r="D306" s="380"/>
    </row>
    <row r="307" spans="1:4" ht="17.25" outlineLevel="1" x14ac:dyDescent="0.4">
      <c r="A307" s="254"/>
      <c r="B307" s="91" t="s">
        <v>27</v>
      </c>
      <c r="C307" s="155">
        <f>P39</f>
        <v>1186.2</v>
      </c>
      <c r="D307" s="380"/>
    </row>
    <row r="308" spans="1:4" outlineLevel="1" x14ac:dyDescent="0.25">
      <c r="A308" s="254"/>
      <c r="B308" s="99" t="s">
        <v>28</v>
      </c>
      <c r="C308" s="92">
        <f>C307*C306</f>
        <v>134201.03228862773</v>
      </c>
      <c r="D308" s="380"/>
    </row>
    <row r="309" spans="1:4" outlineLevel="1" x14ac:dyDescent="0.25">
      <c r="A309" s="254"/>
      <c r="B309" s="91" t="s">
        <v>40</v>
      </c>
      <c r="C309" s="132">
        <v>0.95</v>
      </c>
      <c r="D309" s="380"/>
    </row>
    <row r="310" spans="1:4" outlineLevel="1" x14ac:dyDescent="0.25">
      <c r="A310" s="254"/>
      <c r="B310" s="91" t="s">
        <v>101</v>
      </c>
      <c r="C310" s="93">
        <v>0.376</v>
      </c>
      <c r="D310" s="380"/>
    </row>
    <row r="311" spans="1:4" outlineLevel="1" x14ac:dyDescent="0.25">
      <c r="A311" s="254"/>
      <c r="B311" s="91" t="s">
        <v>102</v>
      </c>
      <c r="C311" s="94">
        <v>0.18049999999999999</v>
      </c>
      <c r="D311" s="380"/>
    </row>
    <row r="312" spans="1:4" outlineLevel="1" x14ac:dyDescent="0.25">
      <c r="A312" s="254"/>
      <c r="B312" s="100" t="s">
        <v>29</v>
      </c>
      <c r="C312" s="95">
        <f>C310*C311</f>
        <v>6.7867999999999998E-2</v>
      </c>
      <c r="D312" s="380"/>
    </row>
    <row r="313" spans="1:4" outlineLevel="1" x14ac:dyDescent="0.25">
      <c r="A313" s="254"/>
      <c r="B313" s="91" t="s">
        <v>97</v>
      </c>
      <c r="C313" s="96">
        <v>9.4999999999999998E-3</v>
      </c>
      <c r="D313" s="380"/>
    </row>
    <row r="314" spans="1:4" outlineLevel="1" x14ac:dyDescent="0.25">
      <c r="A314" s="254"/>
      <c r="B314" s="99" t="s">
        <v>30</v>
      </c>
      <c r="C314" s="102">
        <f>C313+(C309*C312)</f>
        <v>7.3974599999999988E-2</v>
      </c>
      <c r="D314" s="380"/>
    </row>
    <row r="315" spans="1:4" outlineLevel="1" x14ac:dyDescent="0.25">
      <c r="A315" s="254"/>
      <c r="B315" s="57" t="s">
        <v>31</v>
      </c>
      <c r="C315" s="97">
        <f>C308/(C308+P209+P212)</f>
        <v>0.90177271043585383</v>
      </c>
      <c r="D315" s="380"/>
    </row>
    <row r="316" spans="1:4" outlineLevel="1" x14ac:dyDescent="0.25">
      <c r="A316" s="254"/>
      <c r="B316" s="57" t="s">
        <v>32</v>
      </c>
      <c r="C316" s="97">
        <f>P155*4</f>
        <v>3.0997686790789538E-2</v>
      </c>
      <c r="D316" s="380"/>
    </row>
    <row r="317" spans="1:4" outlineLevel="1" x14ac:dyDescent="0.25">
      <c r="A317" s="254"/>
      <c r="B317" s="57" t="s">
        <v>2</v>
      </c>
      <c r="C317" s="70">
        <f>R153</f>
        <v>0.21372571664542003</v>
      </c>
      <c r="D317" s="380"/>
    </row>
    <row r="318" spans="1:4" outlineLevel="1" x14ac:dyDescent="0.25">
      <c r="A318" s="254"/>
      <c r="B318" s="57" t="s">
        <v>33</v>
      </c>
      <c r="C318" s="97">
        <f>C316*(1-C317)</f>
        <v>2.4372683967077771E-2</v>
      </c>
      <c r="D318" s="380"/>
    </row>
    <row r="319" spans="1:4" outlineLevel="1" x14ac:dyDescent="0.25">
      <c r="A319" s="254"/>
      <c r="B319" s="101" t="s">
        <v>81</v>
      </c>
      <c r="C319" s="98">
        <f>(C315*C314)+((1-C315)*C318)</f>
        <v>6.9102338230897675E-2</v>
      </c>
      <c r="D319" s="380"/>
    </row>
    <row r="320" spans="1:4" outlineLevel="1" x14ac:dyDescent="0.25">
      <c r="A320" s="254"/>
      <c r="B320" s="603" t="s">
        <v>103</v>
      </c>
      <c r="C320" s="604"/>
      <c r="D320" s="380"/>
    </row>
    <row r="321" spans="1:8" outlineLevel="1" x14ac:dyDescent="0.25">
      <c r="A321" s="254"/>
      <c r="B321" s="57" t="s">
        <v>41</v>
      </c>
      <c r="C321" s="161">
        <v>7.0000000000000007E-2</v>
      </c>
      <c r="D321" s="380"/>
    </row>
    <row r="322" spans="1:8" outlineLevel="1" x14ac:dyDescent="0.25">
      <c r="A322" s="254"/>
      <c r="B322" s="57" t="s">
        <v>42</v>
      </c>
      <c r="C322" s="161">
        <v>7.0000000000000007E-2</v>
      </c>
      <c r="D322" s="380"/>
    </row>
    <row r="323" spans="1:8" outlineLevel="1" x14ac:dyDescent="0.25">
      <c r="A323" s="254"/>
      <c r="B323" s="57" t="s">
        <v>79</v>
      </c>
      <c r="C323" s="161">
        <v>0.05</v>
      </c>
      <c r="D323" s="380"/>
    </row>
    <row r="324" spans="1:8" outlineLevel="1" x14ac:dyDescent="0.25">
      <c r="A324" s="254"/>
      <c r="B324" s="57" t="s">
        <v>104</v>
      </c>
      <c r="C324" s="161">
        <f>(C315*(0.061+(0.908*(0.312*0.1912))))+((1-C315)*C318)</f>
        <v>0.10624779468157819</v>
      </c>
      <c r="D324" s="380"/>
    </row>
    <row r="325" spans="1:8" outlineLevel="1" x14ac:dyDescent="0.25">
      <c r="A325" s="254"/>
      <c r="B325" s="103" t="s">
        <v>43</v>
      </c>
      <c r="C325" s="28"/>
      <c r="D325" s="380"/>
    </row>
    <row r="326" spans="1:8" outlineLevel="1" x14ac:dyDescent="0.25">
      <c r="A326" s="254"/>
      <c r="B326" s="57" t="s">
        <v>84</v>
      </c>
      <c r="C326" s="106">
        <f>((((AQ260*(1+C322))-(C323*AQ16*(1+C321))+(C318*(AQ209+AQ212))))/(C324-C321))/(1+$C$324)^5</f>
        <v>120650.98904611602</v>
      </c>
      <c r="D326" s="380"/>
    </row>
    <row r="327" spans="1:8" outlineLevel="1" x14ac:dyDescent="0.25">
      <c r="A327" s="254"/>
      <c r="B327" s="57" t="s">
        <v>83</v>
      </c>
      <c r="C327" s="106">
        <f>W282+AB282+AG282+AL282+AQ282</f>
        <v>22975.279606672724</v>
      </c>
      <c r="D327" s="380"/>
    </row>
    <row r="328" spans="1:8" ht="17.25" outlineLevel="1" x14ac:dyDescent="0.4">
      <c r="A328" s="254"/>
      <c r="B328" s="57" t="s">
        <v>47</v>
      </c>
      <c r="C328" s="156">
        <f>+P286</f>
        <v>-7.9459618951272892</v>
      </c>
      <c r="D328" s="380"/>
    </row>
    <row r="329" spans="1:8" outlineLevel="1" x14ac:dyDescent="0.25">
      <c r="A329" s="254"/>
      <c r="B329" s="140" t="s">
        <v>49</v>
      </c>
      <c r="C329" s="413">
        <f>(C326+C327)/C307+C328</f>
        <v>113.13502668419217</v>
      </c>
      <c r="D329" s="380"/>
      <c r="H329" s="389"/>
    </row>
    <row r="330" spans="1:8" ht="13.5" customHeight="1" x14ac:dyDescent="0.25">
      <c r="A330" s="254"/>
      <c r="C330" s="29"/>
    </row>
    <row r="331" spans="1:8" ht="15.75" x14ac:dyDescent="0.25">
      <c r="A331" s="254"/>
      <c r="B331" s="565" t="s">
        <v>105</v>
      </c>
      <c r="C331" s="627"/>
      <c r="D331" s="379"/>
    </row>
    <row r="332" spans="1:8" outlineLevel="1" x14ac:dyDescent="0.25">
      <c r="A332" s="254"/>
      <c r="B332" s="113" t="s">
        <v>320</v>
      </c>
      <c r="C332" s="115">
        <f>'Std Dev'!E17</f>
        <v>2.3571285403266511E-2</v>
      </c>
      <c r="D332" s="380"/>
    </row>
    <row r="333" spans="1:8" outlineLevel="1" x14ac:dyDescent="0.25">
      <c r="A333" s="254"/>
      <c r="B333" s="57" t="s">
        <v>60</v>
      </c>
      <c r="C333" s="116">
        <f>'Std Dev'!G20</f>
        <v>4.5229478198470938E-2</v>
      </c>
      <c r="D333" s="380"/>
    </row>
    <row r="334" spans="1:8" outlineLevel="1" x14ac:dyDescent="0.25">
      <c r="A334" s="254"/>
      <c r="B334" s="57" t="s">
        <v>63</v>
      </c>
      <c r="C334" s="114">
        <f>C8</f>
        <v>115.06526428740551</v>
      </c>
      <c r="D334" s="380"/>
    </row>
    <row r="335" spans="1:8" outlineLevel="1" x14ac:dyDescent="0.25">
      <c r="A335" s="254"/>
      <c r="B335" s="57" t="s">
        <v>61</v>
      </c>
      <c r="C335" s="114">
        <f>C334*(1+(C332+(2*C333)))</f>
        <v>128.18618419690324</v>
      </c>
      <c r="D335" s="380"/>
    </row>
    <row r="336" spans="1:8" outlineLevel="1" x14ac:dyDescent="0.25">
      <c r="A336" s="254"/>
      <c r="B336" s="142" t="s">
        <v>62</v>
      </c>
      <c r="C336" s="143">
        <f>C334*(1+(C332-(2*C333)))</f>
        <v>107.36881674694924</v>
      </c>
      <c r="D336" s="380"/>
    </row>
    <row r="337" spans="4:4" ht="14.65" customHeight="1" x14ac:dyDescent="0.25">
      <c r="D337" s="380"/>
    </row>
  </sheetData>
  <dataConsolidate/>
  <mergeCells count="123">
    <mergeCell ref="B320:C320"/>
    <mergeCell ref="B331:C331"/>
    <mergeCell ref="B288:C288"/>
    <mergeCell ref="B289:C289"/>
    <mergeCell ref="B290:C290"/>
    <mergeCell ref="B293:C293"/>
    <mergeCell ref="B296:C296"/>
    <mergeCell ref="B304:C304"/>
    <mergeCell ref="B278:C278"/>
    <mergeCell ref="B279:C279"/>
    <mergeCell ref="B280:C280"/>
    <mergeCell ref="B282:C282"/>
    <mergeCell ref="B286:C286"/>
    <mergeCell ref="B287:C287"/>
    <mergeCell ref="B265:C265"/>
    <mergeCell ref="B266:C266"/>
    <mergeCell ref="B267:C267"/>
    <mergeCell ref="B274:C274"/>
    <mergeCell ref="B275:C275"/>
    <mergeCell ref="B277:C277"/>
    <mergeCell ref="B256:C256"/>
    <mergeCell ref="B259:C259"/>
    <mergeCell ref="B260:C260"/>
    <mergeCell ref="B261:C261"/>
    <mergeCell ref="B263:C263"/>
    <mergeCell ref="B264:C264"/>
    <mergeCell ref="B234:C234"/>
    <mergeCell ref="B241:C241"/>
    <mergeCell ref="B243:C243"/>
    <mergeCell ref="B252:C252"/>
    <mergeCell ref="B253:C253"/>
    <mergeCell ref="B255:C255"/>
    <mergeCell ref="B228:C228"/>
    <mergeCell ref="B229:C229"/>
    <mergeCell ref="B230:C230"/>
    <mergeCell ref="B231:C231"/>
    <mergeCell ref="B232:C232"/>
    <mergeCell ref="B233:C233"/>
    <mergeCell ref="B219:C219"/>
    <mergeCell ref="B220:C220"/>
    <mergeCell ref="B222:C222"/>
    <mergeCell ref="B223:C223"/>
    <mergeCell ref="B225:C225"/>
    <mergeCell ref="B226:C226"/>
    <mergeCell ref="B203:C203"/>
    <mergeCell ref="B204:C204"/>
    <mergeCell ref="B215:C215"/>
    <mergeCell ref="B216:C216"/>
    <mergeCell ref="B217:C217"/>
    <mergeCell ref="B218:C218"/>
    <mergeCell ref="B187:C187"/>
    <mergeCell ref="B189:C189"/>
    <mergeCell ref="B191:C191"/>
    <mergeCell ref="B200:C200"/>
    <mergeCell ref="B201:C201"/>
    <mergeCell ref="B202:C202"/>
    <mergeCell ref="B171:C171"/>
    <mergeCell ref="B172:C172"/>
    <mergeCell ref="B174:C174"/>
    <mergeCell ref="B181:C181"/>
    <mergeCell ref="B184:C184"/>
    <mergeCell ref="B186:C186"/>
    <mergeCell ref="B162:C162"/>
    <mergeCell ref="B163:C163"/>
    <mergeCell ref="B164:C164"/>
    <mergeCell ref="B165:C165"/>
    <mergeCell ref="B166:C166"/>
    <mergeCell ref="B167:C167"/>
    <mergeCell ref="B153:C153"/>
    <mergeCell ref="B154:C154"/>
    <mergeCell ref="B155:C155"/>
    <mergeCell ref="B159:C159"/>
    <mergeCell ref="B160:C160"/>
    <mergeCell ref="B161:C161"/>
    <mergeCell ref="B136:C136"/>
    <mergeCell ref="B143:C143"/>
    <mergeCell ref="B149:C149"/>
    <mergeCell ref="B150:C150"/>
    <mergeCell ref="B151:C151"/>
    <mergeCell ref="B152:C152"/>
    <mergeCell ref="B104:C104"/>
    <mergeCell ref="B118:C118"/>
    <mergeCell ref="B119:C119"/>
    <mergeCell ref="B121:C121"/>
    <mergeCell ref="B133:C133"/>
    <mergeCell ref="B134:C134"/>
    <mergeCell ref="B94:C94"/>
    <mergeCell ref="B98:C98"/>
    <mergeCell ref="B99:C99"/>
    <mergeCell ref="B103:C103"/>
    <mergeCell ref="B59:C59"/>
    <mergeCell ref="B63:C63"/>
    <mergeCell ref="B64:C64"/>
    <mergeCell ref="B68:C68"/>
    <mergeCell ref="B69:C69"/>
    <mergeCell ref="B82:C82"/>
    <mergeCell ref="B56:C56"/>
    <mergeCell ref="B31:C31"/>
    <mergeCell ref="B32:C32"/>
    <mergeCell ref="B33:C33"/>
    <mergeCell ref="B38:C38"/>
    <mergeCell ref="B39:C39"/>
    <mergeCell ref="B40:C40"/>
    <mergeCell ref="B83:C83"/>
    <mergeCell ref="B91:C91"/>
    <mergeCell ref="B2:C2"/>
    <mergeCell ref="B3:C3"/>
    <mergeCell ref="B4:C4"/>
    <mergeCell ref="B5:C5"/>
    <mergeCell ref="B41:C41"/>
    <mergeCell ref="B45:C45"/>
    <mergeCell ref="B46:C46"/>
    <mergeCell ref="B47:C47"/>
    <mergeCell ref="B48:C48"/>
    <mergeCell ref="A11:A12"/>
    <mergeCell ref="B11:C11"/>
    <mergeCell ref="B12:C12"/>
    <mergeCell ref="B13:C13"/>
    <mergeCell ref="B14:C14"/>
    <mergeCell ref="B15:C15"/>
    <mergeCell ref="B16:C16"/>
    <mergeCell ref="B17:C17"/>
    <mergeCell ref="B24:C24"/>
  </mergeCells>
  <phoneticPr fontId="71" type="noConversion"/>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82"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A11E0-E4D5-4473-97D9-C605001D7A4C}">
  <dimension ref="A1"/>
  <sheetViews>
    <sheetView topLeftCell="A7" workbookViewId="0">
      <selection activeCell="O49" sqref="O49"/>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DAA91-D90D-4870-A565-C26616F346C2}">
  <sheetPr>
    <pageSetUpPr fitToPage="1"/>
  </sheetPr>
  <dimension ref="A1:BD378"/>
  <sheetViews>
    <sheetView showGridLines="0" topLeftCell="A3" zoomScale="70" zoomScaleNormal="70" workbookViewId="0">
      <pane xSplit="3" ySplit="10" topLeftCell="P13" activePane="bottomRight" state="frozen"/>
      <selection activeCell="A3" sqref="A3"/>
      <selection pane="topRight" activeCell="D3" sqref="D3"/>
      <selection pane="bottomLeft" activeCell="A13" sqref="A13"/>
      <selection pane="bottomRight" activeCell="W13" sqref="W13"/>
    </sheetView>
  </sheetViews>
  <sheetFormatPr defaultColWidth="8.85546875" defaultRowHeight="15" outlineLevelRow="1" outlineLevelCol="1" x14ac:dyDescent="0.25"/>
  <cols>
    <col min="1" max="1" width="3.140625" style="4" customWidth="1"/>
    <col min="2" max="2" width="39" style="4" customWidth="1"/>
    <col min="3" max="3" width="14.5703125" style="4" customWidth="1"/>
    <col min="4" max="5" width="11.5703125" style="3" customWidth="1" outlineLevel="1"/>
    <col min="6" max="7" width="11.5703125" style="11" customWidth="1" outlineLevel="1"/>
    <col min="8" max="8" width="11.5703125" style="11" customWidth="1"/>
    <col min="9" max="10" width="11.5703125" style="3" customWidth="1" outlineLevel="1"/>
    <col min="11" max="12" width="11.5703125" style="11" customWidth="1" outlineLevel="1"/>
    <col min="13" max="13" width="11.5703125" style="11" customWidth="1"/>
    <col min="14" max="15" width="11.5703125" style="3" customWidth="1" outlineLevel="1"/>
    <col min="16" max="17" width="11.5703125" style="11" customWidth="1" outlineLevel="1"/>
    <col min="18" max="18" width="11.5703125" style="11" customWidth="1"/>
    <col min="19" max="20" width="11.5703125" style="3" customWidth="1" outlineLevel="1"/>
    <col min="21" max="22" width="11.5703125" style="11" customWidth="1" outlineLevel="1"/>
    <col min="23" max="23" width="11.5703125" style="11" customWidth="1"/>
    <col min="24" max="25" width="11.5703125" style="3" customWidth="1" outlineLevel="1"/>
    <col min="26" max="27" width="11.5703125" style="11" customWidth="1" outlineLevel="1"/>
    <col min="28" max="28" width="11.5703125" style="11" customWidth="1"/>
    <col min="29" max="30" width="11.5703125" style="3" customWidth="1" outlineLevel="1"/>
    <col min="31" max="32" width="11.5703125" style="11" customWidth="1" outlineLevel="1"/>
    <col min="33" max="33" width="11.5703125" style="11" customWidth="1"/>
    <col min="34" max="35" width="11.5703125" style="3" customWidth="1" outlineLevel="1"/>
    <col min="36" max="37" width="11.5703125" style="11" customWidth="1" outlineLevel="1"/>
    <col min="38" max="38" width="11.5703125" style="11" customWidth="1"/>
    <col min="39" max="40" width="11.5703125" style="3" customWidth="1" outlineLevel="1"/>
    <col min="41" max="42" width="11.5703125" style="11" customWidth="1" outlineLevel="1"/>
    <col min="43" max="43" width="11.5703125" style="11" customWidth="1"/>
    <col min="44" max="16384" width="8.85546875" style="4"/>
  </cols>
  <sheetData>
    <row r="1" spans="1:56" ht="12.6" customHeight="1" x14ac:dyDescent="0.25">
      <c r="B1" s="253" t="s">
        <v>54</v>
      </c>
    </row>
    <row r="2" spans="1:56" ht="45" customHeight="1" x14ac:dyDescent="0.25">
      <c r="B2" s="577" t="s">
        <v>53</v>
      </c>
      <c r="C2" s="578"/>
      <c r="K2" s="388"/>
      <c r="L2" s="388"/>
      <c r="M2" s="388"/>
      <c r="N2" s="388"/>
      <c r="O2" s="388"/>
      <c r="P2" s="388"/>
      <c r="Q2" s="388"/>
      <c r="R2" s="388"/>
      <c r="S2" s="388"/>
      <c r="T2" s="388"/>
      <c r="U2" s="388"/>
      <c r="V2" s="388"/>
      <c r="W2" s="388"/>
      <c r="X2" s="388"/>
      <c r="Y2" s="388"/>
      <c r="Z2" s="388"/>
      <c r="AA2" s="388"/>
      <c r="AB2" s="388"/>
      <c r="AC2" s="388"/>
      <c r="AD2" s="388"/>
      <c r="AE2" s="388"/>
      <c r="AF2" s="388"/>
      <c r="AG2" s="388"/>
      <c r="AH2" s="388"/>
      <c r="AI2" s="388"/>
      <c r="AJ2" s="388"/>
      <c r="AK2" s="388"/>
      <c r="AL2" s="388"/>
      <c r="AM2" s="388"/>
      <c r="AN2" s="388"/>
      <c r="AO2" s="388"/>
      <c r="AP2" s="388"/>
      <c r="AQ2" s="388"/>
      <c r="AR2" s="388"/>
      <c r="AS2" s="388"/>
      <c r="AT2" s="388"/>
      <c r="AU2" s="388"/>
      <c r="AV2" s="388"/>
      <c r="AW2" s="388"/>
      <c r="AX2" s="388"/>
    </row>
    <row r="3" spans="1:56" x14ac:dyDescent="0.25">
      <c r="B3" s="579" t="s">
        <v>350</v>
      </c>
      <c r="C3" s="580"/>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row>
    <row r="4" spans="1:56" x14ac:dyDescent="0.25">
      <c r="B4" s="581" t="s">
        <v>351</v>
      </c>
      <c r="C4" s="582"/>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BD4" s="253" t="s">
        <v>54</v>
      </c>
    </row>
    <row r="5" spans="1:56" x14ac:dyDescent="0.25">
      <c r="B5" s="583" t="s">
        <v>370</v>
      </c>
      <c r="C5" s="584"/>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row>
    <row r="6" spans="1:56" ht="14.65" hidden="1" customHeight="1" x14ac:dyDescent="0.25">
      <c r="B6" s="111" t="s">
        <v>48</v>
      </c>
      <c r="C6" s="112">
        <f>C302</f>
        <v>7.8214126101864574</v>
      </c>
      <c r="D6" s="12"/>
      <c r="E6" s="118"/>
      <c r="F6" s="117"/>
      <c r="G6" s="12"/>
      <c r="H6" s="118"/>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row>
    <row r="7" spans="1:56" ht="14.65" hidden="1" customHeight="1" x14ac:dyDescent="0.25">
      <c r="B7" s="541" t="s">
        <v>49</v>
      </c>
      <c r="C7" s="105">
        <f>C329</f>
        <v>-0.66037388243757178</v>
      </c>
      <c r="D7" s="46"/>
      <c r="E7" s="118"/>
      <c r="F7" s="117"/>
      <c r="G7" s="46"/>
      <c r="H7" s="118"/>
      <c r="I7" s="46"/>
      <c r="J7" s="46"/>
      <c r="K7" s="46"/>
      <c r="L7" s="46"/>
      <c r="M7" s="46"/>
      <c r="N7" s="46"/>
      <c r="O7" s="46"/>
      <c r="P7" s="46"/>
      <c r="Q7" s="46"/>
      <c r="R7" s="46"/>
      <c r="S7" s="46"/>
      <c r="T7" s="46"/>
      <c r="U7" s="46"/>
      <c r="V7" s="46"/>
      <c r="W7" s="46"/>
      <c r="X7" s="46"/>
      <c r="Y7" s="46"/>
      <c r="Z7" s="46"/>
      <c r="AA7" s="46"/>
      <c r="AB7" s="53"/>
      <c r="AC7" s="46"/>
      <c r="AD7" s="46"/>
      <c r="AE7" s="46"/>
      <c r="AF7" s="46"/>
      <c r="AG7" s="53"/>
      <c r="AH7" s="46"/>
      <c r="AI7" s="46"/>
      <c r="AJ7" s="46"/>
      <c r="AK7" s="46"/>
      <c r="AL7" s="53"/>
      <c r="AM7" s="46"/>
      <c r="AN7" s="46"/>
      <c r="AO7" s="46"/>
      <c r="AP7" s="46"/>
      <c r="AQ7" s="53"/>
    </row>
    <row r="8" spans="1:56" ht="14.65" hidden="1" customHeight="1" x14ac:dyDescent="0.25">
      <c r="B8" s="541" t="s">
        <v>64</v>
      </c>
      <c r="C8" s="109">
        <f>(0.5*C6)+(0.5*C7)</f>
        <v>3.5805193638744428</v>
      </c>
      <c r="D8" s="34"/>
      <c r="E8" s="118"/>
      <c r="F8" s="136"/>
      <c r="G8" s="136"/>
      <c r="H8" s="34"/>
      <c r="I8" s="136"/>
      <c r="J8" s="136"/>
      <c r="K8" s="53"/>
      <c r="L8" s="34"/>
      <c r="M8" s="34"/>
      <c r="N8" s="34"/>
      <c r="O8" s="34"/>
      <c r="P8" s="34"/>
      <c r="Q8" s="527"/>
      <c r="R8" s="485"/>
      <c r="S8" s="498"/>
      <c r="T8" s="486"/>
      <c r="U8" s="486"/>
      <c r="V8" s="485"/>
      <c r="W8" s="486"/>
      <c r="X8" s="486"/>
      <c r="Y8" s="34"/>
      <c r="Z8" s="34"/>
      <c r="AA8" s="34"/>
      <c r="AB8" s="108"/>
      <c r="AC8" s="34"/>
      <c r="AD8" s="34"/>
      <c r="AE8" s="34"/>
      <c r="AF8" s="34"/>
      <c r="AG8" s="108"/>
      <c r="AH8" s="34"/>
      <c r="AI8" s="34"/>
      <c r="AJ8" s="34"/>
      <c r="AK8" s="34"/>
      <c r="AL8" s="108"/>
      <c r="AM8" s="34"/>
      <c r="AN8" s="34"/>
      <c r="AO8" s="34"/>
      <c r="AP8" s="34"/>
      <c r="AQ8" s="108"/>
    </row>
    <row r="9" spans="1:56" ht="14.65" hidden="1" customHeight="1" x14ac:dyDescent="0.25">
      <c r="B9" s="383" t="s">
        <v>65</v>
      </c>
      <c r="C9" s="110" t="str">
        <f>TEXT(C336,"$0")&amp;" to "&amp;TEXT(C335,"$0")</f>
        <v>$3 to $4</v>
      </c>
      <c r="D9" s="165"/>
      <c r="E9" s="276"/>
      <c r="F9" s="137"/>
      <c r="G9" s="137"/>
      <c r="H9" s="46"/>
      <c r="I9" s="137"/>
      <c r="J9" s="137"/>
      <c r="K9" s="46"/>
      <c r="L9" s="137"/>
      <c r="M9" s="53"/>
      <c r="N9" s="53"/>
      <c r="O9" s="53"/>
      <c r="P9" s="53"/>
      <c r="Q9" s="487"/>
      <c r="R9" s="528"/>
      <c r="S9" s="527"/>
      <c r="T9" s="527"/>
      <c r="U9" s="527"/>
      <c r="V9" s="485"/>
      <c r="W9" s="484"/>
      <c r="X9" s="484"/>
      <c r="Y9" s="53"/>
      <c r="Z9" s="53"/>
      <c r="AA9" s="53"/>
      <c r="AB9" s="277"/>
      <c r="AC9" s="53"/>
      <c r="AD9" s="53"/>
      <c r="AE9" s="53"/>
      <c r="AF9" s="53"/>
      <c r="AG9" s="277"/>
      <c r="AH9" s="53"/>
      <c r="AI9" s="53"/>
      <c r="AJ9" s="53"/>
      <c r="AK9" s="53"/>
      <c r="AL9" s="277"/>
      <c r="AM9" s="53"/>
      <c r="AN9" s="53"/>
      <c r="AO9" s="53"/>
      <c r="AP9" s="53"/>
      <c r="AQ9" s="277"/>
    </row>
    <row r="10" spans="1:56" ht="10.5" customHeight="1" x14ac:dyDescent="0.25">
      <c r="B10" s="253" t="s">
        <v>54</v>
      </c>
      <c r="D10" s="151"/>
      <c r="E10" s="355"/>
      <c r="F10" s="355"/>
      <c r="G10" s="355"/>
      <c r="H10" s="355"/>
      <c r="I10" s="355"/>
      <c r="J10" s="373"/>
      <c r="K10" s="373"/>
      <c r="L10" s="373"/>
      <c r="M10" s="373"/>
      <c r="N10" s="483"/>
      <c r="O10" s="483"/>
      <c r="P10" s="483"/>
      <c r="Q10" s="483"/>
      <c r="R10" s="483"/>
      <c r="S10" s="483"/>
      <c r="T10" s="483"/>
      <c r="U10" s="483"/>
      <c r="V10" s="483"/>
      <c r="W10" s="483"/>
      <c r="X10" s="355"/>
      <c r="Y10" s="355"/>
      <c r="Z10" s="355"/>
      <c r="AA10" s="355"/>
      <c r="AB10" s="355"/>
      <c r="AC10" s="355"/>
      <c r="AD10" s="355"/>
      <c r="AE10" s="355"/>
      <c r="AF10" s="355"/>
      <c r="AG10" s="355"/>
      <c r="AH10" s="355"/>
      <c r="AI10" s="355"/>
      <c r="AJ10" s="355"/>
      <c r="AK10" s="355"/>
      <c r="AL10" s="355"/>
      <c r="AM10" s="355"/>
      <c r="AN10" s="355"/>
      <c r="AO10" s="355"/>
      <c r="AP10" s="355"/>
      <c r="AQ10" s="355"/>
    </row>
    <row r="11" spans="1:56" ht="15.75" x14ac:dyDescent="0.25">
      <c r="A11" s="564"/>
      <c r="B11" s="565" t="s">
        <v>116</v>
      </c>
      <c r="C11" s="566"/>
      <c r="D11" s="31" t="s">
        <v>106</v>
      </c>
      <c r="E11" s="31" t="s">
        <v>244</v>
      </c>
      <c r="F11" s="31" t="s">
        <v>246</v>
      </c>
      <c r="G11" s="31" t="s">
        <v>337</v>
      </c>
      <c r="H11" s="85" t="s">
        <v>337</v>
      </c>
      <c r="I11" s="31" t="s">
        <v>336</v>
      </c>
      <c r="J11" s="31" t="s">
        <v>335</v>
      </c>
      <c r="K11" s="31" t="s">
        <v>334</v>
      </c>
      <c r="L11" s="31" t="s">
        <v>321</v>
      </c>
      <c r="M11" s="85" t="s">
        <v>321</v>
      </c>
      <c r="N11" s="31" t="s">
        <v>338</v>
      </c>
      <c r="O11" s="31" t="s">
        <v>346</v>
      </c>
      <c r="P11" s="31" t="s">
        <v>348</v>
      </c>
      <c r="Q11" s="33" t="s">
        <v>120</v>
      </c>
      <c r="R11" s="88" t="s">
        <v>120</v>
      </c>
      <c r="S11" s="33" t="s">
        <v>121</v>
      </c>
      <c r="T11" s="33" t="s">
        <v>122</v>
      </c>
      <c r="U11" s="33" t="s">
        <v>123</v>
      </c>
      <c r="V11" s="33" t="s">
        <v>124</v>
      </c>
      <c r="W11" s="88" t="s">
        <v>124</v>
      </c>
      <c r="X11" s="33" t="s">
        <v>125</v>
      </c>
      <c r="Y11" s="33" t="s">
        <v>126</v>
      </c>
      <c r="Z11" s="33" t="s">
        <v>127</v>
      </c>
      <c r="AA11" s="33" t="s">
        <v>128</v>
      </c>
      <c r="AB11" s="88" t="s">
        <v>128</v>
      </c>
      <c r="AC11" s="33" t="s">
        <v>248</v>
      </c>
      <c r="AD11" s="33" t="s">
        <v>249</v>
      </c>
      <c r="AE11" s="33" t="s">
        <v>250</v>
      </c>
      <c r="AF11" s="33" t="s">
        <v>251</v>
      </c>
      <c r="AG11" s="88" t="s">
        <v>251</v>
      </c>
      <c r="AH11" s="33" t="s">
        <v>281</v>
      </c>
      <c r="AI11" s="33" t="s">
        <v>282</v>
      </c>
      <c r="AJ11" s="33" t="s">
        <v>283</v>
      </c>
      <c r="AK11" s="33" t="s">
        <v>284</v>
      </c>
      <c r="AL11" s="88" t="s">
        <v>284</v>
      </c>
      <c r="AM11" s="33" t="s">
        <v>352</v>
      </c>
      <c r="AN11" s="33" t="s">
        <v>353</v>
      </c>
      <c r="AO11" s="33" t="s">
        <v>354</v>
      </c>
      <c r="AP11" s="33" t="s">
        <v>355</v>
      </c>
      <c r="AQ11" s="88" t="s">
        <v>355</v>
      </c>
    </row>
    <row r="12" spans="1:56" ht="17.649999999999999" customHeight="1" x14ac:dyDescent="0.4">
      <c r="A12" s="564"/>
      <c r="B12" s="567" t="s">
        <v>3</v>
      </c>
      <c r="C12" s="568"/>
      <c r="D12" s="32" t="s">
        <v>119</v>
      </c>
      <c r="E12" s="32" t="s">
        <v>243</v>
      </c>
      <c r="F12" s="32" t="s">
        <v>247</v>
      </c>
      <c r="G12" s="32" t="s">
        <v>257</v>
      </c>
      <c r="H12" s="86" t="s">
        <v>258</v>
      </c>
      <c r="I12" s="32" t="s">
        <v>259</v>
      </c>
      <c r="J12" s="32" t="s">
        <v>260</v>
      </c>
      <c r="K12" s="32" t="s">
        <v>261</v>
      </c>
      <c r="L12" s="32" t="s">
        <v>322</v>
      </c>
      <c r="M12" s="86" t="s">
        <v>333</v>
      </c>
      <c r="N12" s="32" t="s">
        <v>339</v>
      </c>
      <c r="O12" s="32" t="s">
        <v>347</v>
      </c>
      <c r="P12" s="32" t="s">
        <v>349</v>
      </c>
      <c r="Q12" s="30" t="s">
        <v>129</v>
      </c>
      <c r="R12" s="89" t="s">
        <v>130</v>
      </c>
      <c r="S12" s="30" t="s">
        <v>131</v>
      </c>
      <c r="T12" s="30" t="s">
        <v>132</v>
      </c>
      <c r="U12" s="30" t="s">
        <v>133</v>
      </c>
      <c r="V12" s="30" t="s">
        <v>134</v>
      </c>
      <c r="W12" s="89" t="s">
        <v>135</v>
      </c>
      <c r="X12" s="30" t="s">
        <v>136</v>
      </c>
      <c r="Y12" s="30" t="s">
        <v>137</v>
      </c>
      <c r="Z12" s="30" t="s">
        <v>138</v>
      </c>
      <c r="AA12" s="30" t="s">
        <v>139</v>
      </c>
      <c r="AB12" s="89" t="s">
        <v>140</v>
      </c>
      <c r="AC12" s="30" t="s">
        <v>252</v>
      </c>
      <c r="AD12" s="30" t="s">
        <v>253</v>
      </c>
      <c r="AE12" s="30" t="s">
        <v>254</v>
      </c>
      <c r="AF12" s="30" t="s">
        <v>255</v>
      </c>
      <c r="AG12" s="89" t="s">
        <v>256</v>
      </c>
      <c r="AH12" s="30" t="s">
        <v>285</v>
      </c>
      <c r="AI12" s="30" t="s">
        <v>286</v>
      </c>
      <c r="AJ12" s="30" t="s">
        <v>287</v>
      </c>
      <c r="AK12" s="30" t="s">
        <v>288</v>
      </c>
      <c r="AL12" s="89" t="s">
        <v>289</v>
      </c>
      <c r="AM12" s="30" t="s">
        <v>356</v>
      </c>
      <c r="AN12" s="30" t="s">
        <v>357</v>
      </c>
      <c r="AO12" s="30" t="s">
        <v>358</v>
      </c>
      <c r="AP12" s="30" t="s">
        <v>359</v>
      </c>
      <c r="AQ12" s="89" t="s">
        <v>360</v>
      </c>
    </row>
    <row r="13" spans="1:56" outlineLevel="1" x14ac:dyDescent="0.25">
      <c r="A13" s="254"/>
      <c r="B13" s="569" t="s">
        <v>263</v>
      </c>
      <c r="C13" s="570"/>
      <c r="D13" s="261">
        <v>5370.3</v>
      </c>
      <c r="E13" s="261">
        <v>5159</v>
      </c>
      <c r="F13" s="261">
        <v>5535</v>
      </c>
      <c r="G13" s="261">
        <f>H13-F13-E13-D13</f>
        <v>5480.1000000000013</v>
      </c>
      <c r="H13" s="450">
        <v>21544.400000000001</v>
      </c>
      <c r="I13" s="261">
        <v>5780.7</v>
      </c>
      <c r="J13" s="261">
        <v>4766</v>
      </c>
      <c r="K13" s="261">
        <v>3444.4</v>
      </c>
      <c r="L13" s="261">
        <v>5173.6000000000004</v>
      </c>
      <c r="M13" s="170">
        <f>SUM(I13:L13)</f>
        <v>19164.7</v>
      </c>
      <c r="N13" s="169">
        <v>5726.5</v>
      </c>
      <c r="O13" s="169">
        <v>5653.1</v>
      </c>
      <c r="P13" s="169">
        <v>6363.1</v>
      </c>
      <c r="Q13" s="169">
        <f>'Earnings Model (adjusted)'!Q13-'Earnings Model'!Q13</f>
        <v>0</v>
      </c>
      <c r="R13" s="169">
        <f>'Earnings Model (adjusted)'!R13-'Earnings Model'!R13</f>
        <v>0</v>
      </c>
      <c r="S13" s="169">
        <f>'Earnings Model (adjusted)'!S13-'Earnings Model'!S13</f>
        <v>83.578139499646568</v>
      </c>
      <c r="T13" s="169">
        <f>'Earnings Model (adjusted)'!T13-'Earnings Model'!T13</f>
        <v>81.263869747738681</v>
      </c>
      <c r="U13" s="169">
        <f>'Earnings Model (adjusted)'!U13-'Earnings Model'!U13</f>
        <v>47.246621336180397</v>
      </c>
      <c r="V13" s="169">
        <f>'Earnings Model (adjusted)'!V13-'Earnings Model'!V13</f>
        <v>47.099033970885102</v>
      </c>
      <c r="W13" s="169">
        <f>'Earnings Model (adjusted)'!W13-'Earnings Model'!W13</f>
        <v>259.18766455444711</v>
      </c>
      <c r="X13" s="169">
        <f>'Earnings Model (adjusted)'!X13-'Earnings Model'!X13</f>
        <v>110.71051888422335</v>
      </c>
      <c r="Y13" s="169">
        <f>'Earnings Model (adjusted)'!Y13-'Earnings Model'!Y13</f>
        <v>110.49795356779032</v>
      </c>
      <c r="Z13" s="169">
        <f>'Earnings Model (adjusted)'!Z13-'Earnings Model'!Z13</f>
        <v>50.58519341133524</v>
      </c>
      <c r="AA13" s="169">
        <f>'Earnings Model (adjusted)'!AA13-'Earnings Model'!AA13</f>
        <v>50.164136268691436</v>
      </c>
      <c r="AB13" s="169">
        <f>'Earnings Model (adjusted)'!AB13-'Earnings Model'!AB13</f>
        <v>321.95780213204125</v>
      </c>
      <c r="AC13" s="169">
        <f>'Earnings Model (adjusted)'!AC13-'Earnings Model'!AC13</f>
        <v>144.31023593562986</v>
      </c>
      <c r="AD13" s="169">
        <f>'Earnings Model (adjusted)'!AD13-'Earnings Model'!AD13</f>
        <v>144.35618217214687</v>
      </c>
      <c r="AE13" s="169">
        <f>'Earnings Model (adjusted)'!AE13-'Earnings Model'!AE13</f>
        <v>54.437908316111134</v>
      </c>
      <c r="AF13" s="169">
        <f>'Earnings Model (adjusted)'!AF13-'Earnings Model'!AF13</f>
        <v>25.828541249098635</v>
      </c>
      <c r="AG13" s="169">
        <f>'Earnings Model (adjusted)'!AG13-'Earnings Model'!AG13</f>
        <v>368.93286767298559</v>
      </c>
      <c r="AH13" s="169">
        <f>'Earnings Model (adjusted)'!AH13-'Earnings Model'!AH13</f>
        <v>182.17573480253304</v>
      </c>
      <c r="AI13" s="169">
        <f>'Earnings Model (adjusted)'!AI13-'Earnings Model'!AI13</f>
        <v>182.20923138744729</v>
      </c>
      <c r="AJ13" s="169">
        <f>'Earnings Model (adjusted)'!AJ13-'Earnings Model'!AJ13</f>
        <v>58.276900889050012</v>
      </c>
      <c r="AK13" s="169">
        <f>'Earnings Model (adjusted)'!AK13-'Earnings Model'!AK13</f>
        <v>27.644243424852903</v>
      </c>
      <c r="AL13" s="169">
        <f>'Earnings Model (adjusted)'!AL13-'Earnings Model'!AL13</f>
        <v>450.30611050387961</v>
      </c>
      <c r="AM13" s="169">
        <f>'Earnings Model (adjusted)'!AM13-'Earnings Model'!AM13</f>
        <v>194.94246668400956</v>
      </c>
      <c r="AN13" s="169">
        <f>'Earnings Model (adjusted)'!AN13-'Earnings Model'!AN13</f>
        <v>194.9389664538503</v>
      </c>
      <c r="AO13" s="169">
        <f>'Earnings Model (adjusted)'!AO13-'Earnings Model'!AO13</f>
        <v>62.335912214515702</v>
      </c>
      <c r="AP13" s="169">
        <f>'Earnings Model (adjusted)'!AP13-'Earnings Model'!AP13</f>
        <v>29.563876108672048</v>
      </c>
      <c r="AQ13" s="169">
        <f>'Earnings Model (adjusted)'!AQ13-'Earnings Model'!AQ13</f>
        <v>481.78122146104579</v>
      </c>
    </row>
    <row r="14" spans="1:56" outlineLevel="1" x14ac:dyDescent="0.25">
      <c r="A14" s="254"/>
      <c r="B14" s="569" t="s">
        <v>264</v>
      </c>
      <c r="C14" s="570"/>
      <c r="D14" s="261">
        <v>737.1</v>
      </c>
      <c r="E14" s="261">
        <v>678.2</v>
      </c>
      <c r="F14" s="261">
        <v>725</v>
      </c>
      <c r="G14" s="261">
        <f t="shared" ref="G14:G24" si="0">H14-F14-E14-D14</f>
        <v>734.69999999999993</v>
      </c>
      <c r="H14" s="450">
        <v>2875</v>
      </c>
      <c r="I14" s="261">
        <v>792</v>
      </c>
      <c r="J14" s="261">
        <v>689.8</v>
      </c>
      <c r="K14" s="261">
        <v>300.5</v>
      </c>
      <c r="L14" s="169">
        <v>544.6</v>
      </c>
      <c r="M14" s="170">
        <f t="shared" ref="M14:M15" si="1">SUM(I14:L14)</f>
        <v>2326.9</v>
      </c>
      <c r="N14" s="169">
        <v>613.79999999999995</v>
      </c>
      <c r="O14" s="169">
        <v>595</v>
      </c>
      <c r="P14" s="169">
        <v>680.2</v>
      </c>
      <c r="Q14" s="169">
        <f>'Earnings Model (adjusted)'!Q14-'Earnings Model'!Q14</f>
        <v>0</v>
      </c>
      <c r="R14" s="169">
        <f>'Earnings Model (adjusted)'!R14-'Earnings Model'!R14</f>
        <v>0</v>
      </c>
      <c r="S14" s="169">
        <f>'Earnings Model (adjusted)'!S14-'Earnings Model'!S14</f>
        <v>0</v>
      </c>
      <c r="T14" s="169">
        <f>'Earnings Model (adjusted)'!T14-'Earnings Model'!T14</f>
        <v>0</v>
      </c>
      <c r="U14" s="169">
        <f>'Earnings Model (adjusted)'!U14-'Earnings Model'!U14</f>
        <v>0</v>
      </c>
      <c r="V14" s="169">
        <f>'Earnings Model (adjusted)'!V14-'Earnings Model'!V14</f>
        <v>0</v>
      </c>
      <c r="W14" s="169">
        <f>'Earnings Model (adjusted)'!W14-'Earnings Model'!W14</f>
        <v>0</v>
      </c>
      <c r="X14" s="169">
        <f>'Earnings Model (adjusted)'!X14-'Earnings Model'!X14</f>
        <v>0</v>
      </c>
      <c r="Y14" s="169">
        <f>'Earnings Model (adjusted)'!Y14-'Earnings Model'!Y14</f>
        <v>0</v>
      </c>
      <c r="Z14" s="169">
        <f>'Earnings Model (adjusted)'!Z14-'Earnings Model'!Z14</f>
        <v>0</v>
      </c>
      <c r="AA14" s="169">
        <f>'Earnings Model (adjusted)'!AA14-'Earnings Model'!AA14</f>
        <v>0</v>
      </c>
      <c r="AB14" s="169">
        <f>'Earnings Model (adjusted)'!AB14-'Earnings Model'!AB14</f>
        <v>0</v>
      </c>
      <c r="AC14" s="169">
        <f>'Earnings Model (adjusted)'!AC14-'Earnings Model'!AC14</f>
        <v>0</v>
      </c>
      <c r="AD14" s="169">
        <f>'Earnings Model (adjusted)'!AD14-'Earnings Model'!AD14</f>
        <v>0</v>
      </c>
      <c r="AE14" s="169">
        <f>'Earnings Model (adjusted)'!AE14-'Earnings Model'!AE14</f>
        <v>0</v>
      </c>
      <c r="AF14" s="169">
        <f>'Earnings Model (adjusted)'!AF14-'Earnings Model'!AF14</f>
        <v>0</v>
      </c>
      <c r="AG14" s="169">
        <f>'Earnings Model (adjusted)'!AG14-'Earnings Model'!AG14</f>
        <v>0</v>
      </c>
      <c r="AH14" s="169">
        <f>'Earnings Model (adjusted)'!AH14-'Earnings Model'!AH14</f>
        <v>0</v>
      </c>
      <c r="AI14" s="169">
        <f>'Earnings Model (adjusted)'!AI14-'Earnings Model'!AI14</f>
        <v>0</v>
      </c>
      <c r="AJ14" s="169">
        <f>'Earnings Model (adjusted)'!AJ14-'Earnings Model'!AJ14</f>
        <v>0</v>
      </c>
      <c r="AK14" s="169">
        <f>'Earnings Model (adjusted)'!AK14-'Earnings Model'!AK14</f>
        <v>0</v>
      </c>
      <c r="AL14" s="169">
        <f>'Earnings Model (adjusted)'!AL14-'Earnings Model'!AL14</f>
        <v>0</v>
      </c>
      <c r="AM14" s="169">
        <f>'Earnings Model (adjusted)'!AM14-'Earnings Model'!AM14</f>
        <v>0</v>
      </c>
      <c r="AN14" s="169">
        <f>'Earnings Model (adjusted)'!AN14-'Earnings Model'!AN14</f>
        <v>0</v>
      </c>
      <c r="AO14" s="169">
        <f>'Earnings Model (adjusted)'!AO14-'Earnings Model'!AO14</f>
        <v>0</v>
      </c>
      <c r="AP14" s="169">
        <f>'Earnings Model (adjusted)'!AP14-'Earnings Model'!AP14</f>
        <v>0</v>
      </c>
      <c r="AQ14" s="169">
        <f>'Earnings Model (adjusted)'!AQ14-'Earnings Model'!AQ14</f>
        <v>0</v>
      </c>
    </row>
    <row r="15" spans="1:56" ht="17.25" outlineLevel="1" x14ac:dyDescent="0.4">
      <c r="A15" s="254"/>
      <c r="B15" s="569" t="s">
        <v>265</v>
      </c>
      <c r="C15" s="570"/>
      <c r="D15" s="260">
        <v>525.29999999999995</v>
      </c>
      <c r="E15" s="260">
        <v>468.7</v>
      </c>
      <c r="F15" s="260">
        <v>563</v>
      </c>
      <c r="G15" s="260">
        <f t="shared" si="0"/>
        <v>532.19999999999982</v>
      </c>
      <c r="H15" s="453">
        <v>2089.1999999999998</v>
      </c>
      <c r="I15" s="260">
        <v>524.4</v>
      </c>
      <c r="J15" s="260">
        <v>539.9</v>
      </c>
      <c r="K15" s="260">
        <v>477.2</v>
      </c>
      <c r="L15" s="173">
        <v>484.9</v>
      </c>
      <c r="M15" s="174">
        <f t="shared" si="1"/>
        <v>2026.4</v>
      </c>
      <c r="N15" s="173">
        <v>409.1</v>
      </c>
      <c r="O15" s="173">
        <v>419.9</v>
      </c>
      <c r="P15" s="173">
        <v>453.2</v>
      </c>
      <c r="Q15" s="169">
        <f>'Earnings Model (adjusted)'!Q15-'Earnings Model'!Q15</f>
        <v>0</v>
      </c>
      <c r="R15" s="169">
        <f>'Earnings Model (adjusted)'!R15-'Earnings Model'!R15</f>
        <v>0</v>
      </c>
      <c r="S15" s="169">
        <f>'Earnings Model (adjusted)'!S15-'Earnings Model'!S15</f>
        <v>0</v>
      </c>
      <c r="T15" s="169">
        <f>'Earnings Model (adjusted)'!T15-'Earnings Model'!T15</f>
        <v>0</v>
      </c>
      <c r="U15" s="169">
        <f>'Earnings Model (adjusted)'!U15-'Earnings Model'!U15</f>
        <v>0</v>
      </c>
      <c r="V15" s="169">
        <f>'Earnings Model (adjusted)'!V15-'Earnings Model'!V15</f>
        <v>0</v>
      </c>
      <c r="W15" s="169">
        <f>'Earnings Model (adjusted)'!W15-'Earnings Model'!W15</f>
        <v>0</v>
      </c>
      <c r="X15" s="169">
        <f>'Earnings Model (adjusted)'!X15-'Earnings Model'!X15</f>
        <v>0</v>
      </c>
      <c r="Y15" s="169">
        <f>'Earnings Model (adjusted)'!Y15-'Earnings Model'!Y15</f>
        <v>0</v>
      </c>
      <c r="Z15" s="169">
        <f>'Earnings Model (adjusted)'!Z15-'Earnings Model'!Z15</f>
        <v>0</v>
      </c>
      <c r="AA15" s="169">
        <f>'Earnings Model (adjusted)'!AA15-'Earnings Model'!AA15</f>
        <v>0</v>
      </c>
      <c r="AB15" s="169">
        <f>'Earnings Model (adjusted)'!AB15-'Earnings Model'!AB15</f>
        <v>0</v>
      </c>
      <c r="AC15" s="169">
        <f>'Earnings Model (adjusted)'!AC15-'Earnings Model'!AC15</f>
        <v>0</v>
      </c>
      <c r="AD15" s="169">
        <f>'Earnings Model (adjusted)'!AD15-'Earnings Model'!AD15</f>
        <v>0</v>
      </c>
      <c r="AE15" s="169">
        <f>'Earnings Model (adjusted)'!AE15-'Earnings Model'!AE15</f>
        <v>0</v>
      </c>
      <c r="AF15" s="169">
        <f>'Earnings Model (adjusted)'!AF15-'Earnings Model'!AF15</f>
        <v>0</v>
      </c>
      <c r="AG15" s="169">
        <f>'Earnings Model (adjusted)'!AG15-'Earnings Model'!AG15</f>
        <v>0</v>
      </c>
      <c r="AH15" s="169">
        <f>'Earnings Model (adjusted)'!AH15-'Earnings Model'!AH15</f>
        <v>0</v>
      </c>
      <c r="AI15" s="169">
        <f>'Earnings Model (adjusted)'!AI15-'Earnings Model'!AI15</f>
        <v>0</v>
      </c>
      <c r="AJ15" s="169">
        <f>'Earnings Model (adjusted)'!AJ15-'Earnings Model'!AJ15</f>
        <v>0</v>
      </c>
      <c r="AK15" s="169">
        <f>'Earnings Model (adjusted)'!AK15-'Earnings Model'!AK15</f>
        <v>0</v>
      </c>
      <c r="AL15" s="169">
        <f>'Earnings Model (adjusted)'!AL15-'Earnings Model'!AL15</f>
        <v>0</v>
      </c>
      <c r="AM15" s="169">
        <f>'Earnings Model (adjusted)'!AM15-'Earnings Model'!AM15</f>
        <v>0</v>
      </c>
      <c r="AN15" s="169">
        <f>'Earnings Model (adjusted)'!AN15-'Earnings Model'!AN15</f>
        <v>0</v>
      </c>
      <c r="AO15" s="169">
        <f>'Earnings Model (adjusted)'!AO15-'Earnings Model'!AO15</f>
        <v>0</v>
      </c>
      <c r="AP15" s="169">
        <f>'Earnings Model (adjusted)'!AP15-'Earnings Model'!AP15</f>
        <v>0</v>
      </c>
      <c r="AQ15" s="169">
        <f>'Earnings Model (adjusted)'!AQ15-'Earnings Model'!AQ15</f>
        <v>0</v>
      </c>
    </row>
    <row r="16" spans="1:56" s="20" customFormat="1" x14ac:dyDescent="0.25">
      <c r="A16" s="269"/>
      <c r="B16" s="571" t="s">
        <v>266</v>
      </c>
      <c r="C16" s="572"/>
      <c r="D16" s="259">
        <f t="shared" ref="D16:P16" si="2">SUM(D13:D15)</f>
        <v>6632.7000000000007</v>
      </c>
      <c r="E16" s="259">
        <f t="shared" si="2"/>
        <v>6305.9</v>
      </c>
      <c r="F16" s="259">
        <f t="shared" si="2"/>
        <v>6823</v>
      </c>
      <c r="G16" s="259">
        <f t="shared" si="2"/>
        <v>6747.0000000000009</v>
      </c>
      <c r="H16" s="451">
        <f t="shared" si="2"/>
        <v>26508.600000000002</v>
      </c>
      <c r="I16" s="259">
        <f>SUM(I13:I15)</f>
        <v>7097.0999999999995</v>
      </c>
      <c r="J16" s="259">
        <f>SUM(J13:J15)</f>
        <v>5995.7</v>
      </c>
      <c r="K16" s="259">
        <f>SUM(K13:K15)</f>
        <v>4222.1000000000004</v>
      </c>
      <c r="L16" s="259">
        <f>SUM(L13:L15)</f>
        <v>6203.1</v>
      </c>
      <c r="M16" s="451">
        <f t="shared" si="2"/>
        <v>23518.000000000004</v>
      </c>
      <c r="N16" s="259">
        <f t="shared" si="2"/>
        <v>6749.4000000000005</v>
      </c>
      <c r="O16" s="259">
        <f t="shared" si="2"/>
        <v>6668</v>
      </c>
      <c r="P16" s="259">
        <f t="shared" si="2"/>
        <v>7496.5</v>
      </c>
      <c r="Q16" s="169">
        <f>'Earnings Model (adjusted)'!Q16-'Earnings Model'!Q16</f>
        <v>0</v>
      </c>
      <c r="R16" s="169">
        <f>'Earnings Model (adjusted)'!R16-'Earnings Model'!R16</f>
        <v>0</v>
      </c>
      <c r="S16" s="169">
        <f>'Earnings Model (adjusted)'!S16-'Earnings Model'!S16</f>
        <v>83.578139499646568</v>
      </c>
      <c r="T16" s="169">
        <f>'Earnings Model (adjusted)'!T16-'Earnings Model'!T16</f>
        <v>81.263869747738681</v>
      </c>
      <c r="U16" s="169">
        <f>'Earnings Model (adjusted)'!U16-'Earnings Model'!U16</f>
        <v>47.246621336180397</v>
      </c>
      <c r="V16" s="169">
        <f>'Earnings Model (adjusted)'!V16-'Earnings Model'!V16</f>
        <v>47.099033970884193</v>
      </c>
      <c r="W16" s="169">
        <f>'Earnings Model (adjusted)'!W16-'Earnings Model'!W16</f>
        <v>259.18766455444711</v>
      </c>
      <c r="X16" s="169">
        <f>'Earnings Model (adjusted)'!X16-'Earnings Model'!X16</f>
        <v>110.71051888422335</v>
      </c>
      <c r="Y16" s="169">
        <f>'Earnings Model (adjusted)'!Y16-'Earnings Model'!Y16</f>
        <v>110.49795356779032</v>
      </c>
      <c r="Z16" s="169">
        <f>'Earnings Model (adjusted)'!Z16-'Earnings Model'!Z16</f>
        <v>50.585193411336149</v>
      </c>
      <c r="AA16" s="169">
        <f>'Earnings Model (adjusted)'!AA16-'Earnings Model'!AA16</f>
        <v>50.164136268691436</v>
      </c>
      <c r="AB16" s="169">
        <f>'Earnings Model (adjusted)'!AB16-'Earnings Model'!AB16</f>
        <v>321.95780213204125</v>
      </c>
      <c r="AC16" s="169">
        <f>'Earnings Model (adjusted)'!AC16-'Earnings Model'!AC16</f>
        <v>144.31023593562895</v>
      </c>
      <c r="AD16" s="169">
        <f>'Earnings Model (adjusted)'!AD16-'Earnings Model'!AD16</f>
        <v>144.35618217214687</v>
      </c>
      <c r="AE16" s="169">
        <f>'Earnings Model (adjusted)'!AE16-'Earnings Model'!AE16</f>
        <v>54.437908316111134</v>
      </c>
      <c r="AF16" s="169">
        <f>'Earnings Model (adjusted)'!AF16-'Earnings Model'!AF16</f>
        <v>25.828541249098635</v>
      </c>
      <c r="AG16" s="169">
        <f>'Earnings Model (adjusted)'!AG16-'Earnings Model'!AG16</f>
        <v>368.93286767298559</v>
      </c>
      <c r="AH16" s="169">
        <f>'Earnings Model (adjusted)'!AH16-'Earnings Model'!AH16</f>
        <v>182.17573480253304</v>
      </c>
      <c r="AI16" s="169">
        <f>'Earnings Model (adjusted)'!AI16-'Earnings Model'!AI16</f>
        <v>182.20923138744729</v>
      </c>
      <c r="AJ16" s="169">
        <f>'Earnings Model (adjusted)'!AJ16-'Earnings Model'!AJ16</f>
        <v>58.276900889050012</v>
      </c>
      <c r="AK16" s="169">
        <f>'Earnings Model (adjusted)'!AK16-'Earnings Model'!AK16</f>
        <v>27.644243424852903</v>
      </c>
      <c r="AL16" s="169">
        <f>'Earnings Model (adjusted)'!AL16-'Earnings Model'!AL16</f>
        <v>450.30611050387961</v>
      </c>
      <c r="AM16" s="169">
        <f>'Earnings Model (adjusted)'!AM16-'Earnings Model'!AM16</f>
        <v>194.94246668400956</v>
      </c>
      <c r="AN16" s="169">
        <f>'Earnings Model (adjusted)'!AN16-'Earnings Model'!AN16</f>
        <v>194.9389664538503</v>
      </c>
      <c r="AO16" s="169">
        <f>'Earnings Model (adjusted)'!AO16-'Earnings Model'!AO16</f>
        <v>62.335912214515702</v>
      </c>
      <c r="AP16" s="169">
        <f>'Earnings Model (adjusted)'!AP16-'Earnings Model'!AP16</f>
        <v>29.563876108672048</v>
      </c>
      <c r="AQ16" s="169">
        <f>'Earnings Model (adjusted)'!AQ16-'Earnings Model'!AQ16</f>
        <v>481.78122146104579</v>
      </c>
    </row>
    <row r="17" spans="1:43" outlineLevel="1" x14ac:dyDescent="0.25">
      <c r="A17" s="254"/>
      <c r="B17" s="573" t="s">
        <v>262</v>
      </c>
      <c r="C17" s="574"/>
      <c r="D17" s="261">
        <v>2175.8000000000002</v>
      </c>
      <c r="E17" s="261">
        <v>2012</v>
      </c>
      <c r="F17" s="261">
        <v>2199.6</v>
      </c>
      <c r="G17" s="261">
        <f t="shared" si="0"/>
        <v>2139.4999999999991</v>
      </c>
      <c r="H17" s="450">
        <v>8526.9</v>
      </c>
      <c r="I17" s="261">
        <v>2236.4</v>
      </c>
      <c r="J17" s="261">
        <v>1997.7</v>
      </c>
      <c r="K17" s="261">
        <v>1484</v>
      </c>
      <c r="L17" s="261">
        <v>1976.8</v>
      </c>
      <c r="M17" s="450">
        <f>SUM(I17:L17)</f>
        <v>7694.9000000000005</v>
      </c>
      <c r="N17" s="261">
        <v>2049.1</v>
      </c>
      <c r="O17" s="261">
        <v>1992.4</v>
      </c>
      <c r="P17" s="261">
        <v>2206</v>
      </c>
      <c r="Q17" s="169">
        <f>'Earnings Model (adjusted)'!Q17-'Earnings Model'!Q17</f>
        <v>-18.289920774464917</v>
      </c>
      <c r="R17" s="169">
        <f>'Earnings Model (adjusted)'!R17-'Earnings Model'!R17</f>
        <v>-18.289920774464917</v>
      </c>
      <c r="S17" s="169">
        <f>'Earnings Model (adjusted)'!S17-'Earnings Model'!S17</f>
        <v>-20.83403846223564</v>
      </c>
      <c r="T17" s="169">
        <f>'Earnings Model (adjusted)'!T17-'Earnings Model'!T17</f>
        <v>-19.268678723406993</v>
      </c>
      <c r="U17" s="169">
        <f>'Earnings Model (adjusted)'!U17-'Earnings Model'!U17</f>
        <v>-34.904912439824329</v>
      </c>
      <c r="V17" s="169">
        <f>'Earnings Model (adjusted)'!V17-'Earnings Model'!V17</f>
        <v>-5.0993283797288314</v>
      </c>
      <c r="W17" s="169">
        <f>'Earnings Model (adjusted)'!W17-'Earnings Model'!W17</f>
        <v>-80.106958005197157</v>
      </c>
      <c r="X17" s="169">
        <f>'Earnings Model (adjusted)'!X17-'Earnings Model'!X17</f>
        <v>-3.2857228501529789</v>
      </c>
      <c r="Y17" s="169">
        <f>'Earnings Model (adjusted)'!Y17-'Earnings Model'!Y17</f>
        <v>-1.9480299878928236</v>
      </c>
      <c r="Z17" s="169">
        <f>'Earnings Model (adjusted)'!Z17-'Earnings Model'!Z17</f>
        <v>-23.175554067448047</v>
      </c>
      <c r="AA17" s="169">
        <f>'Earnings Model (adjusted)'!AA17-'Earnings Model'!AA17</f>
        <v>-23.186353701673397</v>
      </c>
      <c r="AB17" s="169">
        <f>'Earnings Model (adjusted)'!AB17-'Earnings Model'!AB17</f>
        <v>-51.595660607168611</v>
      </c>
      <c r="AC17" s="169">
        <f>'Earnings Model (adjusted)'!AC17-'Earnings Model'!AC17</f>
        <v>13.318959642798291</v>
      </c>
      <c r="AD17" s="169">
        <f>'Earnings Model (adjusted)'!AD17-'Earnings Model'!AD17</f>
        <v>14.948864486302227</v>
      </c>
      <c r="AE17" s="169">
        <f>'Earnings Model (adjusted)'!AE17-'Earnings Model'!AE17</f>
        <v>-13.906631725071747</v>
      </c>
      <c r="AF17" s="169">
        <f>'Earnings Model (adjusted)'!AF17-'Earnings Model'!AF17</f>
        <v>-21.73483489218188</v>
      </c>
      <c r="AG17" s="169">
        <f>'Earnings Model (adjusted)'!AG17-'Earnings Model'!AG17</f>
        <v>-7.373642488153564</v>
      </c>
      <c r="AH17" s="169">
        <f>'Earnings Model (adjusted)'!AH17-'Earnings Model'!AH17</f>
        <v>11.407911895514189</v>
      </c>
      <c r="AI17" s="169">
        <f>'Earnings Model (adjusted)'!AI17-'Earnings Model'!AI17</f>
        <v>13.49482841093959</v>
      </c>
      <c r="AJ17" s="169">
        <f>'Earnings Model (adjusted)'!AJ17-'Earnings Model'!AJ17</f>
        <v>-26.404841425903214</v>
      </c>
      <c r="AK17" s="169">
        <f>'Earnings Model (adjusted)'!AK17-'Earnings Model'!AK17</f>
        <v>-34.530709163766005</v>
      </c>
      <c r="AL17" s="169">
        <f>'Earnings Model (adjusted)'!AL17-'Earnings Model'!AL17</f>
        <v>-36.032810283217259</v>
      </c>
      <c r="AM17" s="169">
        <f>'Earnings Model (adjusted)'!AM17-'Earnings Model'!AM17</f>
        <v>16.721422546902431</v>
      </c>
      <c r="AN17" s="169">
        <f>'Earnings Model (adjusted)'!AN17-'Earnings Model'!AN17</f>
        <v>18.917842548564749</v>
      </c>
      <c r="AO17" s="169">
        <f>'Earnings Model (adjusted)'!AO17-'Earnings Model'!AO17</f>
        <v>-23.297347213057947</v>
      </c>
      <c r="AP17" s="169">
        <f>'Earnings Model (adjusted)'!AP17-'Earnings Model'!AP17</f>
        <v>-32.082347679771829</v>
      </c>
      <c r="AQ17" s="169">
        <f>'Earnings Model (adjusted)'!AQ17-'Earnings Model'!AQ17</f>
        <v>-19.740429797362594</v>
      </c>
    </row>
    <row r="18" spans="1:43" outlineLevel="1" x14ac:dyDescent="0.25">
      <c r="A18" s="254"/>
      <c r="B18" s="557" t="s">
        <v>141</v>
      </c>
      <c r="C18" s="323"/>
      <c r="D18" s="261">
        <v>2586.8000000000002</v>
      </c>
      <c r="E18" s="261">
        <v>2554.1</v>
      </c>
      <c r="F18" s="261">
        <v>2643.2</v>
      </c>
      <c r="G18" s="261">
        <f t="shared" si="0"/>
        <v>2709.5000000000009</v>
      </c>
      <c r="H18" s="450">
        <v>10493.6</v>
      </c>
      <c r="I18" s="261">
        <v>2821.5</v>
      </c>
      <c r="J18" s="261">
        <v>2721.4</v>
      </c>
      <c r="K18" s="261">
        <v>2537.8000000000002</v>
      </c>
      <c r="L18" s="169">
        <v>2683.4</v>
      </c>
      <c r="M18" s="170">
        <f t="shared" ref="M18:M21" si="3">SUM(I18:L18)</f>
        <v>10764.1</v>
      </c>
      <c r="N18" s="169">
        <v>2867.3</v>
      </c>
      <c r="O18" s="261">
        <v>2823.3</v>
      </c>
      <c r="P18" s="261">
        <v>2966.9</v>
      </c>
      <c r="Q18" s="169">
        <f>'Earnings Model (adjusted)'!Q18-'Earnings Model'!Q18</f>
        <v>-27.799990435258223</v>
      </c>
      <c r="R18" s="169">
        <f>'Earnings Model (adjusted)'!R18-'Earnings Model'!R18</f>
        <v>-27.799990435258223</v>
      </c>
      <c r="S18" s="169">
        <f>'Earnings Model (adjusted)'!S18-'Earnings Model'!S18</f>
        <v>-7.1004697649755144</v>
      </c>
      <c r="T18" s="169">
        <f>'Earnings Model (adjusted)'!T18-'Earnings Model'!T18</f>
        <v>-6.9384708823413348</v>
      </c>
      <c r="U18" s="169">
        <f>'Earnings Model (adjusted)'!U18-'Earnings Model'!U18</f>
        <v>-31.487837655154635</v>
      </c>
      <c r="V18" s="169">
        <f>'Earnings Model (adjusted)'!V18-'Earnings Model'!V18</f>
        <v>-29.509420382530152</v>
      </c>
      <c r="W18" s="169">
        <f>'Earnings Model (adjusted)'!W18-'Earnings Model'!W18</f>
        <v>-75.036198685002091</v>
      </c>
      <c r="X18" s="169">
        <f>'Earnings Model (adjusted)'!X18-'Earnings Model'!X18</f>
        <v>2.4284207553687338</v>
      </c>
      <c r="Y18" s="169">
        <f>'Earnings Model (adjusted)'!Y18-'Earnings Model'!Y18</f>
        <v>2.4199181427120493</v>
      </c>
      <c r="Z18" s="169">
        <f>'Earnings Model (adjusted)'!Z18-'Earnings Model'!Z18</f>
        <v>-33.86867184914172</v>
      </c>
      <c r="AA18" s="169">
        <f>'Earnings Model (adjusted)'!AA18-'Earnings Model'!AA18</f>
        <v>-32.098481761214316</v>
      </c>
      <c r="AB18" s="169">
        <f>'Earnings Model (adjusted)'!AB18-'Earnings Model'!AB18</f>
        <v>-61.118814712275707</v>
      </c>
      <c r="AC18" s="169">
        <f>'Earnings Model (adjusted)'!AC18-'Earnings Model'!AC18</f>
        <v>15.021790033982143</v>
      </c>
      <c r="AD18" s="169">
        <f>'Earnings Model (adjusted)'!AD18-'Earnings Model'!AD18</f>
        <v>15.027209519203552</v>
      </c>
      <c r="AE18" s="169">
        <f>'Earnings Model (adjusted)'!AE18-'Earnings Model'!AE18</f>
        <v>-36.29588223915016</v>
      </c>
      <c r="AF18" s="169">
        <f>'Earnings Model (adjusted)'!AF18-'Earnings Model'!AF18</f>
        <v>-47.90248350789534</v>
      </c>
      <c r="AG18" s="169">
        <f>'Earnings Model (adjusted)'!AG18-'Earnings Model'!AG18</f>
        <v>-54.14936619386026</v>
      </c>
      <c r="AH18" s="169">
        <f>'Earnings Model (adjusted)'!AH18-'Earnings Model'!AH18</f>
        <v>29.495616969887124</v>
      </c>
      <c r="AI18" s="169">
        <f>'Earnings Model (adjusted)'!AI18-'Earnings Model'!AI18</f>
        <v>29.501408057320077</v>
      </c>
      <c r="AJ18" s="169">
        <f>'Earnings Model (adjusted)'!AJ18-'Earnings Model'!AJ18</f>
        <v>-38.71444756010078</v>
      </c>
      <c r="AK18" s="169">
        <f>'Earnings Model (adjusted)'!AK18-'Earnings Model'!AK18</f>
        <v>-51.129349414648459</v>
      </c>
      <c r="AL18" s="169">
        <f>'Earnings Model (adjusted)'!AL18-'Earnings Model'!AL18</f>
        <v>-30.846771947541129</v>
      </c>
      <c r="AM18" s="169">
        <f>'Earnings Model (adjusted)'!AM18-'Earnings Model'!AM18</f>
        <v>31.702804978389395</v>
      </c>
      <c r="AN18" s="169">
        <f>'Earnings Model (adjusted)'!AN18-'Earnings Model'!AN18</f>
        <v>31.702199837927765</v>
      </c>
      <c r="AO18" s="169">
        <f>'Earnings Model (adjusted)'!AO18-'Earnings Model'!AO18</f>
        <v>-41.271624695145874</v>
      </c>
      <c r="AP18" s="169">
        <f>'Earnings Model (adjusted)'!AP18-'Earnings Model'!AP18</f>
        <v>-54.540920620328507</v>
      </c>
      <c r="AQ18" s="169">
        <f>'Earnings Model (adjusted)'!AQ18-'Earnings Model'!AQ18</f>
        <v>-32.40754049915995</v>
      </c>
    </row>
    <row r="19" spans="1:43" outlineLevel="1" x14ac:dyDescent="0.25">
      <c r="A19" s="254"/>
      <c r="B19" s="557" t="s">
        <v>142</v>
      </c>
      <c r="C19" s="323"/>
      <c r="D19" s="261">
        <v>97.6</v>
      </c>
      <c r="E19" s="261">
        <v>87.1</v>
      </c>
      <c r="F19" s="261">
        <v>94.4</v>
      </c>
      <c r="G19" s="261">
        <f t="shared" si="0"/>
        <v>91.900000000000034</v>
      </c>
      <c r="H19" s="450">
        <v>371</v>
      </c>
      <c r="I19" s="261">
        <v>101.8</v>
      </c>
      <c r="J19" s="261">
        <v>95</v>
      </c>
      <c r="K19" s="261">
        <v>133.6</v>
      </c>
      <c r="L19" s="169">
        <v>99.9</v>
      </c>
      <c r="M19" s="170">
        <f t="shared" si="3"/>
        <v>430.29999999999995</v>
      </c>
      <c r="N19" s="169">
        <v>91.8</v>
      </c>
      <c r="O19" s="261">
        <v>87.7</v>
      </c>
      <c r="P19" s="261">
        <v>71.400000000000006</v>
      </c>
      <c r="Q19" s="169">
        <f>'Earnings Model (adjusted)'!Q19-'Earnings Model'!Q19</f>
        <v>0</v>
      </c>
      <c r="R19" s="169">
        <f>'Earnings Model (adjusted)'!R19-'Earnings Model'!R19</f>
        <v>0</v>
      </c>
      <c r="S19" s="169">
        <f>'Earnings Model (adjusted)'!S19-'Earnings Model'!S19</f>
        <v>0.61441996521229214</v>
      </c>
      <c r="T19" s="169">
        <f>'Earnings Model (adjusted)'!T19-'Earnings Model'!T19</f>
        <v>0.59740674203011679</v>
      </c>
      <c r="U19" s="169">
        <f>'Earnings Model (adjusted)'!U19-'Earnings Model'!U19</f>
        <v>0.34733086440500927</v>
      </c>
      <c r="V19" s="169">
        <f>'Earnings Model (adjusted)'!V19-'Earnings Model'!V19</f>
        <v>0.34624588423682212</v>
      </c>
      <c r="W19" s="169">
        <f>'Earnings Model (adjusted)'!W19-'Earnings Model'!W19</f>
        <v>1.9054034558842545</v>
      </c>
      <c r="X19" s="169">
        <f>'Earnings Model (adjusted)'!X19-'Earnings Model'!X19</f>
        <v>0.81388211760524598</v>
      </c>
      <c r="Y19" s="169">
        <f>'Earnings Model (adjusted)'!Y19-'Earnings Model'!Y19</f>
        <v>0.81231945570453945</v>
      </c>
      <c r="Z19" s="169">
        <f>'Earnings Model (adjusted)'!Z19-'Earnings Model'!Z19</f>
        <v>0.37187418818029983</v>
      </c>
      <c r="AA19" s="169">
        <f>'Earnings Model (adjusted)'!AA19-'Earnings Model'!AA19</f>
        <v>0.36877881041183969</v>
      </c>
      <c r="AB19" s="169">
        <f>'Earnings Model (adjusted)'!AB19-'Earnings Model'!AB19</f>
        <v>2.3668545719019676</v>
      </c>
      <c r="AC19" s="169">
        <f>'Earnings Model (adjusted)'!AC19-'Earnings Model'!AC19</f>
        <v>1.0608885370524774</v>
      </c>
      <c r="AD19" s="169">
        <f>'Earnings Model (adjusted)'!AD19-'Earnings Model'!AD19</f>
        <v>1.061226308211431</v>
      </c>
      <c r="AE19" s="169">
        <f>'Earnings Model (adjusted)'!AE19-'Earnings Model'!AE19</f>
        <v>0.40019720388676205</v>
      </c>
      <c r="AF19" s="169">
        <f>'Earnings Model (adjusted)'!AF19-'Earnings Model'!AF19</f>
        <v>0.18987706008724103</v>
      </c>
      <c r="AG19" s="169">
        <f>'Earnings Model (adjusted)'!AG19-'Earnings Model'!AG19</f>
        <v>2.7121891092378974</v>
      </c>
      <c r="AH19" s="169">
        <f>'Earnings Model (adjusted)'!AH19-'Earnings Model'!AH19</f>
        <v>1.3392546102365657</v>
      </c>
      <c r="AI19" s="169">
        <f>'Earnings Model (adjusted)'!AI19-'Earnings Model'!AI19</f>
        <v>1.3395008584859482</v>
      </c>
      <c r="AJ19" s="169">
        <f>'Earnings Model (adjusted)'!AJ19-'Earnings Model'!AJ19</f>
        <v>0.42841934064688303</v>
      </c>
      <c r="AK19" s="169">
        <f>'Earnings Model (adjusted)'!AK19-'Earnings Model'!AK19</f>
        <v>0.20322509193317728</v>
      </c>
      <c r="AL19" s="169">
        <f>'Earnings Model (adjusted)'!AL19-'Earnings Model'!AL19</f>
        <v>3.31039990130256</v>
      </c>
      <c r="AM19" s="169">
        <f>'Earnings Model (adjusted)'!AM19-'Earnings Model'!AM19</f>
        <v>1.4331085175555245</v>
      </c>
      <c r="AN19" s="169">
        <f>'Earnings Model (adjusted)'!AN19-'Earnings Model'!AN19</f>
        <v>1.4330827858115356</v>
      </c>
      <c r="AO19" s="169">
        <f>'Earnings Model (adjusted)'!AO19-'Earnings Model'!AO19</f>
        <v>0.45825893282156471</v>
      </c>
      <c r="AP19" s="169">
        <f>'Earnings Model (adjusted)'!AP19-'Earnings Model'!AP19</f>
        <v>0.21733716303060646</v>
      </c>
      <c r="AQ19" s="169">
        <f>'Earnings Model (adjusted)'!AQ19-'Earnings Model'!AQ19</f>
        <v>3.5417873992191744</v>
      </c>
    </row>
    <row r="20" spans="1:43" outlineLevel="1" x14ac:dyDescent="0.25">
      <c r="A20" s="254"/>
      <c r="B20" s="557" t="s">
        <v>143</v>
      </c>
      <c r="C20" s="323"/>
      <c r="D20" s="261">
        <v>333.4</v>
      </c>
      <c r="E20" s="261">
        <v>356.2</v>
      </c>
      <c r="F20" s="261">
        <v>343.1</v>
      </c>
      <c r="G20" s="261">
        <f t="shared" si="0"/>
        <v>344.5999999999998</v>
      </c>
      <c r="H20" s="450">
        <v>1377.3</v>
      </c>
      <c r="I20" s="261">
        <v>351</v>
      </c>
      <c r="J20" s="261">
        <v>356.3</v>
      </c>
      <c r="K20" s="261">
        <v>361</v>
      </c>
      <c r="L20" s="169">
        <v>362.9</v>
      </c>
      <c r="M20" s="170">
        <f t="shared" ref="M20" si="4">SUM(I20:L20)</f>
        <v>1431.1999999999998</v>
      </c>
      <c r="N20" s="169">
        <v>366.1</v>
      </c>
      <c r="O20" s="261">
        <v>366.7</v>
      </c>
      <c r="P20" s="261">
        <v>354.3</v>
      </c>
      <c r="Q20" s="169">
        <f>'Earnings Model (adjusted)'!Q20-'Earnings Model'!Q20</f>
        <v>0</v>
      </c>
      <c r="R20" s="169">
        <f>'Earnings Model (adjusted)'!R20-'Earnings Model'!R20</f>
        <v>0</v>
      </c>
      <c r="S20" s="169">
        <f>'Earnings Model (adjusted)'!S20-'Earnings Model'!S20</f>
        <v>0</v>
      </c>
      <c r="T20" s="169">
        <f>'Earnings Model (adjusted)'!T20-'Earnings Model'!T20</f>
        <v>0.32230703605102917</v>
      </c>
      <c r="U20" s="169">
        <f>'Earnings Model (adjusted)'!U20-'Earnings Model'!U20</f>
        <v>0.61377266039676215</v>
      </c>
      <c r="V20" s="169">
        <f>'Earnings Model (adjusted)'!V20-'Earnings Model'!V20</f>
        <v>0.75969867132425861</v>
      </c>
      <c r="W20" s="169">
        <f>'Earnings Model (adjusted)'!W20-'Earnings Model'!W20</f>
        <v>1.6957783677717089</v>
      </c>
      <c r="X20" s="169">
        <f>'Earnings Model (adjusted)'!X20-'Earnings Model'!X20</f>
        <v>0.88807054081200931</v>
      </c>
      <c r="Y20" s="169">
        <f>'Earnings Model (adjusted)'!Y20-'Earnings Model'!Y20</f>
        <v>1.2250372961279936</v>
      </c>
      <c r="Z20" s="169">
        <f>'Earnings Model (adjusted)'!Z20-'Earnings Model'!Z20</f>
        <v>1.5407524374853097</v>
      </c>
      <c r="AA20" s="169">
        <f>'Earnings Model (adjusted)'!AA20-'Earnings Model'!AA20</f>
        <v>1.6258583701936118</v>
      </c>
      <c r="AB20" s="169">
        <f>'Earnings Model (adjusted)'!AB20-'Earnings Model'!AB20</f>
        <v>5.279718644618697</v>
      </c>
      <c r="AC20" s="169">
        <f>'Earnings Model (adjusted)'!AC20-'Earnings Model'!AC20</f>
        <v>1.6961072142534022</v>
      </c>
      <c r="AD20" s="169">
        <f>'Earnings Model (adjusted)'!AD20-'Earnings Model'!AD20</f>
        <v>2.0583207412386173</v>
      </c>
      <c r="AE20" s="169">
        <f>'Earnings Model (adjusted)'!AE20-'Earnings Model'!AE20</f>
        <v>2.3986234610617316</v>
      </c>
      <c r="AF20" s="169">
        <f>'Earnings Model (adjusted)'!AF20-'Earnings Model'!AF20</f>
        <v>2.4271281998044856</v>
      </c>
      <c r="AG20" s="169">
        <f>'Earnings Model (adjusted)'!AG20-'Earnings Model'!AG20</f>
        <v>8.5801796163582367</v>
      </c>
      <c r="AH20" s="169">
        <f>'Earnings Model (adjusted)'!AH20-'Earnings Model'!AH20</f>
        <v>2.3620118602395337</v>
      </c>
      <c r="AI20" s="169">
        <f>'Earnings Model (adjusted)'!AI20-'Earnings Model'!AI20</f>
        <v>2.8076553161869242</v>
      </c>
      <c r="AJ20" s="169">
        <f>'Earnings Model (adjusted)'!AJ20-'Earnings Model'!AJ20</f>
        <v>3.2264497165850798</v>
      </c>
      <c r="AK20" s="169">
        <f>'Earnings Model (adjusted)'!AK20-'Earnings Model'!AK20</f>
        <v>3.2170559907798975</v>
      </c>
      <c r="AL20" s="169">
        <f>'Earnings Model (adjusted)'!AL20-'Earnings Model'!AL20</f>
        <v>11.613172883791549</v>
      </c>
      <c r="AM20" s="169">
        <f>'Earnings Model (adjusted)'!AM20-'Earnings Model'!AM20</f>
        <v>3.1086990170305739</v>
      </c>
      <c r="AN20" s="169">
        <f>'Earnings Model (adjusted)'!AN20-'Earnings Model'!AN20</f>
        <v>3.5506153438723231</v>
      </c>
      <c r="AO20" s="169">
        <f>'Earnings Model (adjusted)'!AO20-'Earnings Model'!AO20</f>
        <v>3.9654998611926544</v>
      </c>
      <c r="AP20" s="169">
        <f>'Earnings Model (adjusted)'!AP20-'Earnings Model'!AP20</f>
        <v>3.9237545608089022</v>
      </c>
      <c r="AQ20" s="169">
        <f>'Earnings Model (adjusted)'!AQ20-'Earnings Model'!AQ20</f>
        <v>14.548568782904567</v>
      </c>
    </row>
    <row r="21" spans="1:43" ht="17.25" customHeight="1" outlineLevel="1" x14ac:dyDescent="0.25">
      <c r="A21" s="254"/>
      <c r="B21" s="557" t="s">
        <v>245</v>
      </c>
      <c r="C21" s="323"/>
      <c r="D21" s="261">
        <v>448</v>
      </c>
      <c r="E21" s="261">
        <v>458.1</v>
      </c>
      <c r="F21" s="261">
        <v>459.7</v>
      </c>
      <c r="G21" s="261">
        <f t="shared" si="0"/>
        <v>458.29999999999984</v>
      </c>
      <c r="H21" s="450">
        <v>1824.1</v>
      </c>
      <c r="I21" s="261">
        <v>434.2</v>
      </c>
      <c r="J21" s="261">
        <v>406.5</v>
      </c>
      <c r="K21" s="261">
        <v>399.9</v>
      </c>
      <c r="L21" s="169">
        <v>439</v>
      </c>
      <c r="M21" s="450">
        <f t="shared" si="3"/>
        <v>1679.6</v>
      </c>
      <c r="N21" s="169">
        <v>472.1</v>
      </c>
      <c r="O21" s="261">
        <v>464.4</v>
      </c>
      <c r="P21" s="261">
        <v>494.9</v>
      </c>
      <c r="Q21" s="169">
        <f>'Earnings Model (adjusted)'!Q21-'Earnings Model'!Q21</f>
        <v>0</v>
      </c>
      <c r="R21" s="169">
        <f>'Earnings Model (adjusted)'!R21-'Earnings Model'!R21</f>
        <v>0</v>
      </c>
      <c r="S21" s="169">
        <f>'Earnings Model (adjusted)'!S21-'Earnings Model'!S21</f>
        <v>1.2303073687755273</v>
      </c>
      <c r="T21" s="169">
        <f>'Earnings Model (adjusted)'!T21-'Earnings Model'!T21</f>
        <v>1.5212957681909529</v>
      </c>
      <c r="U21" s="169">
        <f>'Earnings Model (adjusted)'!U21-'Earnings Model'!U21</f>
        <v>0.88447775528254624</v>
      </c>
      <c r="V21" s="169">
        <f>'Earnings Model (adjusted)'!V21-'Earnings Model'!V21</f>
        <v>0.69331871830951286</v>
      </c>
      <c r="W21" s="169">
        <f>'Earnings Model (adjusted)'!W21-'Earnings Model'!W21</f>
        <v>4.3293996105585393</v>
      </c>
      <c r="X21" s="169">
        <f>'Earnings Model (adjusted)'!X21-'Earnings Model'!X21</f>
        <v>1.5762363193826445</v>
      </c>
      <c r="Y21" s="169">
        <f>'Earnings Model (adjusted)'!Y21-'Earnings Model'!Y21</f>
        <v>2.0152017439720566</v>
      </c>
      <c r="Z21" s="169">
        <f>'Earnings Model (adjusted)'!Z21-'Earnings Model'!Z21</f>
        <v>0.92254532043568815</v>
      </c>
      <c r="AA21" s="169">
        <f>'Earnings Model (adjusted)'!AA21-'Earnings Model'!AA21</f>
        <v>0.71420976357137533</v>
      </c>
      <c r="AB21" s="169">
        <f>'Earnings Model (adjusted)'!AB21-'Earnings Model'!AB21</f>
        <v>5.2281931473617078</v>
      </c>
      <c r="AC21" s="169">
        <f>'Earnings Model (adjusted)'!AC21-'Earnings Model'!AC21</f>
        <v>2.0338528968231913</v>
      </c>
      <c r="AD21" s="169">
        <f>'Earnings Model (adjusted)'!AD21-'Earnings Model'!AD21</f>
        <v>2.6119254650766379</v>
      </c>
      <c r="AE21" s="169">
        <f>'Earnings Model (adjusted)'!AE21-'Earnings Model'!AE21</f>
        <v>0.98494742957302606</v>
      </c>
      <c r="AF21" s="169">
        <f>'Earnings Model (adjusted)'!AF21-'Earnings Model'!AF21</f>
        <v>0.3639789731869314</v>
      </c>
      <c r="AG21" s="169">
        <f>'Earnings Model (adjusted)'!AG21-'Earnings Model'!AG21</f>
        <v>5.9947047646596729</v>
      </c>
      <c r="AH21" s="169">
        <f>'Earnings Model (adjusted)'!AH21-'Earnings Model'!AH21</f>
        <v>2.6494132310559735</v>
      </c>
      <c r="AI21" s="169">
        <f>'Earnings Model (adjusted)'!AI21-'Earnings Model'!AI21</f>
        <v>3.3787378293129677</v>
      </c>
      <c r="AJ21" s="169">
        <f>'Earnings Model (adjusted)'!AJ21-'Earnings Model'!AJ21</f>
        <v>1.0805773095518134</v>
      </c>
      <c r="AK21" s="169">
        <f>'Earnings Model (adjusted)'!AK21-'Earnings Model'!AK21</f>
        <v>0.40196240536783989</v>
      </c>
      <c r="AL21" s="169">
        <f>'Earnings Model (adjusted)'!AL21-'Earnings Model'!AL21</f>
        <v>7.5106907752883671</v>
      </c>
      <c r="AM21" s="169">
        <f>'Earnings Model (adjusted)'!AM21-'Earnings Model'!AM21</f>
        <v>2.8097350384605306</v>
      </c>
      <c r="AN21" s="169">
        <f>'Earnings Model (adjusted)'!AN21-'Earnings Model'!AN21</f>
        <v>3.5894331671076998</v>
      </c>
      <c r="AO21" s="169">
        <f>'Earnings Model (adjusted)'!AO21-'Earnings Model'!AO21</f>
        <v>1.1486629082700119</v>
      </c>
      <c r="AP21" s="169">
        <f>'Earnings Model (adjusted)'!AP21-'Earnings Model'!AP21</f>
        <v>0.42712864289308072</v>
      </c>
      <c r="AQ21" s="169">
        <f>'Earnings Model (adjusted)'!AQ21-'Earnings Model'!AQ21</f>
        <v>7.9749597567310957</v>
      </c>
    </row>
    <row r="22" spans="1:43" ht="17.25" customHeight="1" outlineLevel="1" x14ac:dyDescent="0.4">
      <c r="A22" s="254"/>
      <c r="B22" s="557" t="s">
        <v>152</v>
      </c>
      <c r="C22" s="323"/>
      <c r="D22" s="260">
        <v>43.2</v>
      </c>
      <c r="E22" s="260">
        <v>43</v>
      </c>
      <c r="F22" s="260">
        <v>37.700000000000003</v>
      </c>
      <c r="G22" s="260">
        <f t="shared" si="0"/>
        <v>11.900000000000006</v>
      </c>
      <c r="H22" s="453">
        <v>135.80000000000001</v>
      </c>
      <c r="I22" s="260">
        <v>6.3</v>
      </c>
      <c r="J22" s="260">
        <v>-0.7</v>
      </c>
      <c r="K22" s="260">
        <v>78.099999999999994</v>
      </c>
      <c r="L22" s="260">
        <v>195</v>
      </c>
      <c r="M22" s="174">
        <f t="shared" ref="M22" si="5">SUM(I22:L22)</f>
        <v>278.7</v>
      </c>
      <c r="N22" s="173">
        <v>72.2</v>
      </c>
      <c r="O22" s="260">
        <v>23</v>
      </c>
      <c r="P22" s="260">
        <v>19.8</v>
      </c>
      <c r="Q22" s="169">
        <f>'Earnings Model (adjusted)'!Q22-'Earnings Model'!Q22</f>
        <v>0</v>
      </c>
      <c r="R22" s="169">
        <f>'Earnings Model (adjusted)'!R22-'Earnings Model'!R22</f>
        <v>0</v>
      </c>
      <c r="S22" s="169">
        <f>'Earnings Model (adjusted)'!S22-'Earnings Model'!S22</f>
        <v>0</v>
      </c>
      <c r="T22" s="169">
        <f>'Earnings Model (adjusted)'!T22-'Earnings Model'!T22</f>
        <v>0</v>
      </c>
      <c r="U22" s="169">
        <f>'Earnings Model (adjusted)'!U22-'Earnings Model'!U22</f>
        <v>0</v>
      </c>
      <c r="V22" s="169">
        <f>'Earnings Model (adjusted)'!V22-'Earnings Model'!V22</f>
        <v>0</v>
      </c>
      <c r="W22" s="169">
        <f>'Earnings Model (adjusted)'!W22-'Earnings Model'!W22</f>
        <v>0</v>
      </c>
      <c r="X22" s="169">
        <f>'Earnings Model (adjusted)'!X22-'Earnings Model'!X22</f>
        <v>0</v>
      </c>
      <c r="Y22" s="169">
        <f>'Earnings Model (adjusted)'!Y22-'Earnings Model'!Y22</f>
        <v>0</v>
      </c>
      <c r="Z22" s="169">
        <f>'Earnings Model (adjusted)'!Z22-'Earnings Model'!Z22</f>
        <v>0</v>
      </c>
      <c r="AA22" s="169">
        <f>'Earnings Model (adjusted)'!AA22-'Earnings Model'!AA22</f>
        <v>0</v>
      </c>
      <c r="AB22" s="169">
        <f>'Earnings Model (adjusted)'!AB22-'Earnings Model'!AB22</f>
        <v>0</v>
      </c>
      <c r="AC22" s="169">
        <f>'Earnings Model (adjusted)'!AC22-'Earnings Model'!AC22</f>
        <v>0</v>
      </c>
      <c r="AD22" s="169">
        <f>'Earnings Model (adjusted)'!AD22-'Earnings Model'!AD22</f>
        <v>0</v>
      </c>
      <c r="AE22" s="169">
        <f>'Earnings Model (adjusted)'!AE22-'Earnings Model'!AE22</f>
        <v>0</v>
      </c>
      <c r="AF22" s="169">
        <f>'Earnings Model (adjusted)'!AF22-'Earnings Model'!AF22</f>
        <v>0</v>
      </c>
      <c r="AG22" s="169">
        <f>'Earnings Model (adjusted)'!AG22-'Earnings Model'!AG22</f>
        <v>0</v>
      </c>
      <c r="AH22" s="169">
        <f>'Earnings Model (adjusted)'!AH22-'Earnings Model'!AH22</f>
        <v>0</v>
      </c>
      <c r="AI22" s="169">
        <f>'Earnings Model (adjusted)'!AI22-'Earnings Model'!AI22</f>
        <v>0</v>
      </c>
      <c r="AJ22" s="169">
        <f>'Earnings Model (adjusted)'!AJ22-'Earnings Model'!AJ22</f>
        <v>0</v>
      </c>
      <c r="AK22" s="169">
        <f>'Earnings Model (adjusted)'!AK22-'Earnings Model'!AK22</f>
        <v>0</v>
      </c>
      <c r="AL22" s="169">
        <f>'Earnings Model (adjusted)'!AL22-'Earnings Model'!AL22</f>
        <v>0</v>
      </c>
      <c r="AM22" s="169">
        <f>'Earnings Model (adjusted)'!AM22-'Earnings Model'!AM22</f>
        <v>0</v>
      </c>
      <c r="AN22" s="169">
        <f>'Earnings Model (adjusted)'!AN22-'Earnings Model'!AN22</f>
        <v>0</v>
      </c>
      <c r="AO22" s="169">
        <f>'Earnings Model (adjusted)'!AO22-'Earnings Model'!AO22</f>
        <v>0</v>
      </c>
      <c r="AP22" s="169">
        <f>'Earnings Model (adjusted)'!AP22-'Earnings Model'!AP22</f>
        <v>0</v>
      </c>
      <c r="AQ22" s="169">
        <f>'Earnings Model (adjusted)'!AQ22-'Earnings Model'!AQ22</f>
        <v>0</v>
      </c>
    </row>
    <row r="23" spans="1:43" s="40" customFormat="1" ht="17.25" customHeight="1" x14ac:dyDescent="0.4">
      <c r="A23" s="324"/>
      <c r="B23" s="325" t="s">
        <v>50</v>
      </c>
      <c r="C23" s="326"/>
      <c r="D23" s="262">
        <f t="shared" ref="D23:P23" si="6">SUM(D18:D22)+D17</f>
        <v>5684.8</v>
      </c>
      <c r="E23" s="262">
        <f t="shared" si="6"/>
        <v>5510.5</v>
      </c>
      <c r="F23" s="262">
        <f t="shared" si="6"/>
        <v>5777.6999999999989</v>
      </c>
      <c r="G23" s="262">
        <f t="shared" si="6"/>
        <v>5755.7</v>
      </c>
      <c r="H23" s="455">
        <f t="shared" si="6"/>
        <v>22728.699999999997</v>
      </c>
      <c r="I23" s="262">
        <f t="shared" si="6"/>
        <v>5951.2000000000007</v>
      </c>
      <c r="J23" s="262">
        <f t="shared" si="6"/>
        <v>5576.2000000000007</v>
      </c>
      <c r="K23" s="262">
        <f t="shared" si="6"/>
        <v>4994.3999999999996</v>
      </c>
      <c r="L23" s="175">
        <f t="shared" si="6"/>
        <v>5757</v>
      </c>
      <c r="M23" s="176">
        <f t="shared" si="6"/>
        <v>22278.799999999999</v>
      </c>
      <c r="N23" s="175">
        <f t="shared" si="6"/>
        <v>5918.6</v>
      </c>
      <c r="O23" s="262">
        <f t="shared" si="6"/>
        <v>5757.5</v>
      </c>
      <c r="P23" s="262">
        <f t="shared" si="6"/>
        <v>6113.3000000000011</v>
      </c>
      <c r="Q23" s="169">
        <f>'Earnings Model (adjusted)'!Q23-'Earnings Model'!Q23</f>
        <v>-46.089911209723141</v>
      </c>
      <c r="R23" s="169">
        <f>'Earnings Model (adjusted)'!R23-'Earnings Model'!R23</f>
        <v>-46.089911209721322</v>
      </c>
      <c r="S23" s="169">
        <f>'Earnings Model (adjusted)'!S23-'Earnings Model'!S23</f>
        <v>-26.089780893224088</v>
      </c>
      <c r="T23" s="169">
        <f>'Earnings Model (adjusted)'!T23-'Earnings Model'!T23</f>
        <v>-23.766140059476129</v>
      </c>
      <c r="U23" s="169">
        <f>'Earnings Model (adjusted)'!U23-'Earnings Model'!U23</f>
        <v>-64.547168814893666</v>
      </c>
      <c r="V23" s="169">
        <f>'Earnings Model (adjusted)'!V23-'Earnings Model'!V23</f>
        <v>-32.809485488388418</v>
      </c>
      <c r="W23" s="169">
        <f>'Earnings Model (adjusted)'!W23-'Earnings Model'!W23</f>
        <v>-147.21257525598048</v>
      </c>
      <c r="X23" s="169">
        <f>'Earnings Model (adjusted)'!X23-'Earnings Model'!X23</f>
        <v>2.4208868830155552</v>
      </c>
      <c r="Y23" s="169">
        <f>'Earnings Model (adjusted)'!Y23-'Earnings Model'!Y23</f>
        <v>4.5244466506246681</v>
      </c>
      <c r="Z23" s="169">
        <f>'Earnings Model (adjusted)'!Z23-'Earnings Model'!Z23</f>
        <v>-54.209053970489549</v>
      </c>
      <c r="AA23" s="169">
        <f>'Earnings Model (adjusted)'!AA23-'Earnings Model'!AA23</f>
        <v>-52.57598851871262</v>
      </c>
      <c r="AB23" s="169">
        <f>'Earnings Model (adjusted)'!AB23-'Earnings Model'!AB23</f>
        <v>-99.839708955565584</v>
      </c>
      <c r="AC23" s="169">
        <f>'Earnings Model (adjusted)'!AC23-'Earnings Model'!AC23</f>
        <v>33.131598324909646</v>
      </c>
      <c r="AD23" s="169">
        <f>'Earnings Model (adjusted)'!AD23-'Earnings Model'!AD23</f>
        <v>35.707546520032338</v>
      </c>
      <c r="AE23" s="169">
        <f>'Earnings Model (adjusted)'!AE23-'Earnings Model'!AE23</f>
        <v>-46.418745869699706</v>
      </c>
      <c r="AF23" s="169">
        <f>'Earnings Model (adjusted)'!AF23-'Earnings Model'!AF23</f>
        <v>-66.656334166998931</v>
      </c>
      <c r="AG23" s="169">
        <f>'Earnings Model (adjusted)'!AG23-'Earnings Model'!AG23</f>
        <v>-44.235935191754834</v>
      </c>
      <c r="AH23" s="169">
        <f>'Earnings Model (adjusted)'!AH23-'Earnings Model'!AH23</f>
        <v>47.254208566933812</v>
      </c>
      <c r="AI23" s="169">
        <f>'Earnings Model (adjusted)'!AI23-'Earnings Model'!AI23</f>
        <v>50.522130472243589</v>
      </c>
      <c r="AJ23" s="169">
        <f>'Earnings Model (adjusted)'!AJ23-'Earnings Model'!AJ23</f>
        <v>-60.383842619219649</v>
      </c>
      <c r="AK23" s="169">
        <f>'Earnings Model (adjusted)'!AK23-'Earnings Model'!AK23</f>
        <v>-81.837815090333606</v>
      </c>
      <c r="AL23" s="169">
        <f>'Earnings Model (adjusted)'!AL23-'Earnings Model'!AL23</f>
        <v>-44.445318670375855</v>
      </c>
      <c r="AM23" s="169">
        <f>'Earnings Model (adjusted)'!AM23-'Earnings Model'!AM23</f>
        <v>55.775770098338398</v>
      </c>
      <c r="AN23" s="169">
        <f>'Earnings Model (adjusted)'!AN23-'Earnings Model'!AN23</f>
        <v>59.193173683283021</v>
      </c>
      <c r="AO23" s="169">
        <f>'Earnings Model (adjusted)'!AO23-'Earnings Model'!AO23</f>
        <v>-58.996550205920357</v>
      </c>
      <c r="AP23" s="169">
        <f>'Earnings Model (adjusted)'!AP23-'Earnings Model'!AP23</f>
        <v>-82.055047933368769</v>
      </c>
      <c r="AQ23" s="169">
        <f>'Earnings Model (adjusted)'!AQ23-'Earnings Model'!AQ23</f>
        <v>-26.082654357669526</v>
      </c>
    </row>
    <row r="24" spans="1:43" s="43" customFormat="1" ht="17.25" customHeight="1" x14ac:dyDescent="0.4">
      <c r="A24" s="307"/>
      <c r="B24" s="575" t="s">
        <v>145</v>
      </c>
      <c r="C24" s="576"/>
      <c r="D24" s="260">
        <v>67.8</v>
      </c>
      <c r="E24" s="260">
        <v>62.3</v>
      </c>
      <c r="F24" s="260">
        <v>76</v>
      </c>
      <c r="G24" s="260">
        <f t="shared" si="0"/>
        <v>91.899999999999991</v>
      </c>
      <c r="H24" s="453">
        <v>298</v>
      </c>
      <c r="I24" s="260">
        <v>73.900000000000006</v>
      </c>
      <c r="J24" s="260">
        <v>67.900000000000006</v>
      </c>
      <c r="K24" s="260">
        <v>68.400000000000006</v>
      </c>
      <c r="L24" s="173">
        <v>112.2</v>
      </c>
      <c r="M24" s="174">
        <f t="shared" ref="M24" si="7">SUM(I24:L24)</f>
        <v>322.40000000000003</v>
      </c>
      <c r="N24" s="173">
        <v>82.7</v>
      </c>
      <c r="O24" s="260">
        <v>77.099999999999994</v>
      </c>
      <c r="P24" s="260">
        <v>105.5</v>
      </c>
      <c r="Q24" s="169">
        <f>'Earnings Model (adjusted)'!Q24-'Earnings Model'!Q24</f>
        <v>0</v>
      </c>
      <c r="R24" s="169">
        <f>'Earnings Model (adjusted)'!R24-'Earnings Model'!R24</f>
        <v>0</v>
      </c>
      <c r="S24" s="169">
        <f>'Earnings Model (adjusted)'!S24-'Earnings Model'!S24</f>
        <v>0</v>
      </c>
      <c r="T24" s="169">
        <f>'Earnings Model (adjusted)'!T24-'Earnings Model'!T24</f>
        <v>0</v>
      </c>
      <c r="U24" s="169">
        <f>'Earnings Model (adjusted)'!U24-'Earnings Model'!U24</f>
        <v>0</v>
      </c>
      <c r="V24" s="169">
        <f>'Earnings Model (adjusted)'!V24-'Earnings Model'!V24</f>
        <v>0</v>
      </c>
      <c r="W24" s="169">
        <f>'Earnings Model (adjusted)'!W24-'Earnings Model'!W24</f>
        <v>0</v>
      </c>
      <c r="X24" s="169">
        <f>'Earnings Model (adjusted)'!X24-'Earnings Model'!X24</f>
        <v>0</v>
      </c>
      <c r="Y24" s="169">
        <f>'Earnings Model (adjusted)'!Y24-'Earnings Model'!Y24</f>
        <v>0</v>
      </c>
      <c r="Z24" s="169">
        <f>'Earnings Model (adjusted)'!Z24-'Earnings Model'!Z24</f>
        <v>0</v>
      </c>
      <c r="AA24" s="169">
        <f>'Earnings Model (adjusted)'!AA24-'Earnings Model'!AA24</f>
        <v>0</v>
      </c>
      <c r="AB24" s="169">
        <f>'Earnings Model (adjusted)'!AB24-'Earnings Model'!AB24</f>
        <v>0</v>
      </c>
      <c r="AC24" s="169">
        <f>'Earnings Model (adjusted)'!AC24-'Earnings Model'!AC24</f>
        <v>0</v>
      </c>
      <c r="AD24" s="169">
        <f>'Earnings Model (adjusted)'!AD24-'Earnings Model'!AD24</f>
        <v>0</v>
      </c>
      <c r="AE24" s="169">
        <f>'Earnings Model (adjusted)'!AE24-'Earnings Model'!AE24</f>
        <v>0</v>
      </c>
      <c r="AF24" s="169">
        <f>'Earnings Model (adjusted)'!AF24-'Earnings Model'!AF24</f>
        <v>0</v>
      </c>
      <c r="AG24" s="169">
        <f>'Earnings Model (adjusted)'!AG24-'Earnings Model'!AG24</f>
        <v>0</v>
      </c>
      <c r="AH24" s="169">
        <f>'Earnings Model (adjusted)'!AH24-'Earnings Model'!AH24</f>
        <v>0</v>
      </c>
      <c r="AI24" s="169">
        <f>'Earnings Model (adjusted)'!AI24-'Earnings Model'!AI24</f>
        <v>0</v>
      </c>
      <c r="AJ24" s="169">
        <f>'Earnings Model (adjusted)'!AJ24-'Earnings Model'!AJ24</f>
        <v>0</v>
      </c>
      <c r="AK24" s="169">
        <f>'Earnings Model (adjusted)'!AK24-'Earnings Model'!AK24</f>
        <v>0</v>
      </c>
      <c r="AL24" s="169">
        <f>'Earnings Model (adjusted)'!AL24-'Earnings Model'!AL24</f>
        <v>0</v>
      </c>
      <c r="AM24" s="169">
        <f>'Earnings Model (adjusted)'!AM24-'Earnings Model'!AM24</f>
        <v>0</v>
      </c>
      <c r="AN24" s="169">
        <f>'Earnings Model (adjusted)'!AN24-'Earnings Model'!AN24</f>
        <v>0</v>
      </c>
      <c r="AO24" s="169">
        <f>'Earnings Model (adjusted)'!AO24-'Earnings Model'!AO24</f>
        <v>0</v>
      </c>
      <c r="AP24" s="169">
        <f>'Earnings Model (adjusted)'!AP24-'Earnings Model'!AP24</f>
        <v>0</v>
      </c>
      <c r="AQ24" s="169">
        <f>'Earnings Model (adjusted)'!AQ24-'Earnings Model'!AQ24</f>
        <v>0</v>
      </c>
    </row>
    <row r="25" spans="1:43" x14ac:dyDescent="0.25">
      <c r="A25" s="254"/>
      <c r="B25" s="327" t="s">
        <v>66</v>
      </c>
      <c r="C25" s="328"/>
      <c r="D25" s="259">
        <f t="shared" ref="D25:P25" si="8">D16-D23+D24</f>
        <v>1015.7000000000005</v>
      </c>
      <c r="E25" s="259">
        <f t="shared" si="8"/>
        <v>857.69999999999959</v>
      </c>
      <c r="F25" s="259">
        <f t="shared" si="8"/>
        <v>1121.3000000000011</v>
      </c>
      <c r="G25" s="259">
        <f t="shared" si="8"/>
        <v>1083.2000000000012</v>
      </c>
      <c r="H25" s="451">
        <f t="shared" si="8"/>
        <v>4077.9000000000051</v>
      </c>
      <c r="I25" s="259">
        <f t="shared" si="8"/>
        <v>1219.7999999999988</v>
      </c>
      <c r="J25" s="259">
        <f t="shared" si="8"/>
        <v>487.39999999999907</v>
      </c>
      <c r="K25" s="259">
        <f t="shared" si="8"/>
        <v>-703.8999999999993</v>
      </c>
      <c r="L25" s="171">
        <f t="shared" si="8"/>
        <v>558.30000000000041</v>
      </c>
      <c r="M25" s="172">
        <f t="shared" si="8"/>
        <v>1561.6000000000045</v>
      </c>
      <c r="N25" s="171">
        <f t="shared" si="8"/>
        <v>913.50000000000023</v>
      </c>
      <c r="O25" s="259">
        <f t="shared" si="8"/>
        <v>987.6</v>
      </c>
      <c r="P25" s="259">
        <f t="shared" si="8"/>
        <v>1488.6999999999989</v>
      </c>
      <c r="Q25" s="169">
        <f>'Earnings Model (adjusted)'!Q25-'Earnings Model'!Q25</f>
        <v>46.089911209723141</v>
      </c>
      <c r="R25" s="169">
        <f>'Earnings Model (adjusted)'!R25-'Earnings Model'!R25</f>
        <v>46.089911209721322</v>
      </c>
      <c r="S25" s="169">
        <f>'Earnings Model (adjusted)'!S25-'Earnings Model'!S25</f>
        <v>109.66792039287066</v>
      </c>
      <c r="T25" s="169">
        <f>'Earnings Model (adjusted)'!T25-'Earnings Model'!T25</f>
        <v>105.03000980721481</v>
      </c>
      <c r="U25" s="169">
        <f>'Earnings Model (adjusted)'!U25-'Earnings Model'!U25</f>
        <v>111.79379015107406</v>
      </c>
      <c r="V25" s="169">
        <f>'Earnings Model (adjusted)'!V25-'Earnings Model'!V25</f>
        <v>79.908519459272611</v>
      </c>
      <c r="W25" s="169">
        <f>'Earnings Model (adjusted)'!W25-'Earnings Model'!W25</f>
        <v>406.40023981042759</v>
      </c>
      <c r="X25" s="169">
        <f>'Earnings Model (adjusted)'!X25-'Earnings Model'!X25</f>
        <v>108.28963200120779</v>
      </c>
      <c r="Y25" s="169">
        <f>'Earnings Model (adjusted)'!Y25-'Earnings Model'!Y25</f>
        <v>105.97350691716565</v>
      </c>
      <c r="Z25" s="169">
        <f>'Earnings Model (adjusted)'!Z25-'Earnings Model'!Z25</f>
        <v>104.7942473818257</v>
      </c>
      <c r="AA25" s="169">
        <f>'Earnings Model (adjusted)'!AA25-'Earnings Model'!AA25</f>
        <v>102.74012478740406</v>
      </c>
      <c r="AB25" s="169">
        <f>'Earnings Model (adjusted)'!AB25-'Earnings Model'!AB25</f>
        <v>421.79751108760684</v>
      </c>
      <c r="AC25" s="169">
        <f>'Earnings Model (adjusted)'!AC25-'Earnings Model'!AC25</f>
        <v>111.17863761071931</v>
      </c>
      <c r="AD25" s="169">
        <f>'Earnings Model (adjusted)'!AD25-'Earnings Model'!AD25</f>
        <v>108.64863565211454</v>
      </c>
      <c r="AE25" s="169">
        <f>'Earnings Model (adjusted)'!AE25-'Earnings Model'!AE25</f>
        <v>100.85665418581084</v>
      </c>
      <c r="AF25" s="169">
        <f>'Earnings Model (adjusted)'!AF25-'Earnings Model'!AF25</f>
        <v>92.484875416097566</v>
      </c>
      <c r="AG25" s="169">
        <f>'Earnings Model (adjusted)'!AG25-'Earnings Model'!AG25</f>
        <v>413.16880286474043</v>
      </c>
      <c r="AH25" s="169">
        <f>'Earnings Model (adjusted)'!AH25-'Earnings Model'!AH25</f>
        <v>134.92152623559923</v>
      </c>
      <c r="AI25" s="169">
        <f>'Earnings Model (adjusted)'!AI25-'Earnings Model'!AI25</f>
        <v>131.6871009152037</v>
      </c>
      <c r="AJ25" s="169">
        <f>'Earnings Model (adjusted)'!AJ25-'Earnings Model'!AJ25</f>
        <v>118.66074350826966</v>
      </c>
      <c r="AK25" s="169">
        <f>'Earnings Model (adjusted)'!AK25-'Earnings Model'!AK25</f>
        <v>109.48205851518651</v>
      </c>
      <c r="AL25" s="169">
        <f>'Earnings Model (adjusted)'!AL25-'Earnings Model'!AL25</f>
        <v>494.75142917425546</v>
      </c>
      <c r="AM25" s="169">
        <f>'Earnings Model (adjusted)'!AM25-'Earnings Model'!AM25</f>
        <v>139.16669658567093</v>
      </c>
      <c r="AN25" s="169">
        <f>'Earnings Model (adjusted)'!AN25-'Earnings Model'!AN25</f>
        <v>135.74579277056728</v>
      </c>
      <c r="AO25" s="169">
        <f>'Earnings Model (adjusted)'!AO25-'Earnings Model'!AO25</f>
        <v>121.33246242043606</v>
      </c>
      <c r="AP25" s="169">
        <f>'Earnings Model (adjusted)'!AP25-'Earnings Model'!AP25</f>
        <v>111.61892404204082</v>
      </c>
      <c r="AQ25" s="169">
        <f>'Earnings Model (adjusted)'!AQ25-'Earnings Model'!AQ25</f>
        <v>507.86387581871531</v>
      </c>
    </row>
    <row r="26" spans="1:43" ht="17.25" x14ac:dyDescent="0.4">
      <c r="A26" s="254"/>
      <c r="B26" s="293" t="s">
        <v>194</v>
      </c>
      <c r="C26" s="223"/>
      <c r="D26" s="263">
        <f>+D179</f>
        <v>138</v>
      </c>
      <c r="E26" s="263">
        <f>+E179</f>
        <v>141.4</v>
      </c>
      <c r="F26" s="263">
        <f>+F179</f>
        <v>125.30000000000001</v>
      </c>
      <c r="G26" s="263">
        <f>+G179</f>
        <v>77.399999999999991</v>
      </c>
      <c r="H26" s="456">
        <f>SUM(D26:G26)</f>
        <v>482.09999999999997</v>
      </c>
      <c r="I26" s="263">
        <f>+I179</f>
        <v>71.599999999999994</v>
      </c>
      <c r="J26" s="263">
        <f>+J179</f>
        <v>66.8</v>
      </c>
      <c r="K26" s="263">
        <f>+K179</f>
        <v>173.67999999999998</v>
      </c>
      <c r="L26" s="224">
        <f>+L179</f>
        <v>259.5</v>
      </c>
      <c r="M26" s="225">
        <f>SUM(I26:L26)</f>
        <v>571.57999999999993</v>
      </c>
      <c r="N26" s="263">
        <f>+N179</f>
        <v>134.9</v>
      </c>
      <c r="O26" s="263">
        <f>+O179</f>
        <v>88.2</v>
      </c>
      <c r="P26" s="263">
        <f>+P179</f>
        <v>51.7</v>
      </c>
      <c r="Q26" s="169">
        <f>'Earnings Model (adjusted)'!Q26-'Earnings Model'!Q26</f>
        <v>0</v>
      </c>
      <c r="R26" s="169">
        <f>'Earnings Model (adjusted)'!R26-'Earnings Model'!R26</f>
        <v>0</v>
      </c>
      <c r="S26" s="169">
        <f>'Earnings Model (adjusted)'!S26-'Earnings Model'!S26</f>
        <v>0</v>
      </c>
      <c r="T26" s="169">
        <f>'Earnings Model (adjusted)'!T26-'Earnings Model'!T26</f>
        <v>0</v>
      </c>
      <c r="U26" s="169">
        <f>'Earnings Model (adjusted)'!U26-'Earnings Model'!U26</f>
        <v>0</v>
      </c>
      <c r="V26" s="169">
        <f>'Earnings Model (adjusted)'!V26-'Earnings Model'!V26</f>
        <v>0</v>
      </c>
      <c r="W26" s="169">
        <f>'Earnings Model (adjusted)'!W26-'Earnings Model'!W26</f>
        <v>0</v>
      </c>
      <c r="X26" s="169">
        <f>'Earnings Model (adjusted)'!X26-'Earnings Model'!X26</f>
        <v>0</v>
      </c>
      <c r="Y26" s="169">
        <f>'Earnings Model (adjusted)'!Y26-'Earnings Model'!Y26</f>
        <v>0</v>
      </c>
      <c r="Z26" s="169">
        <f>'Earnings Model (adjusted)'!Z26-'Earnings Model'!Z26</f>
        <v>0</v>
      </c>
      <c r="AA26" s="169">
        <f>'Earnings Model (adjusted)'!AA26-'Earnings Model'!AA26</f>
        <v>0</v>
      </c>
      <c r="AB26" s="169">
        <f>'Earnings Model (adjusted)'!AB26-'Earnings Model'!AB26</f>
        <v>0</v>
      </c>
      <c r="AC26" s="169">
        <f>'Earnings Model (adjusted)'!AC26-'Earnings Model'!AC26</f>
        <v>0</v>
      </c>
      <c r="AD26" s="169">
        <f>'Earnings Model (adjusted)'!AD26-'Earnings Model'!AD26</f>
        <v>0</v>
      </c>
      <c r="AE26" s="169">
        <f>'Earnings Model (adjusted)'!AE26-'Earnings Model'!AE26</f>
        <v>0</v>
      </c>
      <c r="AF26" s="169">
        <f>'Earnings Model (adjusted)'!AF26-'Earnings Model'!AF26</f>
        <v>0</v>
      </c>
      <c r="AG26" s="169">
        <f>'Earnings Model (adjusted)'!AG26-'Earnings Model'!AG26</f>
        <v>0</v>
      </c>
      <c r="AH26" s="169">
        <f>'Earnings Model (adjusted)'!AH26-'Earnings Model'!AH26</f>
        <v>0</v>
      </c>
      <c r="AI26" s="169">
        <f>'Earnings Model (adjusted)'!AI26-'Earnings Model'!AI26</f>
        <v>0</v>
      </c>
      <c r="AJ26" s="169">
        <f>'Earnings Model (adjusted)'!AJ26-'Earnings Model'!AJ26</f>
        <v>0</v>
      </c>
      <c r="AK26" s="169">
        <f>'Earnings Model (adjusted)'!AK26-'Earnings Model'!AK26</f>
        <v>0</v>
      </c>
      <c r="AL26" s="169">
        <f>'Earnings Model (adjusted)'!AL26-'Earnings Model'!AL26</f>
        <v>0</v>
      </c>
      <c r="AM26" s="169">
        <f>'Earnings Model (adjusted)'!AM26-'Earnings Model'!AM26</f>
        <v>0</v>
      </c>
      <c r="AN26" s="169">
        <f>'Earnings Model (adjusted)'!AN26-'Earnings Model'!AN26</f>
        <v>0</v>
      </c>
      <c r="AO26" s="169">
        <f>'Earnings Model (adjusted)'!AO26-'Earnings Model'!AO26</f>
        <v>0</v>
      </c>
      <c r="AP26" s="169">
        <f>'Earnings Model (adjusted)'!AP26-'Earnings Model'!AP26</f>
        <v>0</v>
      </c>
      <c r="AQ26" s="169">
        <f>'Earnings Model (adjusted)'!AQ26-'Earnings Model'!AQ26</f>
        <v>0</v>
      </c>
    </row>
    <row r="27" spans="1:43" x14ac:dyDescent="0.25">
      <c r="A27" s="254"/>
      <c r="B27" s="294" t="s">
        <v>195</v>
      </c>
      <c r="C27" s="213"/>
      <c r="D27" s="264">
        <f t="shared" ref="D27:P27" si="9">+D25+D26</f>
        <v>1153.7000000000005</v>
      </c>
      <c r="E27" s="264">
        <f t="shared" si="9"/>
        <v>999.09999999999957</v>
      </c>
      <c r="F27" s="264">
        <f t="shared" si="9"/>
        <v>1246.600000000001</v>
      </c>
      <c r="G27" s="264">
        <f t="shared" si="9"/>
        <v>1160.6000000000013</v>
      </c>
      <c r="H27" s="457">
        <f t="shared" si="9"/>
        <v>4560.0000000000055</v>
      </c>
      <c r="I27" s="264">
        <f t="shared" si="9"/>
        <v>1291.3999999999987</v>
      </c>
      <c r="J27" s="264">
        <f t="shared" si="9"/>
        <v>554.19999999999902</v>
      </c>
      <c r="K27" s="264">
        <f t="shared" si="9"/>
        <v>-530.21999999999935</v>
      </c>
      <c r="L27" s="214">
        <f t="shared" si="9"/>
        <v>817.80000000000041</v>
      </c>
      <c r="M27" s="215">
        <f t="shared" si="9"/>
        <v>2133.1800000000044</v>
      </c>
      <c r="N27" s="264">
        <f t="shared" si="9"/>
        <v>1048.4000000000003</v>
      </c>
      <c r="O27" s="264">
        <f t="shared" si="9"/>
        <v>1075.8</v>
      </c>
      <c r="P27" s="264">
        <f t="shared" si="9"/>
        <v>1540.399999999999</v>
      </c>
      <c r="Q27" s="169">
        <f>'Earnings Model (adjusted)'!Q27-'Earnings Model'!Q27</f>
        <v>46.089911209723141</v>
      </c>
      <c r="R27" s="169">
        <f>'Earnings Model (adjusted)'!R27-'Earnings Model'!R27</f>
        <v>46.089911209721322</v>
      </c>
      <c r="S27" s="169">
        <f>'Earnings Model (adjusted)'!S27-'Earnings Model'!S27</f>
        <v>109.66792039287066</v>
      </c>
      <c r="T27" s="169">
        <f>'Earnings Model (adjusted)'!T27-'Earnings Model'!T27</f>
        <v>105.03000980721481</v>
      </c>
      <c r="U27" s="169">
        <f>'Earnings Model (adjusted)'!U27-'Earnings Model'!U27</f>
        <v>111.79379015107406</v>
      </c>
      <c r="V27" s="169">
        <f>'Earnings Model (adjusted)'!V27-'Earnings Model'!V27</f>
        <v>79.908519459272611</v>
      </c>
      <c r="W27" s="169">
        <f>'Earnings Model (adjusted)'!W27-'Earnings Model'!W27</f>
        <v>406.40023981042759</v>
      </c>
      <c r="X27" s="169">
        <f>'Earnings Model (adjusted)'!X27-'Earnings Model'!X27</f>
        <v>108.28963200120779</v>
      </c>
      <c r="Y27" s="169">
        <f>'Earnings Model (adjusted)'!Y27-'Earnings Model'!Y27</f>
        <v>105.97350691716565</v>
      </c>
      <c r="Z27" s="169">
        <f>'Earnings Model (adjusted)'!Z27-'Earnings Model'!Z27</f>
        <v>104.7942473818257</v>
      </c>
      <c r="AA27" s="169">
        <f>'Earnings Model (adjusted)'!AA27-'Earnings Model'!AA27</f>
        <v>102.74012478740406</v>
      </c>
      <c r="AB27" s="169">
        <f>'Earnings Model (adjusted)'!AB27-'Earnings Model'!AB27</f>
        <v>421.79751108760684</v>
      </c>
      <c r="AC27" s="169">
        <f>'Earnings Model (adjusted)'!AC27-'Earnings Model'!AC27</f>
        <v>111.17863761071931</v>
      </c>
      <c r="AD27" s="169">
        <f>'Earnings Model (adjusted)'!AD27-'Earnings Model'!AD27</f>
        <v>108.64863565211454</v>
      </c>
      <c r="AE27" s="169">
        <f>'Earnings Model (adjusted)'!AE27-'Earnings Model'!AE27</f>
        <v>100.85665418581084</v>
      </c>
      <c r="AF27" s="169">
        <f>'Earnings Model (adjusted)'!AF27-'Earnings Model'!AF27</f>
        <v>92.484875416097793</v>
      </c>
      <c r="AG27" s="169">
        <f>'Earnings Model (adjusted)'!AG27-'Earnings Model'!AG27</f>
        <v>413.16880286474043</v>
      </c>
      <c r="AH27" s="169">
        <f>'Earnings Model (adjusted)'!AH27-'Earnings Model'!AH27</f>
        <v>134.92152623559923</v>
      </c>
      <c r="AI27" s="169">
        <f>'Earnings Model (adjusted)'!AI27-'Earnings Model'!AI27</f>
        <v>131.6871009152037</v>
      </c>
      <c r="AJ27" s="169">
        <f>'Earnings Model (adjusted)'!AJ27-'Earnings Model'!AJ27</f>
        <v>118.66074350826966</v>
      </c>
      <c r="AK27" s="169">
        <f>'Earnings Model (adjusted)'!AK27-'Earnings Model'!AK27</f>
        <v>109.48205851518651</v>
      </c>
      <c r="AL27" s="169">
        <f>'Earnings Model (adjusted)'!AL27-'Earnings Model'!AL27</f>
        <v>494.75142917425455</v>
      </c>
      <c r="AM27" s="169">
        <f>'Earnings Model (adjusted)'!AM27-'Earnings Model'!AM27</f>
        <v>139.16669658567116</v>
      </c>
      <c r="AN27" s="169">
        <f>'Earnings Model (adjusted)'!AN27-'Earnings Model'!AN27</f>
        <v>135.74579277056728</v>
      </c>
      <c r="AO27" s="169">
        <f>'Earnings Model (adjusted)'!AO27-'Earnings Model'!AO27</f>
        <v>121.33246242043606</v>
      </c>
      <c r="AP27" s="169">
        <f>'Earnings Model (adjusted)'!AP27-'Earnings Model'!AP27</f>
        <v>111.61892404204082</v>
      </c>
      <c r="AQ27" s="169">
        <f>'Earnings Model (adjusted)'!AQ27-'Earnings Model'!AQ27</f>
        <v>507.86387581871531</v>
      </c>
    </row>
    <row r="28" spans="1:43" x14ac:dyDescent="0.25">
      <c r="A28" s="254"/>
      <c r="B28" s="78" t="s">
        <v>185</v>
      </c>
      <c r="C28" s="36"/>
      <c r="D28" s="261">
        <v>0</v>
      </c>
      <c r="E28" s="261">
        <v>21</v>
      </c>
      <c r="F28" s="261">
        <v>601.79999999999995</v>
      </c>
      <c r="G28" s="261">
        <f t="shared" ref="G28:G30" si="10">H28-F28-E28-D28</f>
        <v>0</v>
      </c>
      <c r="H28" s="450">
        <v>622.79999999999995</v>
      </c>
      <c r="I28" s="261">
        <v>0</v>
      </c>
      <c r="J28" s="261">
        <v>0</v>
      </c>
      <c r="K28" s="261">
        <v>0</v>
      </c>
      <c r="L28" s="261">
        <v>0</v>
      </c>
      <c r="M28" s="450">
        <f>SUM(I28:L28)</f>
        <v>0</v>
      </c>
      <c r="N28" s="261">
        <v>0</v>
      </c>
      <c r="O28" s="261">
        <v>0</v>
      </c>
      <c r="P28" s="261">
        <v>0</v>
      </c>
      <c r="Q28" s="169">
        <f>'Earnings Model (adjusted)'!Q28-'Earnings Model'!Q28</f>
        <v>0</v>
      </c>
      <c r="R28" s="169">
        <f>'Earnings Model (adjusted)'!R28-'Earnings Model'!R28</f>
        <v>0</v>
      </c>
      <c r="S28" s="169">
        <f>'Earnings Model (adjusted)'!S28-'Earnings Model'!S28</f>
        <v>0</v>
      </c>
      <c r="T28" s="169">
        <f>'Earnings Model (adjusted)'!T28-'Earnings Model'!T28</f>
        <v>0</v>
      </c>
      <c r="U28" s="169">
        <f>'Earnings Model (adjusted)'!U28-'Earnings Model'!U28</f>
        <v>0</v>
      </c>
      <c r="V28" s="169">
        <f>'Earnings Model (adjusted)'!V28-'Earnings Model'!V28</f>
        <v>0</v>
      </c>
      <c r="W28" s="169">
        <f>'Earnings Model (adjusted)'!W28-'Earnings Model'!W28</f>
        <v>0</v>
      </c>
      <c r="X28" s="169">
        <f>'Earnings Model (adjusted)'!X28-'Earnings Model'!X28</f>
        <v>0</v>
      </c>
      <c r="Y28" s="169">
        <f>'Earnings Model (adjusted)'!Y28-'Earnings Model'!Y28</f>
        <v>0</v>
      </c>
      <c r="Z28" s="169">
        <f>'Earnings Model (adjusted)'!Z28-'Earnings Model'!Z28</f>
        <v>0</v>
      </c>
      <c r="AA28" s="169">
        <f>'Earnings Model (adjusted)'!AA28-'Earnings Model'!AA28</f>
        <v>0</v>
      </c>
      <c r="AB28" s="169">
        <f>'Earnings Model (adjusted)'!AB28-'Earnings Model'!AB28</f>
        <v>0</v>
      </c>
      <c r="AC28" s="169">
        <f>'Earnings Model (adjusted)'!AC28-'Earnings Model'!AC28</f>
        <v>0</v>
      </c>
      <c r="AD28" s="169">
        <f>'Earnings Model (adjusted)'!AD28-'Earnings Model'!AD28</f>
        <v>0</v>
      </c>
      <c r="AE28" s="169">
        <f>'Earnings Model (adjusted)'!AE28-'Earnings Model'!AE28</f>
        <v>0</v>
      </c>
      <c r="AF28" s="169">
        <f>'Earnings Model (adjusted)'!AF28-'Earnings Model'!AF28</f>
        <v>0</v>
      </c>
      <c r="AG28" s="169">
        <f>'Earnings Model (adjusted)'!AG28-'Earnings Model'!AG28</f>
        <v>0</v>
      </c>
      <c r="AH28" s="169">
        <f>'Earnings Model (adjusted)'!AH28-'Earnings Model'!AH28</f>
        <v>0</v>
      </c>
      <c r="AI28" s="169">
        <f>'Earnings Model (adjusted)'!AI28-'Earnings Model'!AI28</f>
        <v>0</v>
      </c>
      <c r="AJ28" s="169">
        <f>'Earnings Model (adjusted)'!AJ28-'Earnings Model'!AJ28</f>
        <v>0</v>
      </c>
      <c r="AK28" s="169">
        <f>'Earnings Model (adjusted)'!AK28-'Earnings Model'!AK28</f>
        <v>0</v>
      </c>
      <c r="AL28" s="169">
        <f>'Earnings Model (adjusted)'!AL28-'Earnings Model'!AL28</f>
        <v>0</v>
      </c>
      <c r="AM28" s="169">
        <f>'Earnings Model (adjusted)'!AM28-'Earnings Model'!AM28</f>
        <v>0</v>
      </c>
      <c r="AN28" s="169">
        <f>'Earnings Model (adjusted)'!AN28-'Earnings Model'!AN28</f>
        <v>0</v>
      </c>
      <c r="AO28" s="169">
        <f>'Earnings Model (adjusted)'!AO28-'Earnings Model'!AO28</f>
        <v>0</v>
      </c>
      <c r="AP28" s="169">
        <f>'Earnings Model (adjusted)'!AP28-'Earnings Model'!AP28</f>
        <v>0</v>
      </c>
      <c r="AQ28" s="169">
        <f>'Earnings Model (adjusted)'!AQ28-'Earnings Model'!AQ28</f>
        <v>0</v>
      </c>
    </row>
    <row r="29" spans="1:43" x14ac:dyDescent="0.25">
      <c r="A29" s="254"/>
      <c r="B29" s="78" t="s">
        <v>146</v>
      </c>
      <c r="C29" s="36"/>
      <c r="D29" s="261">
        <v>24.8</v>
      </c>
      <c r="E29" s="261">
        <v>15.2</v>
      </c>
      <c r="F29" s="258">
        <v>40.200000000000003</v>
      </c>
      <c r="G29" s="261">
        <f t="shared" si="10"/>
        <v>16.299999999999994</v>
      </c>
      <c r="H29" s="450">
        <v>96.5</v>
      </c>
      <c r="I29" s="261">
        <v>15.9</v>
      </c>
      <c r="J29" s="261">
        <v>2</v>
      </c>
      <c r="K29" s="261">
        <v>12.7</v>
      </c>
      <c r="L29" s="169">
        <v>9.1</v>
      </c>
      <c r="M29" s="170">
        <f t="shared" ref="M29:M30" si="11">SUM(I29:L29)</f>
        <v>39.699999999999996</v>
      </c>
      <c r="N29" s="169">
        <v>15.5</v>
      </c>
      <c r="O29" s="261">
        <v>17.3</v>
      </c>
      <c r="P29" s="261">
        <v>36</v>
      </c>
      <c r="Q29" s="169">
        <f>'Earnings Model (adjusted)'!Q29-'Earnings Model'!Q29</f>
        <v>0</v>
      </c>
      <c r="R29" s="169">
        <f>'Earnings Model (adjusted)'!R29-'Earnings Model'!R29</f>
        <v>0</v>
      </c>
      <c r="S29" s="169">
        <f>'Earnings Model (adjusted)'!S29-'Earnings Model'!S29</f>
        <v>0.13233509381345065</v>
      </c>
      <c r="T29" s="169">
        <f>'Earnings Model (adjusted)'!T29-'Earnings Model'!T29</f>
        <v>0.35653985412375988</v>
      </c>
      <c r="U29" s="169">
        <f>'Earnings Model (adjusted)'!U29-'Earnings Model'!U29</f>
        <v>0.64638819862543784</v>
      </c>
      <c r="V29" s="169">
        <f>'Earnings Model (adjusted)'!V29-'Earnings Model'!V29</f>
        <v>0.86259080422718171</v>
      </c>
      <c r="W29" s="169">
        <f>'Earnings Model (adjusted)'!W29-'Earnings Model'!W29</f>
        <v>1.9978539507898319</v>
      </c>
      <c r="X29" s="169">
        <f>'Earnings Model (adjusted)'!X29-'Earnings Model'!X29</f>
        <v>1.0188981981400058</v>
      </c>
      <c r="Y29" s="169">
        <f>'Earnings Model (adjusted)'!Y29-'Earnings Model'!Y29</f>
        <v>1.2878655659718241</v>
      </c>
      <c r="Z29" s="169">
        <f>'Earnings Model (adjusted)'!Z29-'Earnings Model'!Z29</f>
        <v>1.546070026155169</v>
      </c>
      <c r="AA29" s="169">
        <f>'Earnings Model (adjusted)'!AA29-'Earnings Model'!AA29</f>
        <v>1.7713986206996601</v>
      </c>
      <c r="AB29" s="169">
        <f>'Earnings Model (adjusted)'!AB29-'Earnings Model'!AB29</f>
        <v>5.6242324109666626</v>
      </c>
      <c r="AC29" s="169">
        <f>'Earnings Model (adjusted)'!AC29-'Earnings Model'!AC29</f>
        <v>2.1039380123466263</v>
      </c>
      <c r="AD29" s="169">
        <f>'Earnings Model (adjusted)'!AD29-'Earnings Model'!AD29</f>
        <v>2.3364647646175918</v>
      </c>
      <c r="AE29" s="169">
        <f>'Earnings Model (adjusted)'!AE29-'Earnings Model'!AE29</f>
        <v>2.5968793128485022</v>
      </c>
      <c r="AF29" s="169">
        <f>'Earnings Model (adjusted)'!AF29-'Earnings Model'!AF29</f>
        <v>2.8375552289387009</v>
      </c>
      <c r="AG29" s="169">
        <f>'Earnings Model (adjusted)'!AG29-'Earnings Model'!AG29</f>
        <v>9.8748373187514247</v>
      </c>
      <c r="AH29" s="169">
        <f>'Earnings Model (adjusted)'!AH29-'Earnings Model'!AH29</f>
        <v>3.1218223784786883</v>
      </c>
      <c r="AI29" s="169">
        <f>'Earnings Model (adjusted)'!AI29-'Earnings Model'!AI29</f>
        <v>3.4490707549400774</v>
      </c>
      <c r="AJ29" s="169">
        <f>'Earnings Model (adjusted)'!AJ29-'Earnings Model'!AJ29</f>
        <v>3.7693597226197966</v>
      </c>
      <c r="AK29" s="169">
        <f>'Earnings Model (adjusted)'!AK29-'Earnings Model'!AK29</f>
        <v>4.0558175755066266</v>
      </c>
      <c r="AL29" s="169">
        <f>'Earnings Model (adjusted)'!AL29-'Earnings Model'!AL29</f>
        <v>14.396070431545191</v>
      </c>
      <c r="AM29" s="169">
        <f>'Earnings Model (adjusted)'!AM29-'Earnings Model'!AM29</f>
        <v>4.3693789874173081</v>
      </c>
      <c r="AN29" s="169">
        <f>'Earnings Model (adjusted)'!AN29-'Earnings Model'!AN29</f>
        <v>4.7182523912708838</v>
      </c>
      <c r="AO29" s="169">
        <f>'Earnings Model (adjusted)'!AO29-'Earnings Model'!AO29</f>
        <v>5.0537695904672937</v>
      </c>
      <c r="AP29" s="169">
        <f>'Earnings Model (adjusted)'!AP29-'Earnings Model'!AP29</f>
        <v>5.3229551965941049</v>
      </c>
      <c r="AQ29" s="169">
        <f>'Earnings Model (adjusted)'!AQ29-'Earnings Model'!AQ29</f>
        <v>19.464356165749592</v>
      </c>
    </row>
    <row r="30" spans="1:43" ht="17.25" x14ac:dyDescent="0.4">
      <c r="A30" s="254"/>
      <c r="B30" s="78" t="s">
        <v>147</v>
      </c>
      <c r="C30" s="74"/>
      <c r="D30" s="260">
        <v>-75</v>
      </c>
      <c r="E30" s="260">
        <v>-73.900000000000006</v>
      </c>
      <c r="F30" s="260">
        <v>-86.4</v>
      </c>
      <c r="G30" s="260">
        <f t="shared" si="10"/>
        <v>-95.699999999999989</v>
      </c>
      <c r="H30" s="453">
        <v>-331</v>
      </c>
      <c r="I30" s="260">
        <v>-91.9</v>
      </c>
      <c r="J30" s="260">
        <v>-99.2</v>
      </c>
      <c r="K30" s="260">
        <v>-120.8</v>
      </c>
      <c r="L30" s="173">
        <v>-125</v>
      </c>
      <c r="M30" s="453">
        <f t="shared" si="11"/>
        <v>-436.90000000000003</v>
      </c>
      <c r="N30" s="173">
        <v>-120.7</v>
      </c>
      <c r="O30" s="260">
        <v>-115</v>
      </c>
      <c r="P30" s="260">
        <v>-113.4</v>
      </c>
      <c r="Q30" s="169">
        <f>'Earnings Model (adjusted)'!Q30-'Earnings Model'!Q30</f>
        <v>0</v>
      </c>
      <c r="R30" s="169">
        <f>'Earnings Model (adjusted)'!R30-'Earnings Model'!R30</f>
        <v>0</v>
      </c>
      <c r="S30" s="169">
        <f>'Earnings Model (adjusted)'!S30-'Earnings Model'!S30</f>
        <v>0</v>
      </c>
      <c r="T30" s="169">
        <f>'Earnings Model (adjusted)'!T30-'Earnings Model'!T30</f>
        <v>0</v>
      </c>
      <c r="U30" s="169">
        <f>'Earnings Model (adjusted)'!U30-'Earnings Model'!U30</f>
        <v>0</v>
      </c>
      <c r="V30" s="169">
        <f>'Earnings Model (adjusted)'!V30-'Earnings Model'!V30</f>
        <v>0</v>
      </c>
      <c r="W30" s="169">
        <f>'Earnings Model (adjusted)'!W30-'Earnings Model'!W30</f>
        <v>0</v>
      </c>
      <c r="X30" s="169">
        <f>'Earnings Model (adjusted)'!X30-'Earnings Model'!X30</f>
        <v>0</v>
      </c>
      <c r="Y30" s="169">
        <f>'Earnings Model (adjusted)'!Y30-'Earnings Model'!Y30</f>
        <v>0</v>
      </c>
      <c r="Z30" s="169">
        <f>'Earnings Model (adjusted)'!Z30-'Earnings Model'!Z30</f>
        <v>0</v>
      </c>
      <c r="AA30" s="169">
        <f>'Earnings Model (adjusted)'!AA30-'Earnings Model'!AA30</f>
        <v>0</v>
      </c>
      <c r="AB30" s="169">
        <f>'Earnings Model (adjusted)'!AB30-'Earnings Model'!AB30</f>
        <v>0</v>
      </c>
      <c r="AC30" s="169">
        <f>'Earnings Model (adjusted)'!AC30-'Earnings Model'!AC30</f>
        <v>0</v>
      </c>
      <c r="AD30" s="169">
        <f>'Earnings Model (adjusted)'!AD30-'Earnings Model'!AD30</f>
        <v>0</v>
      </c>
      <c r="AE30" s="169">
        <f>'Earnings Model (adjusted)'!AE30-'Earnings Model'!AE30</f>
        <v>0</v>
      </c>
      <c r="AF30" s="169">
        <f>'Earnings Model (adjusted)'!AF30-'Earnings Model'!AF30</f>
        <v>0</v>
      </c>
      <c r="AG30" s="169">
        <f>'Earnings Model (adjusted)'!AG30-'Earnings Model'!AG30</f>
        <v>0</v>
      </c>
      <c r="AH30" s="169">
        <f>'Earnings Model (adjusted)'!AH30-'Earnings Model'!AH30</f>
        <v>0</v>
      </c>
      <c r="AI30" s="169">
        <f>'Earnings Model (adjusted)'!AI30-'Earnings Model'!AI30</f>
        <v>0</v>
      </c>
      <c r="AJ30" s="169">
        <f>'Earnings Model (adjusted)'!AJ30-'Earnings Model'!AJ30</f>
        <v>0</v>
      </c>
      <c r="AK30" s="169">
        <f>'Earnings Model (adjusted)'!AK30-'Earnings Model'!AK30</f>
        <v>0</v>
      </c>
      <c r="AL30" s="169">
        <f>'Earnings Model (adjusted)'!AL30-'Earnings Model'!AL30</f>
        <v>0</v>
      </c>
      <c r="AM30" s="169">
        <f>'Earnings Model (adjusted)'!AM30-'Earnings Model'!AM30</f>
        <v>0</v>
      </c>
      <c r="AN30" s="169">
        <f>'Earnings Model (adjusted)'!AN30-'Earnings Model'!AN30</f>
        <v>0</v>
      </c>
      <c r="AO30" s="169">
        <f>'Earnings Model (adjusted)'!AO30-'Earnings Model'!AO30</f>
        <v>0</v>
      </c>
      <c r="AP30" s="169">
        <f>'Earnings Model (adjusted)'!AP30-'Earnings Model'!AP30</f>
        <v>0</v>
      </c>
      <c r="AQ30" s="169">
        <f>'Earnings Model (adjusted)'!AQ30-'Earnings Model'!AQ30</f>
        <v>0</v>
      </c>
    </row>
    <row r="31" spans="1:43" x14ac:dyDescent="0.25">
      <c r="A31" s="254"/>
      <c r="B31" s="591" t="s">
        <v>67</v>
      </c>
      <c r="C31" s="592"/>
      <c r="D31" s="259">
        <f t="shared" ref="D31:P31" si="12">D25+D29+D30+D28</f>
        <v>965.50000000000045</v>
      </c>
      <c r="E31" s="259">
        <f t="shared" si="12"/>
        <v>819.99999999999966</v>
      </c>
      <c r="F31" s="259">
        <f t="shared" si="12"/>
        <v>1676.900000000001</v>
      </c>
      <c r="G31" s="259">
        <f t="shared" si="12"/>
        <v>1003.8000000000011</v>
      </c>
      <c r="H31" s="451">
        <f t="shared" si="12"/>
        <v>4466.2000000000053</v>
      </c>
      <c r="I31" s="259">
        <f t="shared" si="12"/>
        <v>1143.7999999999988</v>
      </c>
      <c r="J31" s="259">
        <f t="shared" si="12"/>
        <v>390.19999999999908</v>
      </c>
      <c r="K31" s="259">
        <f t="shared" si="12"/>
        <v>-811.9999999999992</v>
      </c>
      <c r="L31" s="171">
        <f t="shared" si="12"/>
        <v>442.40000000000043</v>
      </c>
      <c r="M31" s="172">
        <f t="shared" si="12"/>
        <v>1164.4000000000044</v>
      </c>
      <c r="N31" s="171">
        <f t="shared" si="12"/>
        <v>808.30000000000018</v>
      </c>
      <c r="O31" s="259">
        <f t="shared" si="12"/>
        <v>889.9</v>
      </c>
      <c r="P31" s="259">
        <f t="shared" si="12"/>
        <v>1411.2999999999988</v>
      </c>
      <c r="Q31" s="169">
        <f>'Earnings Model (adjusted)'!Q31-'Earnings Model'!Q31</f>
        <v>46.089911209723141</v>
      </c>
      <c r="R31" s="169">
        <f>'Earnings Model (adjusted)'!R31-'Earnings Model'!R31</f>
        <v>46.089911209721322</v>
      </c>
      <c r="S31" s="169">
        <f>'Earnings Model (adjusted)'!S31-'Earnings Model'!S31</f>
        <v>109.80025548668414</v>
      </c>
      <c r="T31" s="169">
        <f>'Earnings Model (adjusted)'!T31-'Earnings Model'!T31</f>
        <v>105.38654966133845</v>
      </c>
      <c r="U31" s="169">
        <f>'Earnings Model (adjusted)'!U31-'Earnings Model'!U31</f>
        <v>112.44017834969964</v>
      </c>
      <c r="V31" s="169">
        <f>'Earnings Model (adjusted)'!V31-'Earnings Model'!V31</f>
        <v>80.771110263499622</v>
      </c>
      <c r="W31" s="169">
        <f>'Earnings Model (adjusted)'!W31-'Earnings Model'!W31</f>
        <v>408.39809376121684</v>
      </c>
      <c r="X31" s="169">
        <f>'Earnings Model (adjusted)'!X31-'Earnings Model'!X31</f>
        <v>109.30853019934784</v>
      </c>
      <c r="Y31" s="169">
        <f>'Earnings Model (adjusted)'!Y31-'Earnings Model'!Y31</f>
        <v>107.26137248313739</v>
      </c>
      <c r="Z31" s="169">
        <f>'Earnings Model (adjusted)'!Z31-'Earnings Model'!Z31</f>
        <v>106.34031740798082</v>
      </c>
      <c r="AA31" s="169">
        <f>'Earnings Model (adjusted)'!AA31-'Earnings Model'!AA31</f>
        <v>104.51152340810381</v>
      </c>
      <c r="AB31" s="169">
        <f>'Earnings Model (adjusted)'!AB31-'Earnings Model'!AB31</f>
        <v>427.42174349857396</v>
      </c>
      <c r="AC31" s="169">
        <f>'Earnings Model (adjusted)'!AC31-'Earnings Model'!AC31</f>
        <v>113.2825756230659</v>
      </c>
      <c r="AD31" s="169">
        <f>'Earnings Model (adjusted)'!AD31-'Earnings Model'!AD31</f>
        <v>110.98510041673217</v>
      </c>
      <c r="AE31" s="169">
        <f>'Earnings Model (adjusted)'!AE31-'Earnings Model'!AE31</f>
        <v>103.45353349865945</v>
      </c>
      <c r="AF31" s="169">
        <f>'Earnings Model (adjusted)'!AF31-'Earnings Model'!AF31</f>
        <v>95.322430645036548</v>
      </c>
      <c r="AG31" s="169">
        <f>'Earnings Model (adjusted)'!AG31-'Earnings Model'!AG31</f>
        <v>423.04364018349224</v>
      </c>
      <c r="AH31" s="169">
        <f>'Earnings Model (adjusted)'!AH31-'Earnings Model'!AH31</f>
        <v>138.04334861407801</v>
      </c>
      <c r="AI31" s="169">
        <f>'Earnings Model (adjusted)'!AI31-'Earnings Model'!AI31</f>
        <v>135.13617167014377</v>
      </c>
      <c r="AJ31" s="169">
        <f>'Earnings Model (adjusted)'!AJ31-'Earnings Model'!AJ31</f>
        <v>122.43010323088947</v>
      </c>
      <c r="AK31" s="169">
        <f>'Earnings Model (adjusted)'!AK31-'Earnings Model'!AK31</f>
        <v>113.53787609069332</v>
      </c>
      <c r="AL31" s="169">
        <f>'Earnings Model (adjusted)'!AL31-'Earnings Model'!AL31</f>
        <v>509.14749960580139</v>
      </c>
      <c r="AM31" s="169">
        <f>'Earnings Model (adjusted)'!AM31-'Earnings Model'!AM31</f>
        <v>143.53607557308783</v>
      </c>
      <c r="AN31" s="169">
        <f>'Earnings Model (adjusted)'!AN31-'Earnings Model'!AN31</f>
        <v>140.46404516183816</v>
      </c>
      <c r="AO31" s="169">
        <f>'Earnings Model (adjusted)'!AO31-'Earnings Model'!AO31</f>
        <v>126.38623201090331</v>
      </c>
      <c r="AP31" s="169">
        <f>'Earnings Model (adjusted)'!AP31-'Earnings Model'!AP31</f>
        <v>116.94187923863501</v>
      </c>
      <c r="AQ31" s="169">
        <f>'Earnings Model (adjusted)'!AQ31-'Earnings Model'!AQ31</f>
        <v>527.32823198446658</v>
      </c>
    </row>
    <row r="32" spans="1:43" ht="17.25" x14ac:dyDescent="0.4">
      <c r="A32" s="254"/>
      <c r="B32" s="593" t="s">
        <v>34</v>
      </c>
      <c r="C32" s="594"/>
      <c r="D32" s="260">
        <v>205.1</v>
      </c>
      <c r="E32" s="260">
        <v>161.19999999999999</v>
      </c>
      <c r="F32" s="260">
        <v>303.7</v>
      </c>
      <c r="G32" s="260">
        <f t="shared" ref="G32" si="13">H32-F32-E32-D32</f>
        <v>201.60000000000011</v>
      </c>
      <c r="H32" s="453">
        <v>871.6</v>
      </c>
      <c r="I32" s="260">
        <v>258.5</v>
      </c>
      <c r="J32" s="260">
        <v>65.400000000000006</v>
      </c>
      <c r="K32" s="260">
        <v>-133.9</v>
      </c>
      <c r="L32" s="173">
        <v>49.7</v>
      </c>
      <c r="M32" s="174">
        <f>SUM(I32:L32)</f>
        <v>239.7</v>
      </c>
      <c r="N32" s="173">
        <v>186.1</v>
      </c>
      <c r="O32" s="260">
        <v>230.5</v>
      </c>
      <c r="P32" s="260">
        <v>257.10000000000002</v>
      </c>
      <c r="Q32" s="169">
        <f>'Earnings Model (adjusted)'!Q32-'Earnings Model'!Q32</f>
        <v>9.5636565760175358</v>
      </c>
      <c r="R32" s="169">
        <f>'Earnings Model (adjusted)'!R32-'Earnings Model'!R32</f>
        <v>9.5636565760175927</v>
      </c>
      <c r="S32" s="169">
        <f>'Earnings Model (adjusted)'!S32-'Earnings Model'!S32</f>
        <v>23.945358889132137</v>
      </c>
      <c r="T32" s="169">
        <f>'Earnings Model (adjusted)'!T32-'Earnings Model'!T32</f>
        <v>22.662564141461218</v>
      </c>
      <c r="U32" s="169">
        <f>'Earnings Model (adjusted)'!U32-'Earnings Model'!U32</f>
        <v>22.943236894326105</v>
      </c>
      <c r="V32" s="169">
        <f>'Earnings Model (adjusted)'!V32-'Earnings Model'!V32</f>
        <v>16.922950271921195</v>
      </c>
      <c r="W32" s="169">
        <f>'Earnings Model (adjusted)'!W32-'Earnings Model'!W32</f>
        <v>86.474110196840684</v>
      </c>
      <c r="X32" s="169">
        <f>'Earnings Model (adjusted)'!X32-'Earnings Model'!X32</f>
        <v>23.137585791317179</v>
      </c>
      <c r="Y32" s="169">
        <f>'Earnings Model (adjusted)'!Y32-'Earnings Model'!Y32</f>
        <v>22.532404930933581</v>
      </c>
      <c r="Z32" s="169">
        <f>'Earnings Model (adjusted)'!Z32-'Earnings Model'!Z32</f>
        <v>22.206732390239438</v>
      </c>
      <c r="AA32" s="169">
        <f>'Earnings Model (adjusted)'!AA32-'Earnings Model'!AA32</f>
        <v>21.949686556185782</v>
      </c>
      <c r="AB32" s="169">
        <f>'Earnings Model (adjusted)'!AB32-'Earnings Model'!AB32</f>
        <v>89.826409668675979</v>
      </c>
      <c r="AC32" s="169">
        <f>'Earnings Model (adjusted)'!AC32-'Earnings Model'!AC32</f>
        <v>23.806080469538529</v>
      </c>
      <c r="AD32" s="169">
        <f>'Earnings Model (adjusted)'!AD32-'Earnings Model'!AD32</f>
        <v>23.280971669493226</v>
      </c>
      <c r="AE32" s="169">
        <f>'Earnings Model (adjusted)'!AE32-'Earnings Model'!AE32</f>
        <v>21.693252249231705</v>
      </c>
      <c r="AF32" s="169">
        <f>'Earnings Model (adjusted)'!AF32-'Earnings Model'!AF32</f>
        <v>20.008818713598544</v>
      </c>
      <c r="AG32" s="169">
        <f>'Earnings Model (adjusted)'!AG32-'Earnings Model'!AG32</f>
        <v>88.78912310186206</v>
      </c>
      <c r="AH32" s="169">
        <f>'Earnings Model (adjusted)'!AH32-'Earnings Model'!AH32</f>
        <v>28.972258802850149</v>
      </c>
      <c r="AI32" s="169">
        <f>'Earnings Model (adjusted)'!AI32-'Earnings Model'!AI32</f>
        <v>28.352991754566119</v>
      </c>
      <c r="AJ32" s="169">
        <f>'Earnings Model (adjusted)'!AJ32-'Earnings Model'!AJ32</f>
        <v>25.688468141432168</v>
      </c>
      <c r="AK32" s="169">
        <f>'Earnings Model (adjusted)'!AK32-'Earnings Model'!AK32</f>
        <v>23.826398128093558</v>
      </c>
      <c r="AL32" s="169">
        <f>'Earnings Model (adjusted)'!AL32-'Earnings Model'!AL32</f>
        <v>106.84011682694199</v>
      </c>
      <c r="AM32" s="169">
        <f>'Earnings Model (adjusted)'!AM32-'Earnings Model'!AM32</f>
        <v>30.119760493239767</v>
      </c>
      <c r="AN32" s="169">
        <f>'Earnings Model (adjusted)'!AN32-'Earnings Model'!AN32</f>
        <v>29.473825591585751</v>
      </c>
      <c r="AO32" s="169">
        <f>'Earnings Model (adjusted)'!AO32-'Earnings Model'!AO32</f>
        <v>26.520525056935298</v>
      </c>
      <c r="AP32" s="169">
        <f>'Earnings Model (adjusted)'!AP32-'Earnings Model'!AP32</f>
        <v>24.539206205153107</v>
      </c>
      <c r="AQ32" s="169">
        <f>'Earnings Model (adjusted)'!AQ32-'Earnings Model'!AQ32</f>
        <v>110.65331734691381</v>
      </c>
    </row>
    <row r="33" spans="1:43" x14ac:dyDescent="0.25">
      <c r="A33" s="307"/>
      <c r="B33" s="591" t="s">
        <v>148</v>
      </c>
      <c r="C33" s="592"/>
      <c r="D33" s="259">
        <f t="shared" ref="D33:P33" si="14">+D31-D32</f>
        <v>760.40000000000043</v>
      </c>
      <c r="E33" s="259">
        <f t="shared" si="14"/>
        <v>658.79999999999973</v>
      </c>
      <c r="F33" s="259">
        <f t="shared" si="14"/>
        <v>1373.200000000001</v>
      </c>
      <c r="G33" s="259">
        <f t="shared" si="14"/>
        <v>802.20000000000095</v>
      </c>
      <c r="H33" s="451">
        <f t="shared" si="14"/>
        <v>3594.6000000000054</v>
      </c>
      <c r="I33" s="259">
        <f t="shared" si="14"/>
        <v>885.29999999999882</v>
      </c>
      <c r="J33" s="259">
        <f t="shared" si="14"/>
        <v>324.79999999999905</v>
      </c>
      <c r="K33" s="259">
        <f t="shared" si="14"/>
        <v>-678.09999999999923</v>
      </c>
      <c r="L33" s="171">
        <f t="shared" si="14"/>
        <v>392.70000000000044</v>
      </c>
      <c r="M33" s="172">
        <f t="shared" si="14"/>
        <v>924.70000000000437</v>
      </c>
      <c r="N33" s="171">
        <f t="shared" si="14"/>
        <v>622.20000000000016</v>
      </c>
      <c r="O33" s="259">
        <f t="shared" si="14"/>
        <v>659.4</v>
      </c>
      <c r="P33" s="259">
        <f t="shared" si="14"/>
        <v>1154.1999999999989</v>
      </c>
      <c r="Q33" s="169">
        <f>'Earnings Model (adjusted)'!Q33-'Earnings Model'!Q33</f>
        <v>36.526254633705548</v>
      </c>
      <c r="R33" s="169">
        <f>'Earnings Model (adjusted)'!R33-'Earnings Model'!R33</f>
        <v>36.526254633703957</v>
      </c>
      <c r="S33" s="169">
        <f>'Earnings Model (adjusted)'!S33-'Earnings Model'!S33</f>
        <v>85.854896597551942</v>
      </c>
      <c r="T33" s="169">
        <f>'Earnings Model (adjusted)'!T33-'Earnings Model'!T33</f>
        <v>82.72398551987726</v>
      </c>
      <c r="U33" s="169">
        <f>'Earnings Model (adjusted)'!U33-'Earnings Model'!U33</f>
        <v>89.496941455373644</v>
      </c>
      <c r="V33" s="169">
        <f>'Earnings Model (adjusted)'!V33-'Earnings Model'!V33</f>
        <v>63.848159991578314</v>
      </c>
      <c r="W33" s="169">
        <f>'Earnings Model (adjusted)'!W33-'Earnings Model'!W33</f>
        <v>321.9239835643757</v>
      </c>
      <c r="X33" s="169">
        <f>'Earnings Model (adjusted)'!X33-'Earnings Model'!X33</f>
        <v>86.170944408030664</v>
      </c>
      <c r="Y33" s="169">
        <f>'Earnings Model (adjusted)'!Y33-'Earnings Model'!Y33</f>
        <v>84.728967552203812</v>
      </c>
      <c r="Z33" s="169">
        <f>'Earnings Model (adjusted)'!Z33-'Earnings Model'!Z33</f>
        <v>84.133585017741325</v>
      </c>
      <c r="AA33" s="169">
        <f>'Earnings Model (adjusted)'!AA33-'Earnings Model'!AA33</f>
        <v>82.561836851918088</v>
      </c>
      <c r="AB33" s="169">
        <f>'Earnings Model (adjusted)'!AB33-'Earnings Model'!AB33</f>
        <v>337.59533382989866</v>
      </c>
      <c r="AC33" s="169">
        <f>'Earnings Model (adjusted)'!AC33-'Earnings Model'!AC33</f>
        <v>89.476495153527367</v>
      </c>
      <c r="AD33" s="169">
        <f>'Earnings Model (adjusted)'!AD33-'Earnings Model'!AD33</f>
        <v>87.704128747238883</v>
      </c>
      <c r="AE33" s="169">
        <f>'Earnings Model (adjusted)'!AE33-'Earnings Model'!AE33</f>
        <v>81.760281249427635</v>
      </c>
      <c r="AF33" s="169">
        <f>'Earnings Model (adjusted)'!AF33-'Earnings Model'!AF33</f>
        <v>75.31361193143789</v>
      </c>
      <c r="AG33" s="169">
        <f>'Earnings Model (adjusted)'!AG33-'Earnings Model'!AG33</f>
        <v>334.25451708163018</v>
      </c>
      <c r="AH33" s="169">
        <f>'Earnings Model (adjusted)'!AH33-'Earnings Model'!AH33</f>
        <v>109.07108981122792</v>
      </c>
      <c r="AI33" s="169">
        <f>'Earnings Model (adjusted)'!AI33-'Earnings Model'!AI33</f>
        <v>106.78317991557765</v>
      </c>
      <c r="AJ33" s="169">
        <f>'Earnings Model (adjusted)'!AJ33-'Earnings Model'!AJ33</f>
        <v>96.741635089457304</v>
      </c>
      <c r="AK33" s="169">
        <f>'Earnings Model (adjusted)'!AK33-'Earnings Model'!AK33</f>
        <v>89.711477962599929</v>
      </c>
      <c r="AL33" s="169">
        <f>'Earnings Model (adjusted)'!AL33-'Earnings Model'!AL33</f>
        <v>402.30738277885939</v>
      </c>
      <c r="AM33" s="169">
        <f>'Earnings Model (adjusted)'!AM33-'Earnings Model'!AM33</f>
        <v>113.41631507984812</v>
      </c>
      <c r="AN33" s="169">
        <f>'Earnings Model (adjusted)'!AN33-'Earnings Model'!AN33</f>
        <v>110.99021957025252</v>
      </c>
      <c r="AO33" s="169">
        <f>'Earnings Model (adjusted)'!AO33-'Earnings Model'!AO33</f>
        <v>99.865706953967901</v>
      </c>
      <c r="AP33" s="169">
        <f>'Earnings Model (adjusted)'!AP33-'Earnings Model'!AP33</f>
        <v>92.40267303348196</v>
      </c>
      <c r="AQ33" s="169">
        <f>'Earnings Model (adjusted)'!AQ33-'Earnings Model'!AQ33</f>
        <v>416.67491463755323</v>
      </c>
    </row>
    <row r="34" spans="1:43" ht="17.25" x14ac:dyDescent="0.4">
      <c r="A34" s="307"/>
      <c r="B34" s="554" t="s">
        <v>149</v>
      </c>
      <c r="C34" s="540"/>
      <c r="D34" s="260">
        <v>-0.2</v>
      </c>
      <c r="E34" s="260">
        <v>-4.4000000000000004</v>
      </c>
      <c r="F34" s="260">
        <v>0.4</v>
      </c>
      <c r="G34" s="260">
        <f t="shared" ref="G34" si="15">H34-F34-E34-D34</f>
        <v>-0.39999999999999963</v>
      </c>
      <c r="H34" s="453">
        <v>-4.5999999999999996</v>
      </c>
      <c r="I34" s="260">
        <v>-0.4</v>
      </c>
      <c r="J34" s="260">
        <v>-3.6</v>
      </c>
      <c r="K34" s="260">
        <v>0.3</v>
      </c>
      <c r="L34" s="260">
        <v>0.1</v>
      </c>
      <c r="M34" s="453">
        <f>SUM(I34:L34)</f>
        <v>-3.6</v>
      </c>
      <c r="N34" s="260">
        <v>0</v>
      </c>
      <c r="O34" s="260">
        <v>0</v>
      </c>
      <c r="P34" s="260">
        <v>0.8</v>
      </c>
      <c r="Q34" s="169">
        <f>'Earnings Model (adjusted)'!Q34-'Earnings Model'!Q34</f>
        <v>0</v>
      </c>
      <c r="R34" s="169">
        <f>'Earnings Model (adjusted)'!R34-'Earnings Model'!R34</f>
        <v>0</v>
      </c>
      <c r="S34" s="169">
        <f>'Earnings Model (adjusted)'!S34-'Earnings Model'!S34</f>
        <v>0</v>
      </c>
      <c r="T34" s="169">
        <f>'Earnings Model (adjusted)'!T34-'Earnings Model'!T34</f>
        <v>0</v>
      </c>
      <c r="U34" s="169">
        <f>'Earnings Model (adjusted)'!U34-'Earnings Model'!U34</f>
        <v>0</v>
      </c>
      <c r="V34" s="169">
        <f>'Earnings Model (adjusted)'!V34-'Earnings Model'!V34</f>
        <v>0</v>
      </c>
      <c r="W34" s="169">
        <f>'Earnings Model (adjusted)'!W34-'Earnings Model'!W34</f>
        <v>0</v>
      </c>
      <c r="X34" s="169">
        <f>'Earnings Model (adjusted)'!X34-'Earnings Model'!X34</f>
        <v>0</v>
      </c>
      <c r="Y34" s="169">
        <f>'Earnings Model (adjusted)'!Y34-'Earnings Model'!Y34</f>
        <v>0</v>
      </c>
      <c r="Z34" s="169">
        <f>'Earnings Model (adjusted)'!Z34-'Earnings Model'!Z34</f>
        <v>0</v>
      </c>
      <c r="AA34" s="169">
        <f>'Earnings Model (adjusted)'!AA34-'Earnings Model'!AA34</f>
        <v>0</v>
      </c>
      <c r="AB34" s="169">
        <f>'Earnings Model (adjusted)'!AB34-'Earnings Model'!AB34</f>
        <v>0</v>
      </c>
      <c r="AC34" s="169">
        <f>'Earnings Model (adjusted)'!AC34-'Earnings Model'!AC34</f>
        <v>0</v>
      </c>
      <c r="AD34" s="169">
        <f>'Earnings Model (adjusted)'!AD34-'Earnings Model'!AD34</f>
        <v>0</v>
      </c>
      <c r="AE34" s="169">
        <f>'Earnings Model (adjusted)'!AE34-'Earnings Model'!AE34</f>
        <v>0</v>
      </c>
      <c r="AF34" s="169">
        <f>'Earnings Model (adjusted)'!AF34-'Earnings Model'!AF34</f>
        <v>0</v>
      </c>
      <c r="AG34" s="169">
        <f>'Earnings Model (adjusted)'!AG34-'Earnings Model'!AG34</f>
        <v>0</v>
      </c>
      <c r="AH34" s="169">
        <f>'Earnings Model (adjusted)'!AH34-'Earnings Model'!AH34</f>
        <v>0</v>
      </c>
      <c r="AI34" s="169">
        <f>'Earnings Model (adjusted)'!AI34-'Earnings Model'!AI34</f>
        <v>0</v>
      </c>
      <c r="AJ34" s="169">
        <f>'Earnings Model (adjusted)'!AJ34-'Earnings Model'!AJ34</f>
        <v>0</v>
      </c>
      <c r="AK34" s="169">
        <f>'Earnings Model (adjusted)'!AK34-'Earnings Model'!AK34</f>
        <v>0</v>
      </c>
      <c r="AL34" s="169">
        <f>'Earnings Model (adjusted)'!AL34-'Earnings Model'!AL34</f>
        <v>0</v>
      </c>
      <c r="AM34" s="169">
        <f>'Earnings Model (adjusted)'!AM34-'Earnings Model'!AM34</f>
        <v>0</v>
      </c>
      <c r="AN34" s="169">
        <f>'Earnings Model (adjusted)'!AN34-'Earnings Model'!AN34</f>
        <v>0</v>
      </c>
      <c r="AO34" s="169">
        <f>'Earnings Model (adjusted)'!AO34-'Earnings Model'!AO34</f>
        <v>0</v>
      </c>
      <c r="AP34" s="169">
        <f>'Earnings Model (adjusted)'!AP34-'Earnings Model'!AP34</f>
        <v>0</v>
      </c>
      <c r="AQ34" s="169">
        <f>'Earnings Model (adjusted)'!AQ34-'Earnings Model'!AQ34</f>
        <v>0</v>
      </c>
    </row>
    <row r="35" spans="1:43" s="20" customFormat="1" x14ac:dyDescent="0.25">
      <c r="A35" s="324"/>
      <c r="B35" s="553" t="s">
        <v>107</v>
      </c>
      <c r="C35" s="542"/>
      <c r="D35" s="259">
        <f t="shared" ref="D35:P35" si="16">+D33-D34</f>
        <v>760.60000000000048</v>
      </c>
      <c r="E35" s="259">
        <f t="shared" si="16"/>
        <v>663.1999999999997</v>
      </c>
      <c r="F35" s="259">
        <f t="shared" si="16"/>
        <v>1372.8000000000009</v>
      </c>
      <c r="G35" s="259">
        <f t="shared" si="16"/>
        <v>802.60000000000093</v>
      </c>
      <c r="H35" s="451">
        <f t="shared" si="16"/>
        <v>3599.2000000000053</v>
      </c>
      <c r="I35" s="259">
        <f t="shared" si="16"/>
        <v>885.69999999999879</v>
      </c>
      <c r="J35" s="259">
        <f t="shared" si="16"/>
        <v>328.39999999999907</v>
      </c>
      <c r="K35" s="259">
        <f t="shared" si="16"/>
        <v>-678.39999999999918</v>
      </c>
      <c r="L35" s="171">
        <f t="shared" si="16"/>
        <v>392.60000000000042</v>
      </c>
      <c r="M35" s="172">
        <f t="shared" si="16"/>
        <v>928.30000000000439</v>
      </c>
      <c r="N35" s="171">
        <f t="shared" si="16"/>
        <v>622.20000000000016</v>
      </c>
      <c r="O35" s="259">
        <f t="shared" si="16"/>
        <v>659.4</v>
      </c>
      <c r="P35" s="259">
        <f t="shared" si="16"/>
        <v>1153.399999999999</v>
      </c>
      <c r="Q35" s="169">
        <f>'Earnings Model (adjusted)'!Q35-'Earnings Model'!Q35</f>
        <v>36.526254633705548</v>
      </c>
      <c r="R35" s="169">
        <f>'Earnings Model (adjusted)'!R35-'Earnings Model'!R35</f>
        <v>36.526254633703957</v>
      </c>
      <c r="S35" s="169">
        <f>'Earnings Model (adjusted)'!S35-'Earnings Model'!S35</f>
        <v>85.854896597552056</v>
      </c>
      <c r="T35" s="169">
        <f>'Earnings Model (adjusted)'!T35-'Earnings Model'!T35</f>
        <v>82.72398551987726</v>
      </c>
      <c r="U35" s="169">
        <f>'Earnings Model (adjusted)'!U35-'Earnings Model'!U35</f>
        <v>89.496941455373644</v>
      </c>
      <c r="V35" s="169">
        <f>'Earnings Model (adjusted)'!V35-'Earnings Model'!V35</f>
        <v>63.848159991578314</v>
      </c>
      <c r="W35" s="169">
        <f>'Earnings Model (adjusted)'!W35-'Earnings Model'!W35</f>
        <v>321.9239835643757</v>
      </c>
      <c r="X35" s="169">
        <f>'Earnings Model (adjusted)'!X35-'Earnings Model'!X35</f>
        <v>86.170944408030664</v>
      </c>
      <c r="Y35" s="169">
        <f>'Earnings Model (adjusted)'!Y35-'Earnings Model'!Y35</f>
        <v>84.728967552203812</v>
      </c>
      <c r="Z35" s="169">
        <f>'Earnings Model (adjusted)'!Z35-'Earnings Model'!Z35</f>
        <v>84.133585017741325</v>
      </c>
      <c r="AA35" s="169">
        <f>'Earnings Model (adjusted)'!AA35-'Earnings Model'!AA35</f>
        <v>82.561836851918088</v>
      </c>
      <c r="AB35" s="169">
        <f>'Earnings Model (adjusted)'!AB35-'Earnings Model'!AB35</f>
        <v>337.59533382989866</v>
      </c>
      <c r="AC35" s="169">
        <f>'Earnings Model (adjusted)'!AC35-'Earnings Model'!AC35</f>
        <v>89.476495153527367</v>
      </c>
      <c r="AD35" s="169">
        <f>'Earnings Model (adjusted)'!AD35-'Earnings Model'!AD35</f>
        <v>87.704128747238883</v>
      </c>
      <c r="AE35" s="169">
        <f>'Earnings Model (adjusted)'!AE35-'Earnings Model'!AE35</f>
        <v>81.760281249427635</v>
      </c>
      <c r="AF35" s="169">
        <f>'Earnings Model (adjusted)'!AF35-'Earnings Model'!AF35</f>
        <v>75.31361193143789</v>
      </c>
      <c r="AG35" s="169">
        <f>'Earnings Model (adjusted)'!AG35-'Earnings Model'!AG35</f>
        <v>334.25451708163018</v>
      </c>
      <c r="AH35" s="169">
        <f>'Earnings Model (adjusted)'!AH35-'Earnings Model'!AH35</f>
        <v>109.07108981122792</v>
      </c>
      <c r="AI35" s="169">
        <f>'Earnings Model (adjusted)'!AI35-'Earnings Model'!AI35</f>
        <v>106.78317991557765</v>
      </c>
      <c r="AJ35" s="169">
        <f>'Earnings Model (adjusted)'!AJ35-'Earnings Model'!AJ35</f>
        <v>96.741635089457304</v>
      </c>
      <c r="AK35" s="169">
        <f>'Earnings Model (adjusted)'!AK35-'Earnings Model'!AK35</f>
        <v>89.711477962599929</v>
      </c>
      <c r="AL35" s="169">
        <f>'Earnings Model (adjusted)'!AL35-'Earnings Model'!AL35</f>
        <v>402.30738277885939</v>
      </c>
      <c r="AM35" s="169">
        <f>'Earnings Model (adjusted)'!AM35-'Earnings Model'!AM35</f>
        <v>113.41631507984812</v>
      </c>
      <c r="AN35" s="169">
        <f>'Earnings Model (adjusted)'!AN35-'Earnings Model'!AN35</f>
        <v>110.99021957025252</v>
      </c>
      <c r="AO35" s="169">
        <f>'Earnings Model (adjusted)'!AO35-'Earnings Model'!AO35</f>
        <v>99.865706953967901</v>
      </c>
      <c r="AP35" s="169">
        <f>'Earnings Model (adjusted)'!AP35-'Earnings Model'!AP35</f>
        <v>92.40267303348196</v>
      </c>
      <c r="AQ35" s="169">
        <f>'Earnings Model (adjusted)'!AQ35-'Earnings Model'!AQ35</f>
        <v>416.67491463755323</v>
      </c>
    </row>
    <row r="36" spans="1:43" s="20" customFormat="1" ht="17.25" x14ac:dyDescent="0.4">
      <c r="A36" s="324"/>
      <c r="B36" s="222" t="s">
        <v>196</v>
      </c>
      <c r="C36" s="219"/>
      <c r="D36" s="265">
        <f t="shared" ref="D36:P36" si="17">-D180-D181</f>
        <v>41.449999999998646</v>
      </c>
      <c r="E36" s="265">
        <f t="shared" si="17"/>
        <v>-54.179999999999545</v>
      </c>
      <c r="F36" s="265">
        <f t="shared" si="17"/>
        <v>-544.16000000000076</v>
      </c>
      <c r="G36" s="265">
        <f t="shared" si="17"/>
        <v>-30</v>
      </c>
      <c r="H36" s="458">
        <f>SUM(D36:G36)</f>
        <v>-586.89000000000169</v>
      </c>
      <c r="I36" s="265">
        <f t="shared" si="17"/>
        <v>-11</v>
      </c>
      <c r="J36" s="265">
        <f t="shared" si="17"/>
        <v>-23</v>
      </c>
      <c r="K36" s="265">
        <f t="shared" si="17"/>
        <v>-35.055</v>
      </c>
      <c r="L36" s="226">
        <f>-L180-L181</f>
        <v>-50.810000000000372</v>
      </c>
      <c r="M36" s="227">
        <f>SUM(I36:L36)</f>
        <v>-119.86500000000038</v>
      </c>
      <c r="N36" s="265">
        <f t="shared" si="17"/>
        <v>-35.49</v>
      </c>
      <c r="O36" s="265">
        <f t="shared" si="17"/>
        <v>-11.847999999999999</v>
      </c>
      <c r="P36" s="265">
        <f t="shared" si="17"/>
        <v>-11.862</v>
      </c>
      <c r="Q36" s="169">
        <f>'Earnings Model (adjusted)'!Q36-'Earnings Model'!Q36</f>
        <v>0</v>
      </c>
      <c r="R36" s="169">
        <f>'Earnings Model (adjusted)'!R36-'Earnings Model'!R36</f>
        <v>0</v>
      </c>
      <c r="S36" s="169">
        <f>'Earnings Model (adjusted)'!S36-'Earnings Model'!S36</f>
        <v>0</v>
      </c>
      <c r="T36" s="169">
        <f>'Earnings Model (adjusted)'!T36-'Earnings Model'!T36</f>
        <v>0</v>
      </c>
      <c r="U36" s="169">
        <f>'Earnings Model (adjusted)'!U36-'Earnings Model'!U36</f>
        <v>0</v>
      </c>
      <c r="V36" s="169">
        <f>'Earnings Model (adjusted)'!V36-'Earnings Model'!V36</f>
        <v>0</v>
      </c>
      <c r="W36" s="169">
        <f>'Earnings Model (adjusted)'!W36-'Earnings Model'!W36</f>
        <v>0</v>
      </c>
      <c r="X36" s="169">
        <f>'Earnings Model (adjusted)'!X36-'Earnings Model'!X36</f>
        <v>0</v>
      </c>
      <c r="Y36" s="169">
        <f>'Earnings Model (adjusted)'!Y36-'Earnings Model'!Y36</f>
        <v>0</v>
      </c>
      <c r="Z36" s="169">
        <f>'Earnings Model (adjusted)'!Z36-'Earnings Model'!Z36</f>
        <v>0</v>
      </c>
      <c r="AA36" s="169">
        <f>'Earnings Model (adjusted)'!AA36-'Earnings Model'!AA36</f>
        <v>0</v>
      </c>
      <c r="AB36" s="169">
        <f>'Earnings Model (adjusted)'!AB36-'Earnings Model'!AB36</f>
        <v>0</v>
      </c>
      <c r="AC36" s="169">
        <f>'Earnings Model (adjusted)'!AC36-'Earnings Model'!AC36</f>
        <v>0</v>
      </c>
      <c r="AD36" s="169">
        <f>'Earnings Model (adjusted)'!AD36-'Earnings Model'!AD36</f>
        <v>0</v>
      </c>
      <c r="AE36" s="169">
        <f>'Earnings Model (adjusted)'!AE36-'Earnings Model'!AE36</f>
        <v>0</v>
      </c>
      <c r="AF36" s="169">
        <f>'Earnings Model (adjusted)'!AF36-'Earnings Model'!AF36</f>
        <v>0</v>
      </c>
      <c r="AG36" s="169">
        <f>'Earnings Model (adjusted)'!AG36-'Earnings Model'!AG36</f>
        <v>0</v>
      </c>
      <c r="AH36" s="169">
        <f>'Earnings Model (adjusted)'!AH36-'Earnings Model'!AH36</f>
        <v>0</v>
      </c>
      <c r="AI36" s="169">
        <f>'Earnings Model (adjusted)'!AI36-'Earnings Model'!AI36</f>
        <v>0</v>
      </c>
      <c r="AJ36" s="169">
        <f>'Earnings Model (adjusted)'!AJ36-'Earnings Model'!AJ36</f>
        <v>0</v>
      </c>
      <c r="AK36" s="169">
        <f>'Earnings Model (adjusted)'!AK36-'Earnings Model'!AK36</f>
        <v>0</v>
      </c>
      <c r="AL36" s="169">
        <f>'Earnings Model (adjusted)'!AL36-'Earnings Model'!AL36</f>
        <v>0</v>
      </c>
      <c r="AM36" s="169">
        <f>'Earnings Model (adjusted)'!AM36-'Earnings Model'!AM36</f>
        <v>0</v>
      </c>
      <c r="AN36" s="169">
        <f>'Earnings Model (adjusted)'!AN36-'Earnings Model'!AN36</f>
        <v>0</v>
      </c>
      <c r="AO36" s="169">
        <f>'Earnings Model (adjusted)'!AO36-'Earnings Model'!AO36</f>
        <v>0</v>
      </c>
      <c r="AP36" s="169">
        <f>'Earnings Model (adjusted)'!AP36-'Earnings Model'!AP36</f>
        <v>0</v>
      </c>
      <c r="AQ36" s="169">
        <f>'Earnings Model (adjusted)'!AQ36-'Earnings Model'!AQ36</f>
        <v>0</v>
      </c>
    </row>
    <row r="37" spans="1:43" s="20" customFormat="1" x14ac:dyDescent="0.25">
      <c r="A37" s="324"/>
      <c r="B37" s="220" t="s">
        <v>197</v>
      </c>
      <c r="C37" s="221"/>
      <c r="D37" s="264">
        <f t="shared" ref="D37:P37" si="18">+D27+D28+D29+D30-D32-D34+D36</f>
        <v>940.04999999999916</v>
      </c>
      <c r="E37" s="264">
        <f t="shared" si="18"/>
        <v>750.42000000000007</v>
      </c>
      <c r="F37" s="264">
        <f t="shared" si="18"/>
        <v>953.94</v>
      </c>
      <c r="G37" s="264">
        <f t="shared" si="18"/>
        <v>850.00000000000102</v>
      </c>
      <c r="H37" s="457">
        <f t="shared" si="18"/>
        <v>3494.4100000000039</v>
      </c>
      <c r="I37" s="264">
        <f t="shared" si="18"/>
        <v>946.2999999999987</v>
      </c>
      <c r="J37" s="264">
        <f t="shared" si="18"/>
        <v>372.19999999999902</v>
      </c>
      <c r="K37" s="264">
        <f t="shared" si="18"/>
        <v>-539.7749999999993</v>
      </c>
      <c r="L37" s="214">
        <f>+L27+L28+L29+L30-L32-L34+L36</f>
        <v>601.29</v>
      </c>
      <c r="M37" s="215">
        <f t="shared" si="18"/>
        <v>1380.0150000000035</v>
      </c>
      <c r="N37" s="264">
        <f t="shared" si="18"/>
        <v>721.61000000000024</v>
      </c>
      <c r="O37" s="264">
        <f t="shared" si="18"/>
        <v>735.75199999999995</v>
      </c>
      <c r="P37" s="264">
        <f t="shared" si="18"/>
        <v>1193.2379999999987</v>
      </c>
      <c r="Q37" s="169">
        <f>'Earnings Model (adjusted)'!Q37-'Earnings Model'!Q37</f>
        <v>36.526254633705548</v>
      </c>
      <c r="R37" s="169">
        <f>'Earnings Model (adjusted)'!R37-'Earnings Model'!R37</f>
        <v>36.526254633703957</v>
      </c>
      <c r="S37" s="169">
        <f>'Earnings Model (adjusted)'!S37-'Earnings Model'!S37</f>
        <v>85.854896597551942</v>
      </c>
      <c r="T37" s="169">
        <f>'Earnings Model (adjusted)'!T37-'Earnings Model'!T37</f>
        <v>82.723985519877374</v>
      </c>
      <c r="U37" s="169">
        <f>'Earnings Model (adjusted)'!U37-'Earnings Model'!U37</f>
        <v>89.496941455373417</v>
      </c>
      <c r="V37" s="169">
        <f>'Earnings Model (adjusted)'!V37-'Earnings Model'!V37</f>
        <v>63.848159991578314</v>
      </c>
      <c r="W37" s="169">
        <f>'Earnings Model (adjusted)'!W37-'Earnings Model'!W37</f>
        <v>321.9239835643757</v>
      </c>
      <c r="X37" s="169">
        <f>'Earnings Model (adjusted)'!X37-'Earnings Model'!X37</f>
        <v>86.170944408030664</v>
      </c>
      <c r="Y37" s="169">
        <f>'Earnings Model (adjusted)'!Y37-'Earnings Model'!Y37</f>
        <v>84.728967552203812</v>
      </c>
      <c r="Z37" s="169">
        <f>'Earnings Model (adjusted)'!Z37-'Earnings Model'!Z37</f>
        <v>84.133585017741325</v>
      </c>
      <c r="AA37" s="169">
        <f>'Earnings Model (adjusted)'!AA37-'Earnings Model'!AA37</f>
        <v>82.561836851918088</v>
      </c>
      <c r="AB37" s="169">
        <f>'Earnings Model (adjusted)'!AB37-'Earnings Model'!AB37</f>
        <v>337.59533382989775</v>
      </c>
      <c r="AC37" s="169">
        <f>'Earnings Model (adjusted)'!AC37-'Earnings Model'!AC37</f>
        <v>89.476495153527367</v>
      </c>
      <c r="AD37" s="169">
        <f>'Earnings Model (adjusted)'!AD37-'Earnings Model'!AD37</f>
        <v>87.704128747238883</v>
      </c>
      <c r="AE37" s="169">
        <f>'Earnings Model (adjusted)'!AE37-'Earnings Model'!AE37</f>
        <v>81.760281249427635</v>
      </c>
      <c r="AF37" s="169">
        <f>'Earnings Model (adjusted)'!AF37-'Earnings Model'!AF37</f>
        <v>75.313611931438345</v>
      </c>
      <c r="AG37" s="169">
        <f>'Earnings Model (adjusted)'!AG37-'Earnings Model'!AG37</f>
        <v>334.25451708163018</v>
      </c>
      <c r="AH37" s="169">
        <f>'Earnings Model (adjusted)'!AH37-'Earnings Model'!AH37</f>
        <v>109.07108981122792</v>
      </c>
      <c r="AI37" s="169">
        <f>'Earnings Model (adjusted)'!AI37-'Earnings Model'!AI37</f>
        <v>106.78317991557765</v>
      </c>
      <c r="AJ37" s="169">
        <f>'Earnings Model (adjusted)'!AJ37-'Earnings Model'!AJ37</f>
        <v>96.741635089457077</v>
      </c>
      <c r="AK37" s="169">
        <f>'Earnings Model (adjusted)'!AK37-'Earnings Model'!AK37</f>
        <v>89.711477962599929</v>
      </c>
      <c r="AL37" s="169">
        <f>'Earnings Model (adjusted)'!AL37-'Earnings Model'!AL37</f>
        <v>402.30738277885757</v>
      </c>
      <c r="AM37" s="169">
        <f>'Earnings Model (adjusted)'!AM37-'Earnings Model'!AM37</f>
        <v>113.4163150798488</v>
      </c>
      <c r="AN37" s="169">
        <f>'Earnings Model (adjusted)'!AN37-'Earnings Model'!AN37</f>
        <v>110.99021957025298</v>
      </c>
      <c r="AO37" s="169">
        <f>'Earnings Model (adjusted)'!AO37-'Earnings Model'!AO37</f>
        <v>99.865706953967901</v>
      </c>
      <c r="AP37" s="169">
        <f>'Earnings Model (adjusted)'!AP37-'Earnings Model'!AP37</f>
        <v>92.40267303348196</v>
      </c>
      <c r="AQ37" s="169">
        <f>'Earnings Model (adjusted)'!AQ37-'Earnings Model'!AQ37</f>
        <v>416.67491463755141</v>
      </c>
    </row>
    <row r="38" spans="1:43" x14ac:dyDescent="0.25">
      <c r="A38" s="254"/>
      <c r="B38" s="595" t="s">
        <v>0</v>
      </c>
      <c r="C38" s="596"/>
      <c r="D38" s="256">
        <v>1242</v>
      </c>
      <c r="E38" s="256">
        <v>1239.2</v>
      </c>
      <c r="F38" s="256">
        <v>1211</v>
      </c>
      <c r="G38" s="256">
        <v>1210.7904210526317</v>
      </c>
      <c r="H38" s="449">
        <v>1221.2</v>
      </c>
      <c r="I38" s="256">
        <v>1180.4000000000001</v>
      </c>
      <c r="J38" s="256">
        <v>1171.8</v>
      </c>
      <c r="K38" s="256">
        <v>1168.5</v>
      </c>
      <c r="L38" s="63">
        <v>1167.3874645009873</v>
      </c>
      <c r="M38" s="35">
        <f>+(I35/M35*I38)+(J35/M35*J38)+(K35/M35*K38)+(L35/M35*L38)</f>
        <v>1180.550811766758</v>
      </c>
      <c r="N38" s="256">
        <v>1175</v>
      </c>
      <c r="O38" s="256">
        <v>1177.5</v>
      </c>
      <c r="P38" s="256">
        <v>1178.5</v>
      </c>
      <c r="Q38" s="169">
        <f>'Earnings Model (adjusted)'!Q38-'Earnings Model'!Q38</f>
        <v>0</v>
      </c>
      <c r="R38" s="169">
        <f>'Earnings Model (adjusted)'!R38-'Earnings Model'!R38</f>
        <v>1.4750471997786008E-2</v>
      </c>
      <c r="S38" s="169">
        <f>'Earnings Model (adjusted)'!S38-'Earnings Model'!S38</f>
        <v>0</v>
      </c>
      <c r="T38" s="169">
        <f>'Earnings Model (adjusted)'!T38-'Earnings Model'!T38</f>
        <v>0</v>
      </c>
      <c r="U38" s="169">
        <f>'Earnings Model (adjusted)'!U38-'Earnings Model'!U38</f>
        <v>0</v>
      </c>
      <c r="V38" s="169">
        <f>'Earnings Model (adjusted)'!V38-'Earnings Model'!V38</f>
        <v>0</v>
      </c>
      <c r="W38" s="169">
        <f>'Earnings Model (adjusted)'!W38-'Earnings Model'!W38</f>
        <v>4.569202938955641E-2</v>
      </c>
      <c r="X38" s="169">
        <f>'Earnings Model (adjusted)'!X38-'Earnings Model'!X38</f>
        <v>0</v>
      </c>
      <c r="Y38" s="169">
        <f>'Earnings Model (adjusted)'!Y38-'Earnings Model'!Y38</f>
        <v>0</v>
      </c>
      <c r="Z38" s="169">
        <f>'Earnings Model (adjusted)'!Z38-'Earnings Model'!Z38</f>
        <v>0</v>
      </c>
      <c r="AA38" s="169">
        <f>'Earnings Model (adjusted)'!AA38-'Earnings Model'!AA38</f>
        <v>0</v>
      </c>
      <c r="AB38" s="169">
        <f>'Earnings Model (adjusted)'!AB38-'Earnings Model'!AB38</f>
        <v>1.8228217387104451E-2</v>
      </c>
      <c r="AC38" s="169">
        <f>'Earnings Model (adjusted)'!AC38-'Earnings Model'!AC38</f>
        <v>0</v>
      </c>
      <c r="AD38" s="169">
        <f>'Earnings Model (adjusted)'!AD38-'Earnings Model'!AD38</f>
        <v>0</v>
      </c>
      <c r="AE38" s="169">
        <f>'Earnings Model (adjusted)'!AE38-'Earnings Model'!AE38</f>
        <v>0</v>
      </c>
      <c r="AF38" s="169">
        <f>'Earnings Model (adjusted)'!AF38-'Earnings Model'!AF38</f>
        <v>0</v>
      </c>
      <c r="AG38" s="169">
        <f>'Earnings Model (adjusted)'!AG38-'Earnings Model'!AG38</f>
        <v>9.6311064623932907E-3</v>
      </c>
      <c r="AH38" s="169">
        <f>'Earnings Model (adjusted)'!AH38-'Earnings Model'!AH38</f>
        <v>0</v>
      </c>
      <c r="AI38" s="169">
        <f>'Earnings Model (adjusted)'!AI38-'Earnings Model'!AI38</f>
        <v>0</v>
      </c>
      <c r="AJ38" s="169">
        <f>'Earnings Model (adjusted)'!AJ38-'Earnings Model'!AJ38</f>
        <v>0</v>
      </c>
      <c r="AK38" s="169">
        <f>'Earnings Model (adjusted)'!AK38-'Earnings Model'!AK38</f>
        <v>0</v>
      </c>
      <c r="AL38" s="169">
        <f>'Earnings Model (adjusted)'!AL38-'Earnings Model'!AL38</f>
        <v>1.0983199596466875E-2</v>
      </c>
      <c r="AM38" s="169">
        <f>'Earnings Model (adjusted)'!AM38-'Earnings Model'!AM38</f>
        <v>0</v>
      </c>
      <c r="AN38" s="169">
        <f>'Earnings Model (adjusted)'!AN38-'Earnings Model'!AN38</f>
        <v>0</v>
      </c>
      <c r="AO38" s="169">
        <f>'Earnings Model (adjusted)'!AO38-'Earnings Model'!AO38</f>
        <v>0</v>
      </c>
      <c r="AP38" s="169">
        <f>'Earnings Model (adjusted)'!AP38-'Earnings Model'!AP38</f>
        <v>0</v>
      </c>
      <c r="AQ38" s="169">
        <f>'Earnings Model (adjusted)'!AQ38-'Earnings Model'!AQ38</f>
        <v>1.0400333504094306E-2</v>
      </c>
    </row>
    <row r="39" spans="1:43" ht="15.75" customHeight="1" x14ac:dyDescent="0.25">
      <c r="A39" s="254"/>
      <c r="B39" s="595" t="s">
        <v>1</v>
      </c>
      <c r="C39" s="596"/>
      <c r="D39" s="256">
        <v>1253.4000000000001</v>
      </c>
      <c r="E39" s="256">
        <v>1250.7</v>
      </c>
      <c r="F39" s="256">
        <v>1223</v>
      </c>
      <c r="G39" s="256">
        <v>1222.8144210526316</v>
      </c>
      <c r="H39" s="449">
        <v>1233.2</v>
      </c>
      <c r="I39" s="256">
        <v>1191</v>
      </c>
      <c r="J39" s="256">
        <v>1180.7</v>
      </c>
      <c r="K39" s="256">
        <v>1168.5</v>
      </c>
      <c r="L39" s="256">
        <v>1179</v>
      </c>
      <c r="M39" s="35">
        <f>+(I35/M35*I39)+(J35/M35*J39)+(K35/M35*K39)+(L35/M35*L39)</f>
        <v>1198.7240978132002</v>
      </c>
      <c r="N39" s="256">
        <v>1183</v>
      </c>
      <c r="O39" s="256">
        <v>1184.8</v>
      </c>
      <c r="P39" s="256">
        <v>1186.2</v>
      </c>
      <c r="Q39" s="169">
        <f>'Earnings Model (adjusted)'!Q39-'Earnings Model'!Q39</f>
        <v>0</v>
      </c>
      <c r="R39" s="169">
        <f>'Earnings Model (adjusted)'!R39-'Earnings Model'!R39</f>
        <v>1.7695606832603517E-2</v>
      </c>
      <c r="S39" s="169">
        <f>'Earnings Model (adjusted)'!S39-'Earnings Model'!S39</f>
        <v>0</v>
      </c>
      <c r="T39" s="169">
        <f>'Earnings Model (adjusted)'!T39-'Earnings Model'!T39</f>
        <v>0</v>
      </c>
      <c r="U39" s="169">
        <f>'Earnings Model (adjusted)'!U39-'Earnings Model'!U39</f>
        <v>0</v>
      </c>
      <c r="V39" s="169">
        <f>'Earnings Model (adjusted)'!V39-'Earnings Model'!V39</f>
        <v>0</v>
      </c>
      <c r="W39" s="169">
        <f>'Earnings Model (adjusted)'!W39-'Earnings Model'!W39</f>
        <v>3.9924159743804921E-2</v>
      </c>
      <c r="X39" s="169">
        <f>'Earnings Model (adjusted)'!X39-'Earnings Model'!X39</f>
        <v>0</v>
      </c>
      <c r="Y39" s="169">
        <f>'Earnings Model (adjusted)'!Y39-'Earnings Model'!Y39</f>
        <v>0</v>
      </c>
      <c r="Z39" s="169">
        <f>'Earnings Model (adjusted)'!Z39-'Earnings Model'!Z39</f>
        <v>0</v>
      </c>
      <c r="AA39" s="169">
        <f>'Earnings Model (adjusted)'!AA39-'Earnings Model'!AA39</f>
        <v>0</v>
      </c>
      <c r="AB39" s="169">
        <f>'Earnings Model (adjusted)'!AB39-'Earnings Model'!AB39</f>
        <v>1.5948506896847903E-2</v>
      </c>
      <c r="AC39" s="169">
        <f>'Earnings Model (adjusted)'!AC39-'Earnings Model'!AC39</f>
        <v>0</v>
      </c>
      <c r="AD39" s="169">
        <f>'Earnings Model (adjusted)'!AD39-'Earnings Model'!AD39</f>
        <v>0</v>
      </c>
      <c r="AE39" s="169">
        <f>'Earnings Model (adjusted)'!AE39-'Earnings Model'!AE39</f>
        <v>0</v>
      </c>
      <c r="AF39" s="169">
        <f>'Earnings Model (adjusted)'!AF39-'Earnings Model'!AF39</f>
        <v>0</v>
      </c>
      <c r="AG39" s="169">
        <f>'Earnings Model (adjusted)'!AG39-'Earnings Model'!AG39</f>
        <v>6.1702402235823683E-3</v>
      </c>
      <c r="AH39" s="169">
        <f>'Earnings Model (adjusted)'!AH39-'Earnings Model'!AH39</f>
        <v>0</v>
      </c>
      <c r="AI39" s="169">
        <f>'Earnings Model (adjusted)'!AI39-'Earnings Model'!AI39</f>
        <v>0</v>
      </c>
      <c r="AJ39" s="169">
        <f>'Earnings Model (adjusted)'!AJ39-'Earnings Model'!AJ39</f>
        <v>0</v>
      </c>
      <c r="AK39" s="169">
        <f>'Earnings Model (adjusted)'!AK39-'Earnings Model'!AK39</f>
        <v>0</v>
      </c>
      <c r="AL39" s="169">
        <f>'Earnings Model (adjusted)'!AL39-'Earnings Model'!AL39</f>
        <v>7.0457652514051006E-3</v>
      </c>
      <c r="AM39" s="169">
        <f>'Earnings Model (adjusted)'!AM39-'Earnings Model'!AM39</f>
        <v>0</v>
      </c>
      <c r="AN39" s="169">
        <f>'Earnings Model (adjusted)'!AN39-'Earnings Model'!AN39</f>
        <v>0</v>
      </c>
      <c r="AO39" s="169">
        <f>'Earnings Model (adjusted)'!AO39-'Earnings Model'!AO39</f>
        <v>0</v>
      </c>
      <c r="AP39" s="169">
        <f>'Earnings Model (adjusted)'!AP39-'Earnings Model'!AP39</f>
        <v>0</v>
      </c>
      <c r="AQ39" s="169">
        <f>'Earnings Model (adjusted)'!AQ39-'Earnings Model'!AQ39</f>
        <v>6.6807109060391667E-3</v>
      </c>
    </row>
    <row r="40" spans="1:43" ht="15.75" customHeight="1" x14ac:dyDescent="0.25">
      <c r="A40" s="254"/>
      <c r="B40" s="585" t="s">
        <v>44</v>
      </c>
      <c r="C40" s="586"/>
      <c r="D40" s="266">
        <f t="shared" ref="D40:P40" si="19">D35/D38</f>
        <v>0.61239935587761718</v>
      </c>
      <c r="E40" s="266">
        <f t="shared" si="19"/>
        <v>0.53518398967075509</v>
      </c>
      <c r="F40" s="266">
        <f t="shared" si="19"/>
        <v>1.1336085879438487</v>
      </c>
      <c r="G40" s="266">
        <f t="shared" si="19"/>
        <v>0.66287276975832043</v>
      </c>
      <c r="H40" s="454">
        <f t="shared" si="19"/>
        <v>2.947264985260404</v>
      </c>
      <c r="I40" s="266">
        <f t="shared" si="19"/>
        <v>0.75033886818027684</v>
      </c>
      <c r="J40" s="266">
        <f t="shared" si="19"/>
        <v>0.28025260283324721</v>
      </c>
      <c r="K40" s="266">
        <f t="shared" si="19"/>
        <v>-0.58057338468121455</v>
      </c>
      <c r="L40" s="266">
        <f t="shared" si="19"/>
        <v>0.3363065065700544</v>
      </c>
      <c r="M40" s="45">
        <f t="shared" si="19"/>
        <v>0.78632786555858059</v>
      </c>
      <c r="N40" s="266">
        <f t="shared" si="19"/>
        <v>0.52953191489361717</v>
      </c>
      <c r="O40" s="266">
        <f t="shared" si="19"/>
        <v>0.55999999999999994</v>
      </c>
      <c r="P40" s="266">
        <f t="shared" si="19"/>
        <v>0.97870173949936268</v>
      </c>
      <c r="Q40" s="169">
        <f>'Earnings Model (adjusted)'!Q40-'Earnings Model'!Q40</f>
        <v>3.0967552636115059E-2</v>
      </c>
      <c r="R40" s="169">
        <f>'Earnings Model (adjusted)'!R40-'Earnings Model'!R40</f>
        <v>3.0967505109102511E-2</v>
      </c>
      <c r="S40" s="169">
        <f>'Earnings Model (adjusted)'!S40-'Earnings Model'!S40</f>
        <v>7.2985018925321388E-2</v>
      </c>
      <c r="T40" s="169">
        <f>'Earnings Model (adjusted)'!T40-'Earnings Model'!T40</f>
        <v>7.051331910431724E-2</v>
      </c>
      <c r="U40" s="169">
        <f>'Earnings Model (adjusted)'!U40-'Earnings Model'!U40</f>
        <v>7.6493250888349129E-2</v>
      </c>
      <c r="V40" s="169">
        <f>'Earnings Model (adjusted)'!V40-'Earnings Model'!V40</f>
        <v>5.4719575405884013E-2</v>
      </c>
      <c r="W40" s="169">
        <f>'Earnings Model (adjusted)'!W40-'Earnings Model'!W40</f>
        <v>0.27470873469169055</v>
      </c>
      <c r="X40" s="169">
        <f>'Earnings Model (adjusted)'!X40-'Earnings Model'!X40</f>
        <v>7.4052344152716221E-2</v>
      </c>
      <c r="Y40" s="169">
        <f>'Earnings Model (adjusted)'!Y40-'Earnings Model'!Y40</f>
        <v>7.3012587861735256E-2</v>
      </c>
      <c r="Z40" s="169">
        <f>'Earnings Model (adjusted)'!Z40-'Earnings Model'!Z40</f>
        <v>7.2698820163679345E-2</v>
      </c>
      <c r="AA40" s="169">
        <f>'Earnings Model (adjusted)'!AA40-'Earnings Model'!AA40</f>
        <v>7.1537498962485069E-2</v>
      </c>
      <c r="AB40" s="169">
        <f>'Earnings Model (adjusted)'!AB40-'Earnings Model'!AB40</f>
        <v>0.29129849425192234</v>
      </c>
      <c r="AC40" s="169">
        <f>'Earnings Model (adjusted)'!AC40-'Earnings Model'!AC40</f>
        <v>7.7603035181641689E-2</v>
      </c>
      <c r="AD40" s="169">
        <f>'Earnings Model (adjusted)'!AD40-'Earnings Model'!AD40</f>
        <v>7.6138772384658271E-2</v>
      </c>
      <c r="AE40" s="169">
        <f>'Earnings Model (adjusted)'!AE40-'Earnings Model'!AE40</f>
        <v>7.1046886328579584E-2</v>
      </c>
      <c r="AF40" s="169">
        <f>'Earnings Model (adjusted)'!AF40-'Earnings Model'!AF40</f>
        <v>6.5507910212333043E-2</v>
      </c>
      <c r="AG40" s="169">
        <f>'Earnings Model (adjusted)'!AG40-'Earnings Model'!AG40</f>
        <v>0.29029626983329759</v>
      </c>
      <c r="AH40" s="169">
        <f>'Earnings Model (adjusted)'!AH40-'Earnings Model'!AH40</f>
        <v>9.4961654924405003E-2</v>
      </c>
      <c r="AI40" s="169">
        <f>'Earnings Model (adjusted)'!AI40-'Earnings Model'!AI40</f>
        <v>9.3059472001638888E-2</v>
      </c>
      <c r="AJ40" s="169">
        <f>'Earnings Model (adjusted)'!AJ40-'Earnings Model'!AJ40</f>
        <v>8.4390008680815365E-2</v>
      </c>
      <c r="AK40" s="169">
        <f>'Earnings Model (adjusted)'!AK40-'Earnings Model'!AK40</f>
        <v>7.8333270079926853E-2</v>
      </c>
      <c r="AL40" s="169">
        <f>'Earnings Model (adjusted)'!AL40-'Earnings Model'!AL40</f>
        <v>0.35074399516715893</v>
      </c>
      <c r="AM40" s="169">
        <f>'Earnings Model (adjusted)'!AM40-'Earnings Model'!AM40</f>
        <v>9.9127734512425514E-2</v>
      </c>
      <c r="AN40" s="169">
        <f>'Earnings Model (adjusted)'!AN40-'Earnings Model'!AN40</f>
        <v>9.7101631927738907E-2</v>
      </c>
      <c r="AO40" s="169">
        <f>'Earnings Model (adjusted)'!AO40-'Earnings Model'!AO40</f>
        <v>8.7454294225462137E-2</v>
      </c>
      <c r="AP40" s="169">
        <f>'Earnings Model (adjusted)'!AP40-'Earnings Model'!AP40</f>
        <v>8.0997759415759374E-2</v>
      </c>
      <c r="AQ40" s="169">
        <f>'Earnings Model (adjusted)'!AQ40-'Earnings Model'!AQ40</f>
        <v>0.36468098729416454</v>
      </c>
    </row>
    <row r="41" spans="1:43" x14ac:dyDescent="0.25">
      <c r="A41" s="254"/>
      <c r="B41" s="585" t="s">
        <v>45</v>
      </c>
      <c r="C41" s="586"/>
      <c r="D41" s="266">
        <f t="shared" ref="D41:P41" si="20">D35/D39</f>
        <v>0.60682942396681061</v>
      </c>
      <c r="E41" s="266">
        <f t="shared" si="20"/>
        <v>0.53026305269049312</v>
      </c>
      <c r="F41" s="266">
        <f t="shared" si="20"/>
        <v>1.1224856909239582</v>
      </c>
      <c r="G41" s="266">
        <f t="shared" si="20"/>
        <v>0.65635470614510849</v>
      </c>
      <c r="H41" s="454">
        <f t="shared" si="20"/>
        <v>2.9185857930587131</v>
      </c>
      <c r="I41" s="266">
        <f t="shared" si="20"/>
        <v>0.74366078925272783</v>
      </c>
      <c r="J41" s="266">
        <f t="shared" si="20"/>
        <v>0.27814008638942922</v>
      </c>
      <c r="K41" s="266">
        <f t="shared" si="20"/>
        <v>-0.58057338468121455</v>
      </c>
      <c r="L41" s="266">
        <f t="shared" si="20"/>
        <v>0.3329940627650555</v>
      </c>
      <c r="M41" s="454">
        <f t="shared" si="20"/>
        <v>0.7744067226924668</v>
      </c>
      <c r="N41" s="266">
        <f t="shared" si="20"/>
        <v>0.52595097210481845</v>
      </c>
      <c r="O41" s="266">
        <f t="shared" si="20"/>
        <v>0.55654962862930457</v>
      </c>
      <c r="P41" s="266">
        <f t="shared" si="20"/>
        <v>0.97234867644579237</v>
      </c>
      <c r="Q41" s="169">
        <f>'Earnings Model (adjusted)'!Q41-'Earnings Model'!Q41</f>
        <v>3.0756318418582063E-2</v>
      </c>
      <c r="R41" s="169">
        <f>'Earnings Model (adjusted)'!R41-'Earnings Model'!R41</f>
        <v>3.075625137641369E-2</v>
      </c>
      <c r="S41" s="169">
        <f>'Earnings Model (adjusted)'!S41-'Earnings Model'!S41</f>
        <v>7.2461277400917123E-2</v>
      </c>
      <c r="T41" s="169">
        <f>'Earnings Model (adjusted)'!T41-'Earnings Model'!T41</f>
        <v>6.9982207634063376E-2</v>
      </c>
      <c r="U41" s="169">
        <f>'Earnings Model (adjusted)'!U41-'Earnings Model'!U41</f>
        <v>7.5889770119254796E-2</v>
      </c>
      <c r="V41" s="169">
        <f>'Earnings Model (adjusted)'!V41-'Earnings Model'!V41</f>
        <v>5.4268258980225359E-2</v>
      </c>
      <c r="W41" s="169">
        <f>'Earnings Model (adjusted)'!W41-'Earnings Model'!W41</f>
        <v>0.27259970202670614</v>
      </c>
      <c r="X41" s="169">
        <f>'Earnings Model (adjusted)'!X41-'Earnings Model'!X41</f>
        <v>7.3414938614606684E-2</v>
      </c>
      <c r="Y41" s="169">
        <f>'Earnings Model (adjusted)'!Y41-'Earnings Model'!Y41</f>
        <v>7.2357779851447757E-2</v>
      </c>
      <c r="Z41" s="169">
        <f>'Earnings Model (adjusted)'!Z41-'Earnings Model'!Z41</f>
        <v>7.2020496874995343E-2</v>
      </c>
      <c r="AA41" s="169">
        <f>'Earnings Model (adjusted)'!AA41-'Earnings Model'!AA41</f>
        <v>7.0844013135146211E-2</v>
      </c>
      <c r="AB41" s="169">
        <f>'Earnings Model (adjusted)'!AB41-'Earnings Model'!AB41</f>
        <v>0.28863517584033804</v>
      </c>
      <c r="AC41" s="169">
        <f>'Earnings Model (adjusted)'!AC41-'Earnings Model'!AC41</f>
        <v>7.6823845375588951E-2</v>
      </c>
      <c r="AD41" s="169">
        <f>'Earnings Model (adjusted)'!AD41-'Earnings Model'!AD41</f>
        <v>7.5347848618043334E-2</v>
      </c>
      <c r="AE41" s="169">
        <f>'Earnings Model (adjusted)'!AE41-'Earnings Model'!AE41</f>
        <v>7.0284151664146588E-2</v>
      </c>
      <c r="AF41" s="169">
        <f>'Earnings Model (adjusted)'!AF41-'Earnings Model'!AF41</f>
        <v>6.4781827095900413E-2</v>
      </c>
      <c r="AG41" s="169">
        <f>'Earnings Model (adjusted)'!AG41-'Earnings Model'!AG41</f>
        <v>0.28723753987088241</v>
      </c>
      <c r="AH41" s="169">
        <f>'Earnings Model (adjusted)'!AH41-'Earnings Model'!AH41</f>
        <v>9.38759898322028E-2</v>
      </c>
      <c r="AI41" s="169">
        <f>'Earnings Model (adjusted)'!AI41-'Earnings Model'!AI41</f>
        <v>9.1963049134254904E-2</v>
      </c>
      <c r="AJ41" s="169">
        <f>'Earnings Model (adjusted)'!AJ41-'Earnings Model'!AJ41</f>
        <v>8.3366208226888894E-2</v>
      </c>
      <c r="AK41" s="169">
        <f>'Earnings Model (adjusted)'!AK41-'Earnings Model'!AK41</f>
        <v>7.7355505336694552E-2</v>
      </c>
      <c r="AL41" s="169">
        <f>'Earnings Model (adjusted)'!AL41-'Earnings Model'!AL41</f>
        <v>0.34656058959386371</v>
      </c>
      <c r="AM41" s="169">
        <f>'Earnings Model (adjusted)'!AM41-'Earnings Model'!AM41</f>
        <v>9.785563027217159E-2</v>
      </c>
      <c r="AN41" s="169">
        <f>'Earnings Model (adjusted)'!AN41-'Earnings Model'!AN41</f>
        <v>9.5821407550481741E-2</v>
      </c>
      <c r="AO41" s="169">
        <f>'Earnings Model (adjusted)'!AO41-'Earnings Model'!AO41</f>
        <v>8.6270486565888538E-2</v>
      </c>
      <c r="AP41" s="169">
        <f>'Earnings Model (adjusted)'!AP41-'Earnings Model'!AP41</f>
        <v>7.987280109928796E-2</v>
      </c>
      <c r="AQ41" s="169">
        <f>'Earnings Model (adjusted)'!AQ41-'Earnings Model'!AQ41</f>
        <v>0.35982015398927292</v>
      </c>
    </row>
    <row r="42" spans="1:43" x14ac:dyDescent="0.25">
      <c r="A42" s="254"/>
      <c r="B42" s="228" t="s">
        <v>198</v>
      </c>
      <c r="C42" s="255"/>
      <c r="D42" s="267">
        <f t="shared" ref="D42:P42" si="21">+D37/D39</f>
        <v>0.74999999999999922</v>
      </c>
      <c r="E42" s="267">
        <f t="shared" si="21"/>
        <v>0.60000000000000009</v>
      </c>
      <c r="F42" s="281">
        <f t="shared" si="21"/>
        <v>0.78</v>
      </c>
      <c r="G42" s="281">
        <f t="shared" si="21"/>
        <v>0.69511774261567683</v>
      </c>
      <c r="H42" s="452">
        <f t="shared" si="21"/>
        <v>2.8336117418099285</v>
      </c>
      <c r="I42" s="267">
        <f t="shared" si="21"/>
        <v>0.79454240134340781</v>
      </c>
      <c r="J42" s="267">
        <f t="shared" si="21"/>
        <v>0.31523672397730074</v>
      </c>
      <c r="K42" s="267">
        <f t="shared" si="21"/>
        <v>-0.46193838254171954</v>
      </c>
      <c r="L42" s="267">
        <f t="shared" si="21"/>
        <v>0.51</v>
      </c>
      <c r="M42" s="452">
        <f t="shared" si="21"/>
        <v>1.1512365543643674</v>
      </c>
      <c r="N42" s="267">
        <f t="shared" si="21"/>
        <v>0.60998309382924787</v>
      </c>
      <c r="O42" s="267">
        <f t="shared" si="21"/>
        <v>0.62099257258609042</v>
      </c>
      <c r="P42" s="267">
        <f t="shared" si="21"/>
        <v>1.0059332321699532</v>
      </c>
      <c r="Q42" s="169">
        <f>'Earnings Model (adjusted)'!Q42-'Earnings Model'!Q42</f>
        <v>3.0756318418582174E-2</v>
      </c>
      <c r="R42" s="169">
        <f>'Earnings Model (adjusted)'!R42-'Earnings Model'!R42</f>
        <v>3.075305041998222E-2</v>
      </c>
      <c r="S42" s="169">
        <f>'Earnings Model (adjusted)'!S42-'Earnings Model'!S42</f>
        <v>7.2461277400917012E-2</v>
      </c>
      <c r="T42" s="169">
        <f>'Earnings Model (adjusted)'!T42-'Earnings Model'!T42</f>
        <v>6.9982207634063487E-2</v>
      </c>
      <c r="U42" s="169">
        <f>'Earnings Model (adjusted)'!U42-'Earnings Model'!U42</f>
        <v>7.5889770119254463E-2</v>
      </c>
      <c r="V42" s="169">
        <f>'Earnings Model (adjusted)'!V42-'Earnings Model'!V42</f>
        <v>5.426825898022547E-2</v>
      </c>
      <c r="W42" s="169">
        <f>'Earnings Model (adjusted)'!W42-'Earnings Model'!W42</f>
        <v>0.27258958742785433</v>
      </c>
      <c r="X42" s="169">
        <f>'Earnings Model (adjusted)'!X42-'Earnings Model'!X42</f>
        <v>7.3414938614606573E-2</v>
      </c>
      <c r="Y42" s="169">
        <f>'Earnings Model (adjusted)'!Y42-'Earnings Model'!Y42</f>
        <v>7.2357779851447757E-2</v>
      </c>
      <c r="Z42" s="169">
        <f>'Earnings Model (adjusted)'!Z42-'Earnings Model'!Z42</f>
        <v>7.2020496874995121E-2</v>
      </c>
      <c r="AA42" s="169">
        <f>'Earnings Model (adjusted)'!AA42-'Earnings Model'!AA42</f>
        <v>7.0844013135146211E-2</v>
      </c>
      <c r="AB42" s="169">
        <f>'Earnings Model (adjusted)'!AB42-'Earnings Model'!AB42</f>
        <v>0.28863174111095891</v>
      </c>
      <c r="AC42" s="169">
        <f>'Earnings Model (adjusted)'!AC42-'Earnings Model'!AC42</f>
        <v>7.6823845375588951E-2</v>
      </c>
      <c r="AD42" s="169">
        <f>'Earnings Model (adjusted)'!AD42-'Earnings Model'!AD42</f>
        <v>7.5347848618043445E-2</v>
      </c>
      <c r="AE42" s="169">
        <f>'Earnings Model (adjusted)'!AE42-'Earnings Model'!AE42</f>
        <v>7.0284151664146588E-2</v>
      </c>
      <c r="AF42" s="169">
        <f>'Earnings Model (adjusted)'!AF42-'Earnings Model'!AF42</f>
        <v>6.4781827095900857E-2</v>
      </c>
      <c r="AG42" s="169">
        <f>'Earnings Model (adjusted)'!AG42-'Earnings Model'!AG42</f>
        <v>0.28723608600489925</v>
      </c>
      <c r="AH42" s="169">
        <f>'Earnings Model (adjusted)'!AH42-'Earnings Model'!AH42</f>
        <v>9.3875989832203022E-2</v>
      </c>
      <c r="AI42" s="169">
        <f>'Earnings Model (adjusted)'!AI42-'Earnings Model'!AI42</f>
        <v>9.1963049134254904E-2</v>
      </c>
      <c r="AJ42" s="169">
        <f>'Earnings Model (adjusted)'!AJ42-'Earnings Model'!AJ42</f>
        <v>8.3366208226888672E-2</v>
      </c>
      <c r="AK42" s="169">
        <f>'Earnings Model (adjusted)'!AK42-'Earnings Model'!AK42</f>
        <v>7.7355505336694552E-2</v>
      </c>
      <c r="AL42" s="169">
        <f>'Earnings Model (adjusted)'!AL42-'Earnings Model'!AL42</f>
        <v>0.3465589707563117</v>
      </c>
      <c r="AM42" s="169">
        <f>'Earnings Model (adjusted)'!AM42-'Earnings Model'!AM42</f>
        <v>9.7855630272172034E-2</v>
      </c>
      <c r="AN42" s="169">
        <f>'Earnings Model (adjusted)'!AN42-'Earnings Model'!AN42</f>
        <v>9.5821407550482185E-2</v>
      </c>
      <c r="AO42" s="169">
        <f>'Earnings Model (adjusted)'!AO42-'Earnings Model'!AO42</f>
        <v>8.6270486565888538E-2</v>
      </c>
      <c r="AP42" s="169">
        <f>'Earnings Model (adjusted)'!AP42-'Earnings Model'!AP42</f>
        <v>7.987280109928796E-2</v>
      </c>
      <c r="AQ42" s="169">
        <f>'Earnings Model (adjusted)'!AQ42-'Earnings Model'!AQ42</f>
        <v>0.35981859613090617</v>
      </c>
    </row>
    <row r="43" spans="1:43" x14ac:dyDescent="0.25">
      <c r="A43" s="254"/>
      <c r="B43" s="351" t="s">
        <v>150</v>
      </c>
      <c r="C43" s="352"/>
      <c r="D43" s="268">
        <v>0.36</v>
      </c>
      <c r="E43" s="268">
        <v>0.36</v>
      </c>
      <c r="F43" s="268">
        <v>0.36</v>
      </c>
      <c r="G43" s="268">
        <v>0.41</v>
      </c>
      <c r="H43" s="335">
        <f>+SUM(D43:G43)</f>
        <v>1.49</v>
      </c>
      <c r="I43" s="268">
        <v>0.41</v>
      </c>
      <c r="J43" s="268">
        <v>0.41</v>
      </c>
      <c r="K43" s="268">
        <v>0.41</v>
      </c>
      <c r="L43" s="268">
        <f>K43*1.1</f>
        <v>0.45100000000000001</v>
      </c>
      <c r="M43" s="145">
        <f>+SUM(I43:L43)</f>
        <v>1.681</v>
      </c>
      <c r="N43" s="268">
        <f>+L43</f>
        <v>0.45100000000000001</v>
      </c>
      <c r="O43" s="268">
        <v>0.45</v>
      </c>
      <c r="P43" s="268">
        <v>0.45</v>
      </c>
      <c r="Q43" s="169">
        <f>'Earnings Model (adjusted)'!Q43-'Earnings Model'!Q43</f>
        <v>0</v>
      </c>
      <c r="R43" s="169">
        <f>'Earnings Model (adjusted)'!R43-'Earnings Model'!R43</f>
        <v>0</v>
      </c>
      <c r="S43" s="169">
        <f>'Earnings Model (adjusted)'!S43-'Earnings Model'!S43</f>
        <v>0</v>
      </c>
      <c r="T43" s="169">
        <f>'Earnings Model (adjusted)'!T43-'Earnings Model'!T43</f>
        <v>0</v>
      </c>
      <c r="U43" s="169">
        <f>'Earnings Model (adjusted)'!U43-'Earnings Model'!U43</f>
        <v>0</v>
      </c>
      <c r="V43" s="169">
        <f>'Earnings Model (adjusted)'!V43-'Earnings Model'!V43</f>
        <v>0</v>
      </c>
      <c r="W43" s="169">
        <f>'Earnings Model (adjusted)'!W43-'Earnings Model'!W43</f>
        <v>0</v>
      </c>
      <c r="X43" s="169">
        <f>'Earnings Model (adjusted)'!X43-'Earnings Model'!X43</f>
        <v>0</v>
      </c>
      <c r="Y43" s="169">
        <f>'Earnings Model (adjusted)'!Y43-'Earnings Model'!Y43</f>
        <v>0</v>
      </c>
      <c r="Z43" s="169">
        <f>'Earnings Model (adjusted)'!Z43-'Earnings Model'!Z43</f>
        <v>0</v>
      </c>
      <c r="AA43" s="169">
        <f>'Earnings Model (adjusted)'!AA43-'Earnings Model'!AA43</f>
        <v>0</v>
      </c>
      <c r="AB43" s="169">
        <f>'Earnings Model (adjusted)'!AB43-'Earnings Model'!AB43</f>
        <v>0</v>
      </c>
      <c r="AC43" s="169">
        <f>'Earnings Model (adjusted)'!AC43-'Earnings Model'!AC43</f>
        <v>0</v>
      </c>
      <c r="AD43" s="169">
        <f>'Earnings Model (adjusted)'!AD43-'Earnings Model'!AD43</f>
        <v>0</v>
      </c>
      <c r="AE43" s="169">
        <f>'Earnings Model (adjusted)'!AE43-'Earnings Model'!AE43</f>
        <v>0</v>
      </c>
      <c r="AF43" s="169">
        <f>'Earnings Model (adjusted)'!AF43-'Earnings Model'!AF43</f>
        <v>0</v>
      </c>
      <c r="AG43" s="169">
        <f>'Earnings Model (adjusted)'!AG43-'Earnings Model'!AG43</f>
        <v>0</v>
      </c>
      <c r="AH43" s="169">
        <f>'Earnings Model (adjusted)'!AH43-'Earnings Model'!AH43</f>
        <v>0</v>
      </c>
      <c r="AI43" s="169">
        <f>'Earnings Model (adjusted)'!AI43-'Earnings Model'!AI43</f>
        <v>0</v>
      </c>
      <c r="AJ43" s="169">
        <f>'Earnings Model (adjusted)'!AJ43-'Earnings Model'!AJ43</f>
        <v>0</v>
      </c>
      <c r="AK43" s="169">
        <f>'Earnings Model (adjusted)'!AK43-'Earnings Model'!AK43</f>
        <v>0</v>
      </c>
      <c r="AL43" s="169">
        <f>'Earnings Model (adjusted)'!AL43-'Earnings Model'!AL43</f>
        <v>0</v>
      </c>
      <c r="AM43" s="169">
        <f>'Earnings Model (adjusted)'!AM43-'Earnings Model'!AM43</f>
        <v>0</v>
      </c>
      <c r="AN43" s="169">
        <f>'Earnings Model (adjusted)'!AN43-'Earnings Model'!AN43</f>
        <v>0</v>
      </c>
      <c r="AO43" s="169">
        <f>'Earnings Model (adjusted)'!AO43-'Earnings Model'!AO43</f>
        <v>0</v>
      </c>
      <c r="AP43" s="169">
        <f>'Earnings Model (adjusted)'!AP43-'Earnings Model'!AP43</f>
        <v>0</v>
      </c>
      <c r="AQ43" s="169">
        <f>'Earnings Model (adjusted)'!AQ43-'Earnings Model'!AQ43</f>
        <v>0</v>
      </c>
    </row>
    <row r="44" spans="1:43" s="186" customFormat="1" x14ac:dyDescent="0.25">
      <c r="A44" s="272"/>
      <c r="B44" s="510"/>
      <c r="C44" s="509" t="s">
        <v>362</v>
      </c>
      <c r="D44" s="511"/>
      <c r="E44" s="512"/>
      <c r="F44" s="513"/>
      <c r="G44" s="512"/>
      <c r="H44" s="514">
        <f>H43/H41</f>
        <v>0.51052122693931912</v>
      </c>
      <c r="I44" s="512"/>
      <c r="J44" s="515"/>
      <c r="K44" s="515"/>
      <c r="L44" s="511"/>
      <c r="M44" s="514">
        <f>M43/M41</f>
        <v>2.1706939657696651</v>
      </c>
      <c r="N44" s="516"/>
      <c r="O44" s="509"/>
      <c r="P44" s="509"/>
      <c r="Q44" s="169">
        <f>'Earnings Model (adjusted)'!Q44-'Earnings Model'!Q44</f>
        <v>0</v>
      </c>
      <c r="R44" s="169">
        <f>'Earnings Model (adjusted)'!R44-'Earnings Model'!R44</f>
        <v>-6.0966903095984737E-3</v>
      </c>
      <c r="S44" s="169">
        <f>'Earnings Model (adjusted)'!S44-'Earnings Model'!S44</f>
        <v>0</v>
      </c>
      <c r="T44" s="169">
        <f>'Earnings Model (adjusted)'!T44-'Earnings Model'!T44</f>
        <v>0</v>
      </c>
      <c r="U44" s="169">
        <f>'Earnings Model (adjusted)'!U44-'Earnings Model'!U44</f>
        <v>0</v>
      </c>
      <c r="V44" s="169">
        <f>'Earnings Model (adjusted)'!V44-'Earnings Model'!V44</f>
        <v>0</v>
      </c>
      <c r="W44" s="169">
        <f>'Earnings Model (adjusted)'!W44-'Earnings Model'!W44</f>
        <v>-4.126354506931218E-2</v>
      </c>
      <c r="X44" s="169">
        <f>'Earnings Model (adjusted)'!X44-'Earnings Model'!X44</f>
        <v>0</v>
      </c>
      <c r="Y44" s="169">
        <f>'Earnings Model (adjusted)'!Y44-'Earnings Model'!Y44</f>
        <v>0</v>
      </c>
      <c r="Z44" s="169">
        <f>'Earnings Model (adjusted)'!Z44-'Earnings Model'!Z44</f>
        <v>0</v>
      </c>
      <c r="AA44" s="169">
        <f>'Earnings Model (adjusted)'!AA44-'Earnings Model'!AA44</f>
        <v>0</v>
      </c>
      <c r="AB44" s="169">
        <f>'Earnings Model (adjusted)'!AB44-'Earnings Model'!AB44</f>
        <v>-3.5296076182189773E-2</v>
      </c>
      <c r="AC44" s="169">
        <f>'Earnings Model (adjusted)'!AC44-'Earnings Model'!AC44</f>
        <v>0</v>
      </c>
      <c r="AD44" s="169">
        <f>'Earnings Model (adjusted)'!AD44-'Earnings Model'!AD44</f>
        <v>0</v>
      </c>
      <c r="AE44" s="169">
        <f>'Earnings Model (adjusted)'!AE44-'Earnings Model'!AE44</f>
        <v>0</v>
      </c>
      <c r="AF44" s="169">
        <f>'Earnings Model (adjusted)'!AF44-'Earnings Model'!AF44</f>
        <v>0</v>
      </c>
      <c r="AG44" s="169">
        <f>'Earnings Model (adjusted)'!AG44-'Earnings Model'!AG44</f>
        <v>-2.9657484209098472E-2</v>
      </c>
      <c r="AH44" s="169">
        <f>'Earnings Model (adjusted)'!AH44-'Earnings Model'!AH44</f>
        <v>0</v>
      </c>
      <c r="AI44" s="169">
        <f>'Earnings Model (adjusted)'!AI44-'Earnings Model'!AI44</f>
        <v>0</v>
      </c>
      <c r="AJ44" s="169">
        <f>'Earnings Model (adjusted)'!AJ44-'Earnings Model'!AJ44</f>
        <v>0</v>
      </c>
      <c r="AK44" s="169">
        <f>'Earnings Model (adjusted)'!AK44-'Earnings Model'!AK44</f>
        <v>0</v>
      </c>
      <c r="AL44" s="169">
        <f>'Earnings Model (adjusted)'!AL44-'Earnings Model'!AL44</f>
        <v>-2.9487160263288958E-2</v>
      </c>
      <c r="AM44" s="169">
        <f>'Earnings Model (adjusted)'!AM44-'Earnings Model'!AM44</f>
        <v>0</v>
      </c>
      <c r="AN44" s="169">
        <f>'Earnings Model (adjusted)'!AN44-'Earnings Model'!AN44</f>
        <v>0</v>
      </c>
      <c r="AO44" s="169">
        <f>'Earnings Model (adjusted)'!AO44-'Earnings Model'!AO44</f>
        <v>0</v>
      </c>
      <c r="AP44" s="169">
        <f>'Earnings Model (adjusted)'!AP44-'Earnings Model'!AP44</f>
        <v>0</v>
      </c>
      <c r="AQ44" s="169">
        <f>'Earnings Model (adjusted)'!AQ44-'Earnings Model'!AQ44</f>
        <v>-2.7380415832885141E-2</v>
      </c>
    </row>
    <row r="45" spans="1:43" ht="15.75" x14ac:dyDescent="0.25">
      <c r="A45" s="254"/>
      <c r="B45" s="565" t="s">
        <v>98</v>
      </c>
      <c r="C45" s="566"/>
      <c r="D45" s="31" t="s">
        <v>106</v>
      </c>
      <c r="E45" s="31" t="s">
        <v>244</v>
      </c>
      <c r="F45" s="31" t="s">
        <v>246</v>
      </c>
      <c r="G45" s="31" t="s">
        <v>337</v>
      </c>
      <c r="H45" s="85" t="s">
        <v>337</v>
      </c>
      <c r="I45" s="31" t="s">
        <v>336</v>
      </c>
      <c r="J45" s="31" t="s">
        <v>335</v>
      </c>
      <c r="K45" s="31" t="s">
        <v>334</v>
      </c>
      <c r="L45" s="31" t="s">
        <v>321</v>
      </c>
      <c r="M45" s="85" t="s">
        <v>321</v>
      </c>
      <c r="N45" s="31" t="s">
        <v>338</v>
      </c>
      <c r="O45" s="31" t="s">
        <v>346</v>
      </c>
      <c r="P45" s="31" t="s">
        <v>348</v>
      </c>
      <c r="Q45" s="169" t="e">
        <f>'Earnings Model (adjusted)'!Q45-'Earnings Model'!Q45</f>
        <v>#VALUE!</v>
      </c>
      <c r="R45" s="169" t="e">
        <f>'Earnings Model (adjusted)'!R45-'Earnings Model'!R45</f>
        <v>#VALUE!</v>
      </c>
      <c r="S45" s="169" t="e">
        <f>'Earnings Model (adjusted)'!S45-'Earnings Model'!S45</f>
        <v>#VALUE!</v>
      </c>
      <c r="T45" s="169" t="e">
        <f>'Earnings Model (adjusted)'!T45-'Earnings Model'!T45</f>
        <v>#VALUE!</v>
      </c>
      <c r="U45" s="169" t="e">
        <f>'Earnings Model (adjusted)'!U45-'Earnings Model'!U45</f>
        <v>#VALUE!</v>
      </c>
      <c r="V45" s="169" t="e">
        <f>'Earnings Model (adjusted)'!V45-'Earnings Model'!V45</f>
        <v>#VALUE!</v>
      </c>
      <c r="W45" s="169" t="e">
        <f>'Earnings Model (adjusted)'!W45-'Earnings Model'!W45</f>
        <v>#VALUE!</v>
      </c>
      <c r="X45" s="169" t="e">
        <f>'Earnings Model (adjusted)'!X45-'Earnings Model'!X45</f>
        <v>#VALUE!</v>
      </c>
      <c r="Y45" s="169" t="e">
        <f>'Earnings Model (adjusted)'!Y45-'Earnings Model'!Y45</f>
        <v>#VALUE!</v>
      </c>
      <c r="Z45" s="169" t="e">
        <f>'Earnings Model (adjusted)'!Z45-'Earnings Model'!Z45</f>
        <v>#VALUE!</v>
      </c>
      <c r="AA45" s="169" t="e">
        <f>'Earnings Model (adjusted)'!AA45-'Earnings Model'!AA45</f>
        <v>#VALUE!</v>
      </c>
      <c r="AB45" s="169" t="e">
        <f>'Earnings Model (adjusted)'!AB45-'Earnings Model'!AB45</f>
        <v>#VALUE!</v>
      </c>
      <c r="AC45" s="169" t="e">
        <f>'Earnings Model (adjusted)'!AC45-'Earnings Model'!AC45</f>
        <v>#VALUE!</v>
      </c>
      <c r="AD45" s="169" t="e">
        <f>'Earnings Model (adjusted)'!AD45-'Earnings Model'!AD45</f>
        <v>#VALUE!</v>
      </c>
      <c r="AE45" s="169" t="e">
        <f>'Earnings Model (adjusted)'!AE45-'Earnings Model'!AE45</f>
        <v>#VALUE!</v>
      </c>
      <c r="AF45" s="169" t="e">
        <f>'Earnings Model (adjusted)'!AF45-'Earnings Model'!AF45</f>
        <v>#VALUE!</v>
      </c>
      <c r="AG45" s="169" t="e">
        <f>'Earnings Model (adjusted)'!AG45-'Earnings Model'!AG45</f>
        <v>#VALUE!</v>
      </c>
      <c r="AH45" s="169" t="e">
        <f>'Earnings Model (adjusted)'!AH45-'Earnings Model'!AH45</f>
        <v>#VALUE!</v>
      </c>
      <c r="AI45" s="169" t="e">
        <f>'Earnings Model (adjusted)'!AI45-'Earnings Model'!AI45</f>
        <v>#VALUE!</v>
      </c>
      <c r="AJ45" s="169" t="e">
        <f>'Earnings Model (adjusted)'!AJ45-'Earnings Model'!AJ45</f>
        <v>#VALUE!</v>
      </c>
      <c r="AK45" s="169" t="e">
        <f>'Earnings Model (adjusted)'!AK45-'Earnings Model'!AK45</f>
        <v>#VALUE!</v>
      </c>
      <c r="AL45" s="169" t="e">
        <f>'Earnings Model (adjusted)'!AL45-'Earnings Model'!AL45</f>
        <v>#VALUE!</v>
      </c>
      <c r="AM45" s="169" t="e">
        <f>'Earnings Model (adjusted)'!AM45-'Earnings Model'!AM45</f>
        <v>#VALUE!</v>
      </c>
      <c r="AN45" s="169" t="e">
        <f>'Earnings Model (adjusted)'!AN45-'Earnings Model'!AN45</f>
        <v>#VALUE!</v>
      </c>
      <c r="AO45" s="169" t="e">
        <f>'Earnings Model (adjusted)'!AO45-'Earnings Model'!AO45</f>
        <v>#VALUE!</v>
      </c>
      <c r="AP45" s="169" t="e">
        <f>'Earnings Model (adjusted)'!AP45-'Earnings Model'!AP45</f>
        <v>#VALUE!</v>
      </c>
      <c r="AQ45" s="169" t="e">
        <f>'Earnings Model (adjusted)'!AQ45-'Earnings Model'!AQ45</f>
        <v>#VALUE!</v>
      </c>
    </row>
    <row r="46" spans="1:43" ht="17.25" x14ac:dyDescent="0.4">
      <c r="A46" s="254"/>
      <c r="B46" s="567"/>
      <c r="C46" s="568"/>
      <c r="D46" s="32" t="s">
        <v>119</v>
      </c>
      <c r="E46" s="32" t="s">
        <v>243</v>
      </c>
      <c r="F46" s="32" t="s">
        <v>247</v>
      </c>
      <c r="G46" s="32" t="s">
        <v>257</v>
      </c>
      <c r="H46" s="86" t="s">
        <v>258</v>
      </c>
      <c r="I46" s="32" t="s">
        <v>259</v>
      </c>
      <c r="J46" s="32" t="s">
        <v>260</v>
      </c>
      <c r="K46" s="32" t="s">
        <v>261</v>
      </c>
      <c r="L46" s="32" t="s">
        <v>322</v>
      </c>
      <c r="M46" s="86" t="s">
        <v>333</v>
      </c>
      <c r="N46" s="32" t="s">
        <v>339</v>
      </c>
      <c r="O46" s="32" t="s">
        <v>347</v>
      </c>
      <c r="P46" s="32" t="s">
        <v>349</v>
      </c>
      <c r="Q46" s="169" t="e">
        <f>'Earnings Model (adjusted)'!Q46-'Earnings Model'!Q46</f>
        <v>#VALUE!</v>
      </c>
      <c r="R46" s="169" t="e">
        <f>'Earnings Model (adjusted)'!R46-'Earnings Model'!R46</f>
        <v>#VALUE!</v>
      </c>
      <c r="S46" s="169" t="e">
        <f>'Earnings Model (adjusted)'!S46-'Earnings Model'!S46</f>
        <v>#VALUE!</v>
      </c>
      <c r="T46" s="169" t="e">
        <f>'Earnings Model (adjusted)'!T46-'Earnings Model'!T46</f>
        <v>#VALUE!</v>
      </c>
      <c r="U46" s="169" t="e">
        <f>'Earnings Model (adjusted)'!U46-'Earnings Model'!U46</f>
        <v>#VALUE!</v>
      </c>
      <c r="V46" s="169" t="e">
        <f>'Earnings Model (adjusted)'!V46-'Earnings Model'!V46</f>
        <v>#VALUE!</v>
      </c>
      <c r="W46" s="169" t="e">
        <f>'Earnings Model (adjusted)'!W46-'Earnings Model'!W46</f>
        <v>#VALUE!</v>
      </c>
      <c r="X46" s="169" t="e">
        <f>'Earnings Model (adjusted)'!X46-'Earnings Model'!X46</f>
        <v>#VALUE!</v>
      </c>
      <c r="Y46" s="169" t="e">
        <f>'Earnings Model (adjusted)'!Y46-'Earnings Model'!Y46</f>
        <v>#VALUE!</v>
      </c>
      <c r="Z46" s="169" t="e">
        <f>'Earnings Model (adjusted)'!Z46-'Earnings Model'!Z46</f>
        <v>#VALUE!</v>
      </c>
      <c r="AA46" s="169" t="e">
        <f>'Earnings Model (adjusted)'!AA46-'Earnings Model'!AA46</f>
        <v>#VALUE!</v>
      </c>
      <c r="AB46" s="169" t="e">
        <f>'Earnings Model (adjusted)'!AB46-'Earnings Model'!AB46</f>
        <v>#VALUE!</v>
      </c>
      <c r="AC46" s="169" t="e">
        <f>'Earnings Model (adjusted)'!AC46-'Earnings Model'!AC46</f>
        <v>#VALUE!</v>
      </c>
      <c r="AD46" s="169" t="e">
        <f>'Earnings Model (adjusted)'!AD46-'Earnings Model'!AD46</f>
        <v>#VALUE!</v>
      </c>
      <c r="AE46" s="169" t="e">
        <f>'Earnings Model (adjusted)'!AE46-'Earnings Model'!AE46</f>
        <v>#VALUE!</v>
      </c>
      <c r="AF46" s="169" t="e">
        <f>'Earnings Model (adjusted)'!AF46-'Earnings Model'!AF46</f>
        <v>#VALUE!</v>
      </c>
      <c r="AG46" s="169" t="e">
        <f>'Earnings Model (adjusted)'!AG46-'Earnings Model'!AG46</f>
        <v>#VALUE!</v>
      </c>
      <c r="AH46" s="169" t="e">
        <f>'Earnings Model (adjusted)'!AH46-'Earnings Model'!AH46</f>
        <v>#VALUE!</v>
      </c>
      <c r="AI46" s="169" t="e">
        <f>'Earnings Model (adjusted)'!AI46-'Earnings Model'!AI46</f>
        <v>#VALUE!</v>
      </c>
      <c r="AJ46" s="169" t="e">
        <f>'Earnings Model (adjusted)'!AJ46-'Earnings Model'!AJ46</f>
        <v>#VALUE!</v>
      </c>
      <c r="AK46" s="169" t="e">
        <f>'Earnings Model (adjusted)'!AK46-'Earnings Model'!AK46</f>
        <v>#VALUE!</v>
      </c>
      <c r="AL46" s="169" t="e">
        <f>'Earnings Model (adjusted)'!AL46-'Earnings Model'!AL46</f>
        <v>#VALUE!</v>
      </c>
      <c r="AM46" s="169" t="e">
        <f>'Earnings Model (adjusted)'!AM46-'Earnings Model'!AM46</f>
        <v>#VALUE!</v>
      </c>
      <c r="AN46" s="169" t="e">
        <f>'Earnings Model (adjusted)'!AN46-'Earnings Model'!AN46</f>
        <v>#VALUE!</v>
      </c>
      <c r="AO46" s="169" t="e">
        <f>'Earnings Model (adjusted)'!AO46-'Earnings Model'!AO46</f>
        <v>#VALUE!</v>
      </c>
      <c r="AP46" s="169" t="e">
        <f>'Earnings Model (adjusted)'!AP46-'Earnings Model'!AP46</f>
        <v>#VALUE!</v>
      </c>
      <c r="AQ46" s="169" t="e">
        <f>'Earnings Model (adjusted)'!AQ46-'Earnings Model'!AQ46</f>
        <v>#VALUE!</v>
      </c>
    </row>
    <row r="47" spans="1:43" ht="18" x14ac:dyDescent="0.4">
      <c r="A47" s="254"/>
      <c r="B47" s="587" t="s">
        <v>151</v>
      </c>
      <c r="C47" s="588"/>
      <c r="D47" s="32"/>
      <c r="E47" s="32"/>
      <c r="F47" s="32"/>
      <c r="G47" s="32"/>
      <c r="H47" s="86"/>
      <c r="I47" s="32"/>
      <c r="J47" s="32"/>
      <c r="K47" s="32"/>
      <c r="L47" s="32"/>
      <c r="M47" s="86"/>
      <c r="N47" s="32"/>
      <c r="O47" s="32"/>
      <c r="P47" s="32"/>
      <c r="Q47" s="169">
        <f>'Earnings Model (adjusted)'!Q47-'Earnings Model'!Q47</f>
        <v>0</v>
      </c>
      <c r="R47" s="169">
        <f>'Earnings Model (adjusted)'!R47-'Earnings Model'!R47</f>
        <v>0</v>
      </c>
      <c r="S47" s="169">
        <f>'Earnings Model (adjusted)'!S47-'Earnings Model'!S47</f>
        <v>0</v>
      </c>
      <c r="T47" s="169">
        <f>'Earnings Model (adjusted)'!T47-'Earnings Model'!T47</f>
        <v>0</v>
      </c>
      <c r="U47" s="169">
        <f>'Earnings Model (adjusted)'!U47-'Earnings Model'!U47</f>
        <v>0</v>
      </c>
      <c r="V47" s="169">
        <f>'Earnings Model (adjusted)'!V47-'Earnings Model'!V47</f>
        <v>0</v>
      </c>
      <c r="W47" s="169">
        <f>'Earnings Model (adjusted)'!W47-'Earnings Model'!W47</f>
        <v>0</v>
      </c>
      <c r="X47" s="169">
        <f>'Earnings Model (adjusted)'!X47-'Earnings Model'!X47</f>
        <v>0</v>
      </c>
      <c r="Y47" s="169">
        <f>'Earnings Model (adjusted)'!Y47-'Earnings Model'!Y47</f>
        <v>0</v>
      </c>
      <c r="Z47" s="169">
        <f>'Earnings Model (adjusted)'!Z47-'Earnings Model'!Z47</f>
        <v>0</v>
      </c>
      <c r="AA47" s="169">
        <f>'Earnings Model (adjusted)'!AA47-'Earnings Model'!AA47</f>
        <v>0</v>
      </c>
      <c r="AB47" s="169">
        <f>'Earnings Model (adjusted)'!AB47-'Earnings Model'!AB47</f>
        <v>0</v>
      </c>
      <c r="AC47" s="169">
        <f>'Earnings Model (adjusted)'!AC47-'Earnings Model'!AC47</f>
        <v>0</v>
      </c>
      <c r="AD47" s="169">
        <f>'Earnings Model (adjusted)'!AD47-'Earnings Model'!AD47</f>
        <v>0</v>
      </c>
      <c r="AE47" s="169">
        <f>'Earnings Model (adjusted)'!AE47-'Earnings Model'!AE47</f>
        <v>0</v>
      </c>
      <c r="AF47" s="169">
        <f>'Earnings Model (adjusted)'!AF47-'Earnings Model'!AF47</f>
        <v>0</v>
      </c>
      <c r="AG47" s="169">
        <f>'Earnings Model (adjusted)'!AG47-'Earnings Model'!AG47</f>
        <v>0</v>
      </c>
      <c r="AH47" s="169">
        <f>'Earnings Model (adjusted)'!AH47-'Earnings Model'!AH47</f>
        <v>0</v>
      </c>
      <c r="AI47" s="169">
        <f>'Earnings Model (adjusted)'!AI47-'Earnings Model'!AI47</f>
        <v>0</v>
      </c>
      <c r="AJ47" s="169">
        <f>'Earnings Model (adjusted)'!AJ47-'Earnings Model'!AJ47</f>
        <v>0</v>
      </c>
      <c r="AK47" s="169">
        <f>'Earnings Model (adjusted)'!AK47-'Earnings Model'!AK47</f>
        <v>0</v>
      </c>
      <c r="AL47" s="169">
        <f>'Earnings Model (adjusted)'!AL47-'Earnings Model'!AL47</f>
        <v>0</v>
      </c>
      <c r="AM47" s="169">
        <f>'Earnings Model (adjusted)'!AM47-'Earnings Model'!AM47</f>
        <v>0</v>
      </c>
      <c r="AN47" s="169">
        <f>'Earnings Model (adjusted)'!AN47-'Earnings Model'!AN47</f>
        <v>0</v>
      </c>
      <c r="AO47" s="169">
        <f>'Earnings Model (adjusted)'!AO47-'Earnings Model'!AO47</f>
        <v>0</v>
      </c>
      <c r="AP47" s="169">
        <f>'Earnings Model (adjusted)'!AP47-'Earnings Model'!AP47</f>
        <v>0</v>
      </c>
      <c r="AQ47" s="169">
        <f>'Earnings Model (adjusted)'!AQ47-'Earnings Model'!AQ47</f>
        <v>0</v>
      </c>
    </row>
    <row r="48" spans="1:43" s="20" customFormat="1" outlineLevel="1" x14ac:dyDescent="0.25">
      <c r="A48" s="269"/>
      <c r="B48" s="589" t="s">
        <v>153</v>
      </c>
      <c r="C48" s="590"/>
      <c r="D48" s="41">
        <v>9777</v>
      </c>
      <c r="E48" s="41">
        <v>9776</v>
      </c>
      <c r="F48" s="283">
        <v>9857</v>
      </c>
      <c r="G48" s="41">
        <v>9974</v>
      </c>
      <c r="H48" s="178"/>
      <c r="I48" s="41">
        <v>10020</v>
      </c>
      <c r="J48" s="41">
        <v>10051</v>
      </c>
      <c r="K48" s="41">
        <v>10017</v>
      </c>
      <c r="L48" s="41">
        <v>10109</v>
      </c>
      <c r="M48" s="178"/>
      <c r="N48" s="41">
        <v>10029</v>
      </c>
      <c r="O48" s="41">
        <f>+N48+O49</f>
        <v>9820</v>
      </c>
      <c r="P48" s="41">
        <f t="shared" ref="P48" si="22">+O48+P49</f>
        <v>9860</v>
      </c>
      <c r="Q48" s="169">
        <f>'Earnings Model (adjusted)'!Q48-'Earnings Model'!Q48</f>
        <v>0</v>
      </c>
      <c r="R48" s="169">
        <f>'Earnings Model (adjusted)'!R48-'Earnings Model'!R48</f>
        <v>0</v>
      </c>
      <c r="S48" s="169">
        <f>'Earnings Model (adjusted)'!S48-'Earnings Model'!S48</f>
        <v>0</v>
      </c>
      <c r="T48" s="169">
        <f>'Earnings Model (adjusted)'!T48-'Earnings Model'!T48</f>
        <v>0</v>
      </c>
      <c r="U48" s="169">
        <f>'Earnings Model (adjusted)'!U48-'Earnings Model'!U48</f>
        <v>0</v>
      </c>
      <c r="V48" s="169">
        <f>'Earnings Model (adjusted)'!V48-'Earnings Model'!V48</f>
        <v>0</v>
      </c>
      <c r="W48" s="169">
        <f>'Earnings Model (adjusted)'!W48-'Earnings Model'!W48</f>
        <v>0</v>
      </c>
      <c r="X48" s="169">
        <f>'Earnings Model (adjusted)'!X48-'Earnings Model'!X48</f>
        <v>0</v>
      </c>
      <c r="Y48" s="169">
        <f>'Earnings Model (adjusted)'!Y48-'Earnings Model'!Y48</f>
        <v>0</v>
      </c>
      <c r="Z48" s="169">
        <f>'Earnings Model (adjusted)'!Z48-'Earnings Model'!Z48</f>
        <v>0</v>
      </c>
      <c r="AA48" s="169">
        <f>'Earnings Model (adjusted)'!AA48-'Earnings Model'!AA48</f>
        <v>0</v>
      </c>
      <c r="AB48" s="169">
        <f>'Earnings Model (adjusted)'!AB48-'Earnings Model'!AB48</f>
        <v>0</v>
      </c>
      <c r="AC48" s="169">
        <f>'Earnings Model (adjusted)'!AC48-'Earnings Model'!AC48</f>
        <v>0</v>
      </c>
      <c r="AD48" s="169">
        <f>'Earnings Model (adjusted)'!AD48-'Earnings Model'!AD48</f>
        <v>0</v>
      </c>
      <c r="AE48" s="169">
        <f>'Earnings Model (adjusted)'!AE48-'Earnings Model'!AE48</f>
        <v>0</v>
      </c>
      <c r="AF48" s="169">
        <f>'Earnings Model (adjusted)'!AF48-'Earnings Model'!AF48</f>
        <v>0</v>
      </c>
      <c r="AG48" s="169">
        <f>'Earnings Model (adjusted)'!AG48-'Earnings Model'!AG48</f>
        <v>0</v>
      </c>
      <c r="AH48" s="169">
        <f>'Earnings Model (adjusted)'!AH48-'Earnings Model'!AH48</f>
        <v>0</v>
      </c>
      <c r="AI48" s="169">
        <f>'Earnings Model (adjusted)'!AI48-'Earnings Model'!AI48</f>
        <v>0</v>
      </c>
      <c r="AJ48" s="169">
        <f>'Earnings Model (adjusted)'!AJ48-'Earnings Model'!AJ48</f>
        <v>0</v>
      </c>
      <c r="AK48" s="169">
        <f>'Earnings Model (adjusted)'!AK48-'Earnings Model'!AK48</f>
        <v>0</v>
      </c>
      <c r="AL48" s="169">
        <f>'Earnings Model (adjusted)'!AL48-'Earnings Model'!AL48</f>
        <v>0</v>
      </c>
      <c r="AM48" s="169">
        <f>'Earnings Model (adjusted)'!AM48-'Earnings Model'!AM48</f>
        <v>0</v>
      </c>
      <c r="AN48" s="169">
        <f>'Earnings Model (adjusted)'!AN48-'Earnings Model'!AN48</f>
        <v>0</v>
      </c>
      <c r="AO48" s="169">
        <f>'Earnings Model (adjusted)'!AO48-'Earnings Model'!AO48</f>
        <v>0</v>
      </c>
      <c r="AP48" s="169">
        <f>'Earnings Model (adjusted)'!AP48-'Earnings Model'!AP48</f>
        <v>0</v>
      </c>
      <c r="AQ48" s="169">
        <f>'Earnings Model (adjusted)'!AQ48-'Earnings Model'!AQ48</f>
        <v>0</v>
      </c>
    </row>
    <row r="49" spans="1:43" outlineLevel="1" x14ac:dyDescent="0.25">
      <c r="A49" s="254"/>
      <c r="B49" s="466" t="s">
        <v>158</v>
      </c>
      <c r="C49" s="556"/>
      <c r="D49" s="256">
        <f>+D48-9690</f>
        <v>87</v>
      </c>
      <c r="E49" s="256">
        <f>E48-D48</f>
        <v>-1</v>
      </c>
      <c r="F49" s="256">
        <f t="shared" ref="F49:G49" si="23">F48-E48</f>
        <v>81</v>
      </c>
      <c r="G49" s="256">
        <f t="shared" si="23"/>
        <v>117</v>
      </c>
      <c r="H49" s="291">
        <f>+SUM(D49:G49)</f>
        <v>284</v>
      </c>
      <c r="I49" s="256">
        <f>I48-G48</f>
        <v>46</v>
      </c>
      <c r="J49" s="256">
        <f t="shared" ref="J49" si="24">J48-I48</f>
        <v>31</v>
      </c>
      <c r="K49" s="256">
        <f>K48-J48</f>
        <v>-34</v>
      </c>
      <c r="L49" s="256">
        <f>L48-K48</f>
        <v>92</v>
      </c>
      <c r="M49" s="291">
        <f>+SUM(I49:L49)</f>
        <v>135</v>
      </c>
      <c r="N49" s="256">
        <v>-80</v>
      </c>
      <c r="O49" s="256">
        <v>-209</v>
      </c>
      <c r="P49" s="256">
        <v>40</v>
      </c>
      <c r="Q49" s="169">
        <f>'Earnings Model (adjusted)'!Q49-'Earnings Model'!Q49</f>
        <v>0</v>
      </c>
      <c r="R49" s="169">
        <f>'Earnings Model (adjusted)'!R49-'Earnings Model'!R49</f>
        <v>0</v>
      </c>
      <c r="S49" s="169">
        <f>'Earnings Model (adjusted)'!S49-'Earnings Model'!S49</f>
        <v>0</v>
      </c>
      <c r="T49" s="169">
        <f>'Earnings Model (adjusted)'!T49-'Earnings Model'!T49</f>
        <v>0</v>
      </c>
      <c r="U49" s="169">
        <f>'Earnings Model (adjusted)'!U49-'Earnings Model'!U49</f>
        <v>0</v>
      </c>
      <c r="V49" s="169">
        <f>'Earnings Model (adjusted)'!V49-'Earnings Model'!V49</f>
        <v>0</v>
      </c>
      <c r="W49" s="169">
        <f>'Earnings Model (adjusted)'!W49-'Earnings Model'!W49</f>
        <v>0</v>
      </c>
      <c r="X49" s="169">
        <f>'Earnings Model (adjusted)'!X49-'Earnings Model'!X49</f>
        <v>0</v>
      </c>
      <c r="Y49" s="169">
        <f>'Earnings Model (adjusted)'!Y49-'Earnings Model'!Y49</f>
        <v>0</v>
      </c>
      <c r="Z49" s="169">
        <f>'Earnings Model (adjusted)'!Z49-'Earnings Model'!Z49</f>
        <v>0</v>
      </c>
      <c r="AA49" s="169">
        <f>'Earnings Model (adjusted)'!AA49-'Earnings Model'!AA49</f>
        <v>0</v>
      </c>
      <c r="AB49" s="169">
        <f>'Earnings Model (adjusted)'!AB49-'Earnings Model'!AB49</f>
        <v>0</v>
      </c>
      <c r="AC49" s="169">
        <f>'Earnings Model (adjusted)'!AC49-'Earnings Model'!AC49</f>
        <v>0</v>
      </c>
      <c r="AD49" s="169">
        <f>'Earnings Model (adjusted)'!AD49-'Earnings Model'!AD49</f>
        <v>0</v>
      </c>
      <c r="AE49" s="169">
        <f>'Earnings Model (adjusted)'!AE49-'Earnings Model'!AE49</f>
        <v>0</v>
      </c>
      <c r="AF49" s="169">
        <f>'Earnings Model (adjusted)'!AF49-'Earnings Model'!AF49</f>
        <v>0</v>
      </c>
      <c r="AG49" s="169">
        <f>'Earnings Model (adjusted)'!AG49-'Earnings Model'!AG49</f>
        <v>0</v>
      </c>
      <c r="AH49" s="169">
        <f>'Earnings Model (adjusted)'!AH49-'Earnings Model'!AH49</f>
        <v>0</v>
      </c>
      <c r="AI49" s="169">
        <f>'Earnings Model (adjusted)'!AI49-'Earnings Model'!AI49</f>
        <v>0</v>
      </c>
      <c r="AJ49" s="169">
        <f>'Earnings Model (adjusted)'!AJ49-'Earnings Model'!AJ49</f>
        <v>0</v>
      </c>
      <c r="AK49" s="169">
        <f>'Earnings Model (adjusted)'!AK49-'Earnings Model'!AK49</f>
        <v>0</v>
      </c>
      <c r="AL49" s="169">
        <f>'Earnings Model (adjusted)'!AL49-'Earnings Model'!AL49</f>
        <v>0</v>
      </c>
      <c r="AM49" s="169">
        <f>'Earnings Model (adjusted)'!AM49-'Earnings Model'!AM49</f>
        <v>0</v>
      </c>
      <c r="AN49" s="169">
        <f>'Earnings Model (adjusted)'!AN49-'Earnings Model'!AN49</f>
        <v>0</v>
      </c>
      <c r="AO49" s="169">
        <f>'Earnings Model (adjusted)'!AO49-'Earnings Model'!AO49</f>
        <v>0</v>
      </c>
      <c r="AP49" s="169">
        <f>'Earnings Model (adjusted)'!AP49-'Earnings Model'!AP49</f>
        <v>0</v>
      </c>
      <c r="AQ49" s="169">
        <f>'Earnings Model (adjusted)'!AQ49-'Earnings Model'!AQ49</f>
        <v>0</v>
      </c>
    </row>
    <row r="50" spans="1:43" s="186" customFormat="1" outlineLevel="1" x14ac:dyDescent="0.25">
      <c r="A50" s="272"/>
      <c r="B50" s="187" t="s">
        <v>159</v>
      </c>
      <c r="C50" s="188"/>
      <c r="D50" s="190">
        <v>9527</v>
      </c>
      <c r="E50" s="190">
        <v>9499</v>
      </c>
      <c r="F50" s="190">
        <v>9594</v>
      </c>
      <c r="G50" s="190">
        <v>9690</v>
      </c>
      <c r="H50" s="191"/>
      <c r="I50" s="190">
        <f>D48</f>
        <v>9777</v>
      </c>
      <c r="J50" s="190">
        <f>E48</f>
        <v>9776</v>
      </c>
      <c r="K50" s="190">
        <f>F48</f>
        <v>9857</v>
      </c>
      <c r="L50" s="190">
        <f>G48</f>
        <v>9974</v>
      </c>
      <c r="M50" s="316"/>
      <c r="N50" s="190">
        <f>I48</f>
        <v>10020</v>
      </c>
      <c r="O50" s="190">
        <f>J48</f>
        <v>10051</v>
      </c>
      <c r="P50" s="190">
        <f>K48</f>
        <v>10017</v>
      </c>
      <c r="Q50" s="169">
        <f>'Earnings Model (adjusted)'!Q50-'Earnings Model'!Q50</f>
        <v>0</v>
      </c>
      <c r="R50" s="169">
        <f>'Earnings Model (adjusted)'!R50-'Earnings Model'!R50</f>
        <v>0</v>
      </c>
      <c r="S50" s="169">
        <f>'Earnings Model (adjusted)'!S50-'Earnings Model'!S50</f>
        <v>0</v>
      </c>
      <c r="T50" s="169">
        <f>'Earnings Model (adjusted)'!T50-'Earnings Model'!T50</f>
        <v>0</v>
      </c>
      <c r="U50" s="169">
        <f>'Earnings Model (adjusted)'!U50-'Earnings Model'!U50</f>
        <v>0</v>
      </c>
      <c r="V50" s="169">
        <f>'Earnings Model (adjusted)'!V50-'Earnings Model'!V50</f>
        <v>0</v>
      </c>
      <c r="W50" s="169">
        <f>'Earnings Model (adjusted)'!W50-'Earnings Model'!W50</f>
        <v>0</v>
      </c>
      <c r="X50" s="169">
        <f>'Earnings Model (adjusted)'!X50-'Earnings Model'!X50</f>
        <v>0</v>
      </c>
      <c r="Y50" s="169">
        <f>'Earnings Model (adjusted)'!Y50-'Earnings Model'!Y50</f>
        <v>0</v>
      </c>
      <c r="Z50" s="169">
        <f>'Earnings Model (adjusted)'!Z50-'Earnings Model'!Z50</f>
        <v>0</v>
      </c>
      <c r="AA50" s="169">
        <f>'Earnings Model (adjusted)'!AA50-'Earnings Model'!AA50</f>
        <v>0</v>
      </c>
      <c r="AB50" s="169">
        <f>'Earnings Model (adjusted)'!AB50-'Earnings Model'!AB50</f>
        <v>0</v>
      </c>
      <c r="AC50" s="169">
        <f>'Earnings Model (adjusted)'!AC50-'Earnings Model'!AC50</f>
        <v>0</v>
      </c>
      <c r="AD50" s="169">
        <f>'Earnings Model (adjusted)'!AD50-'Earnings Model'!AD50</f>
        <v>0</v>
      </c>
      <c r="AE50" s="169">
        <f>'Earnings Model (adjusted)'!AE50-'Earnings Model'!AE50</f>
        <v>0</v>
      </c>
      <c r="AF50" s="169">
        <f>'Earnings Model (adjusted)'!AF50-'Earnings Model'!AF50</f>
        <v>0</v>
      </c>
      <c r="AG50" s="169">
        <f>'Earnings Model (adjusted)'!AG50-'Earnings Model'!AG50</f>
        <v>0</v>
      </c>
      <c r="AH50" s="169">
        <f>'Earnings Model (adjusted)'!AH50-'Earnings Model'!AH50</f>
        <v>0</v>
      </c>
      <c r="AI50" s="169">
        <f>'Earnings Model (adjusted)'!AI50-'Earnings Model'!AI50</f>
        <v>0</v>
      </c>
      <c r="AJ50" s="169">
        <f>'Earnings Model (adjusted)'!AJ50-'Earnings Model'!AJ50</f>
        <v>0</v>
      </c>
      <c r="AK50" s="169">
        <f>'Earnings Model (adjusted)'!AK50-'Earnings Model'!AK50</f>
        <v>0</v>
      </c>
      <c r="AL50" s="169">
        <f>'Earnings Model (adjusted)'!AL50-'Earnings Model'!AL50</f>
        <v>0</v>
      </c>
      <c r="AM50" s="169">
        <f>'Earnings Model (adjusted)'!AM50-'Earnings Model'!AM50</f>
        <v>0</v>
      </c>
      <c r="AN50" s="169">
        <f>'Earnings Model (adjusted)'!AN50-'Earnings Model'!AN50</f>
        <v>0</v>
      </c>
      <c r="AO50" s="169">
        <f>'Earnings Model (adjusted)'!AO50-'Earnings Model'!AO50</f>
        <v>0</v>
      </c>
      <c r="AP50" s="169">
        <f>'Earnings Model (adjusted)'!AP50-'Earnings Model'!AP50</f>
        <v>0</v>
      </c>
      <c r="AQ50" s="169">
        <f>'Earnings Model (adjusted)'!AQ50-'Earnings Model'!AQ50</f>
        <v>0</v>
      </c>
    </row>
    <row r="51" spans="1:43" s="186" customFormat="1" outlineLevel="1" x14ac:dyDescent="0.25">
      <c r="A51" s="272"/>
      <c r="B51" s="187" t="s">
        <v>160</v>
      </c>
      <c r="C51" s="188"/>
      <c r="D51" s="192">
        <v>0.42069471068107506</v>
      </c>
      <c r="E51" s="192">
        <v>0.39562181698744753</v>
      </c>
      <c r="F51" s="192">
        <v>0.42259741164000009</v>
      </c>
      <c r="G51" s="192">
        <v>0.4146794606933184</v>
      </c>
      <c r="H51" s="345"/>
      <c r="I51" s="192">
        <v>0.44327906252530785</v>
      </c>
      <c r="J51" s="192">
        <v>0.37960289685783705</v>
      </c>
      <c r="K51" s="192">
        <v>0.26042101009888236</v>
      </c>
      <c r="L51" s="192">
        <f>+G51*(1+L54)</f>
        <v>0.37735830923091979</v>
      </c>
      <c r="M51" s="346"/>
      <c r="N51" s="192">
        <f>+I51*(1+N54)</f>
        <v>0.41668231877378936</v>
      </c>
      <c r="O51" s="192">
        <f>+J51*(1+O54)</f>
        <v>0.4137671575750424</v>
      </c>
      <c r="P51" s="192">
        <f t="shared" ref="P51" si="25">+K51*(1+P54)</f>
        <v>0.47917465858194347</v>
      </c>
      <c r="Q51" s="169">
        <f>'Earnings Model (adjusted)'!Q51-'Earnings Model'!Q51</f>
        <v>0</v>
      </c>
      <c r="R51" s="169">
        <f>'Earnings Model (adjusted)'!R51-'Earnings Model'!R51</f>
        <v>0</v>
      </c>
      <c r="S51" s="169">
        <f>'Earnings Model (adjusted)'!S51-'Earnings Model'!S51</f>
        <v>8.3336463754757895E-3</v>
      </c>
      <c r="T51" s="169">
        <f>'Earnings Model (adjusted)'!T51-'Earnings Model'!T51</f>
        <v>8.275343151500858E-3</v>
      </c>
      <c r="U51" s="169">
        <f>'Earnings Model (adjusted)'!U51-'Earnings Model'!U51</f>
        <v>4.7917465858194896E-3</v>
      </c>
      <c r="V51" s="169">
        <f>'Earnings Model (adjusted)'!V51-'Earnings Model'!V51</f>
        <v>4.7169788653865785E-3</v>
      </c>
      <c r="W51" s="169">
        <f>'Earnings Model (adjusted)'!W51-'Earnings Model'!W51</f>
        <v>0</v>
      </c>
      <c r="X51" s="169">
        <f>'Earnings Model (adjusted)'!X51-'Earnings Model'!X51</f>
        <v>1.1083749679382859E-2</v>
      </c>
      <c r="Y51" s="169">
        <f>'Earnings Model (adjusted)'!Y51-'Earnings Model'!Y51</f>
        <v>1.1006206391496243E-2</v>
      </c>
      <c r="Z51" s="169">
        <f>'Earnings Model (adjusted)'!Z51-'Earnings Model'!Z51</f>
        <v>5.0073751821813062E-3</v>
      </c>
      <c r="AA51" s="169">
        <f>'Earnings Model (adjusted)'!AA51-'Earnings Model'!AA51</f>
        <v>4.9292429143289462E-3</v>
      </c>
      <c r="AB51" s="169">
        <f>'Earnings Model (adjusted)'!AB51-'Earnings Model'!AB51</f>
        <v>0</v>
      </c>
      <c r="AC51" s="169">
        <f>'Earnings Model (adjusted)'!AC51-'Earnings Model'!AC51</f>
        <v>1.4076362092816264E-2</v>
      </c>
      <c r="AD51" s="169">
        <f>'Earnings Model (adjusted)'!AD51-'Earnings Model'!AD51</f>
        <v>1.3977882117200302E-2</v>
      </c>
      <c r="AE51" s="169">
        <f>'Earnings Model (adjusted)'!AE51-'Earnings Model'!AE51</f>
        <v>5.2327070653794827E-3</v>
      </c>
      <c r="AF51" s="169">
        <f>'Earnings Model (adjusted)'!AF51-'Earnings Model'!AF51</f>
        <v>2.4646214571645286E-3</v>
      </c>
      <c r="AG51" s="169">
        <f>'Earnings Model (adjusted)'!AG51-'Earnings Model'!AG51</f>
        <v>0</v>
      </c>
      <c r="AH51" s="169">
        <f>'Earnings Model (adjusted)'!AH51-'Earnings Model'!AH51</f>
        <v>1.7257952438282986E-2</v>
      </c>
      <c r="AI51" s="169">
        <f>'Earnings Model (adjusted)'!AI51-'Earnings Model'!AI51</f>
        <v>1.7137213661879258E-2</v>
      </c>
      <c r="AJ51" s="169">
        <f>'Earnings Model (adjusted)'!AJ51-'Earnings Model'!AJ51</f>
        <v>5.4420153479945998E-3</v>
      </c>
      <c r="AK51" s="169">
        <f>'Earnings Model (adjusted)'!AK51-'Earnings Model'!AK51</f>
        <v>2.5632063154511497E-3</v>
      </c>
      <c r="AL51" s="169">
        <f>'Earnings Model (adjusted)'!AL51-'Earnings Model'!AL51</f>
        <v>0</v>
      </c>
      <c r="AM51" s="169">
        <f>'Earnings Model (adjusted)'!AM51-'Earnings Model'!AM51</f>
        <v>1.794827053581427E-2</v>
      </c>
      <c r="AN51" s="169">
        <f>'Earnings Model (adjusted)'!AN51-'Earnings Model'!AN51</f>
        <v>1.7822702208354357E-2</v>
      </c>
      <c r="AO51" s="169">
        <f>'Earnings Model (adjusted)'!AO51-'Earnings Model'!AO51</f>
        <v>5.6596959619144016E-3</v>
      </c>
      <c r="AP51" s="169">
        <f>'Earnings Model (adjusted)'!AP51-'Earnings Model'!AP51</f>
        <v>2.665734568069178E-3</v>
      </c>
      <c r="AQ51" s="169">
        <f>'Earnings Model (adjusted)'!AQ51-'Earnings Model'!AQ51</f>
        <v>0</v>
      </c>
    </row>
    <row r="52" spans="1:43" outlineLevel="1" x14ac:dyDescent="0.25">
      <c r="A52" s="254"/>
      <c r="B52" s="550" t="s">
        <v>156</v>
      </c>
      <c r="C52" s="551"/>
      <c r="D52" s="285">
        <v>0.04</v>
      </c>
      <c r="E52" s="285">
        <v>0</v>
      </c>
      <c r="F52" s="285">
        <v>0.03</v>
      </c>
      <c r="G52" s="285">
        <v>0.03</v>
      </c>
      <c r="H52" s="311"/>
      <c r="I52" s="285">
        <v>0.02</v>
      </c>
      <c r="J52" s="285">
        <v>-7.0000000000000007E-2</v>
      </c>
      <c r="K52" s="285">
        <v>-0.53</v>
      </c>
      <c r="L52" s="56">
        <v>-0.25</v>
      </c>
      <c r="M52" s="311"/>
      <c r="N52" s="285">
        <v>-0.21</v>
      </c>
      <c r="O52" s="285">
        <v>-0.1</v>
      </c>
      <c r="P52" s="285">
        <v>0.82</v>
      </c>
      <c r="Q52" s="169">
        <f>'Earnings Model (adjusted)'!Q52-'Earnings Model'!Q52</f>
        <v>0</v>
      </c>
      <c r="R52" s="169">
        <f>'Earnings Model (adjusted)'!R52-'Earnings Model'!R52</f>
        <v>0</v>
      </c>
      <c r="S52" s="169">
        <f>'Earnings Model (adjusted)'!S52-'Earnings Model'!S52</f>
        <v>0</v>
      </c>
      <c r="T52" s="169">
        <f>'Earnings Model (adjusted)'!T52-'Earnings Model'!T52</f>
        <v>0</v>
      </c>
      <c r="U52" s="169">
        <f>'Earnings Model (adjusted)'!U52-'Earnings Model'!U52</f>
        <v>0</v>
      </c>
      <c r="V52" s="169">
        <f>'Earnings Model (adjusted)'!V52-'Earnings Model'!V52</f>
        <v>0</v>
      </c>
      <c r="W52" s="169">
        <f>'Earnings Model (adjusted)'!W52-'Earnings Model'!W52</f>
        <v>0</v>
      </c>
      <c r="X52" s="169">
        <f>'Earnings Model (adjusted)'!X52-'Earnings Model'!X52</f>
        <v>0</v>
      </c>
      <c r="Y52" s="169">
        <f>'Earnings Model (adjusted)'!Y52-'Earnings Model'!Y52</f>
        <v>0</v>
      </c>
      <c r="Z52" s="169">
        <f>'Earnings Model (adjusted)'!Z52-'Earnings Model'!Z52</f>
        <v>0</v>
      </c>
      <c r="AA52" s="169">
        <f>'Earnings Model (adjusted)'!AA52-'Earnings Model'!AA52</f>
        <v>0</v>
      </c>
      <c r="AB52" s="169">
        <f>'Earnings Model (adjusted)'!AB52-'Earnings Model'!AB52</f>
        <v>0</v>
      </c>
      <c r="AC52" s="169">
        <f>'Earnings Model (adjusted)'!AC52-'Earnings Model'!AC52</f>
        <v>0</v>
      </c>
      <c r="AD52" s="169">
        <f>'Earnings Model (adjusted)'!AD52-'Earnings Model'!AD52</f>
        <v>0</v>
      </c>
      <c r="AE52" s="169">
        <f>'Earnings Model (adjusted)'!AE52-'Earnings Model'!AE52</f>
        <v>0</v>
      </c>
      <c r="AF52" s="169">
        <f>'Earnings Model (adjusted)'!AF52-'Earnings Model'!AF52</f>
        <v>0</v>
      </c>
      <c r="AG52" s="169">
        <f>'Earnings Model (adjusted)'!AG52-'Earnings Model'!AG52</f>
        <v>0</v>
      </c>
      <c r="AH52" s="169">
        <f>'Earnings Model (adjusted)'!AH52-'Earnings Model'!AH52</f>
        <v>0</v>
      </c>
      <c r="AI52" s="169">
        <f>'Earnings Model (adjusted)'!AI52-'Earnings Model'!AI52</f>
        <v>0</v>
      </c>
      <c r="AJ52" s="169">
        <f>'Earnings Model (adjusted)'!AJ52-'Earnings Model'!AJ52</f>
        <v>0</v>
      </c>
      <c r="AK52" s="169">
        <f>'Earnings Model (adjusted)'!AK52-'Earnings Model'!AK52</f>
        <v>0</v>
      </c>
      <c r="AL52" s="169">
        <f>'Earnings Model (adjusted)'!AL52-'Earnings Model'!AL52</f>
        <v>0</v>
      </c>
      <c r="AM52" s="169">
        <f>'Earnings Model (adjusted)'!AM52-'Earnings Model'!AM52</f>
        <v>0</v>
      </c>
      <c r="AN52" s="169">
        <f>'Earnings Model (adjusted)'!AN52-'Earnings Model'!AN52</f>
        <v>0</v>
      </c>
      <c r="AO52" s="169">
        <f>'Earnings Model (adjusted)'!AO52-'Earnings Model'!AO52</f>
        <v>0</v>
      </c>
      <c r="AP52" s="169">
        <f>'Earnings Model (adjusted)'!AP52-'Earnings Model'!AP52</f>
        <v>0</v>
      </c>
      <c r="AQ52" s="169">
        <f>'Earnings Model (adjusted)'!AQ52-'Earnings Model'!AQ52</f>
        <v>0</v>
      </c>
    </row>
    <row r="53" spans="1:43" outlineLevel="1" x14ac:dyDescent="0.25">
      <c r="A53" s="254"/>
      <c r="B53" s="550" t="s">
        <v>155</v>
      </c>
      <c r="C53" s="551"/>
      <c r="D53" s="359">
        <v>0</v>
      </c>
      <c r="E53" s="359">
        <v>0.04</v>
      </c>
      <c r="F53" s="359">
        <v>0.04</v>
      </c>
      <c r="G53" s="359">
        <v>0.03</v>
      </c>
      <c r="H53" s="347"/>
      <c r="I53" s="359">
        <v>0.03</v>
      </c>
      <c r="J53" s="359">
        <v>0.05</v>
      </c>
      <c r="K53" s="359">
        <v>0.27</v>
      </c>
      <c r="L53" s="180">
        <v>0.21</v>
      </c>
      <c r="M53" s="347"/>
      <c r="N53" s="359">
        <v>0.2</v>
      </c>
      <c r="O53" s="359">
        <v>0.22</v>
      </c>
      <c r="P53" s="359">
        <v>0.01</v>
      </c>
      <c r="Q53" s="169">
        <f>'Earnings Model (adjusted)'!Q53-'Earnings Model'!Q53</f>
        <v>0</v>
      </c>
      <c r="R53" s="169">
        <f>'Earnings Model (adjusted)'!R53-'Earnings Model'!R53</f>
        <v>0</v>
      </c>
      <c r="S53" s="169">
        <f>'Earnings Model (adjusted)'!S53-'Earnings Model'!S53</f>
        <v>0</v>
      </c>
      <c r="T53" s="169">
        <f>'Earnings Model (adjusted)'!T53-'Earnings Model'!T53</f>
        <v>0</v>
      </c>
      <c r="U53" s="169">
        <f>'Earnings Model (adjusted)'!U53-'Earnings Model'!U53</f>
        <v>0</v>
      </c>
      <c r="V53" s="169">
        <f>'Earnings Model (adjusted)'!V53-'Earnings Model'!V53</f>
        <v>0</v>
      </c>
      <c r="W53" s="169">
        <f>'Earnings Model (adjusted)'!W53-'Earnings Model'!W53</f>
        <v>0</v>
      </c>
      <c r="X53" s="169">
        <f>'Earnings Model (adjusted)'!X53-'Earnings Model'!X53</f>
        <v>0</v>
      </c>
      <c r="Y53" s="169">
        <f>'Earnings Model (adjusted)'!Y53-'Earnings Model'!Y53</f>
        <v>0</v>
      </c>
      <c r="Z53" s="169">
        <f>'Earnings Model (adjusted)'!Z53-'Earnings Model'!Z53</f>
        <v>0</v>
      </c>
      <c r="AA53" s="169">
        <f>'Earnings Model (adjusted)'!AA53-'Earnings Model'!AA53</f>
        <v>0</v>
      </c>
      <c r="AB53" s="169">
        <f>'Earnings Model (adjusted)'!AB53-'Earnings Model'!AB53</f>
        <v>0</v>
      </c>
      <c r="AC53" s="169">
        <f>'Earnings Model (adjusted)'!AC53-'Earnings Model'!AC53</f>
        <v>0</v>
      </c>
      <c r="AD53" s="169">
        <f>'Earnings Model (adjusted)'!AD53-'Earnings Model'!AD53</f>
        <v>0</v>
      </c>
      <c r="AE53" s="169">
        <f>'Earnings Model (adjusted)'!AE53-'Earnings Model'!AE53</f>
        <v>0</v>
      </c>
      <c r="AF53" s="169">
        <f>'Earnings Model (adjusted)'!AF53-'Earnings Model'!AF53</f>
        <v>0</v>
      </c>
      <c r="AG53" s="169">
        <f>'Earnings Model (adjusted)'!AG53-'Earnings Model'!AG53</f>
        <v>0</v>
      </c>
      <c r="AH53" s="169">
        <f>'Earnings Model (adjusted)'!AH53-'Earnings Model'!AH53</f>
        <v>0</v>
      </c>
      <c r="AI53" s="169">
        <f>'Earnings Model (adjusted)'!AI53-'Earnings Model'!AI53</f>
        <v>0</v>
      </c>
      <c r="AJ53" s="169">
        <f>'Earnings Model (adjusted)'!AJ53-'Earnings Model'!AJ53</f>
        <v>0</v>
      </c>
      <c r="AK53" s="169">
        <f>'Earnings Model (adjusted)'!AK53-'Earnings Model'!AK53</f>
        <v>0</v>
      </c>
      <c r="AL53" s="169">
        <f>'Earnings Model (adjusted)'!AL53-'Earnings Model'!AL53</f>
        <v>0</v>
      </c>
      <c r="AM53" s="169">
        <f>'Earnings Model (adjusted)'!AM53-'Earnings Model'!AM53</f>
        <v>0</v>
      </c>
      <c r="AN53" s="169">
        <f>'Earnings Model (adjusted)'!AN53-'Earnings Model'!AN53</f>
        <v>0</v>
      </c>
      <c r="AO53" s="169">
        <f>'Earnings Model (adjusted)'!AO53-'Earnings Model'!AO53</f>
        <v>0</v>
      </c>
      <c r="AP53" s="169">
        <f>'Earnings Model (adjusted)'!AP53-'Earnings Model'!AP53</f>
        <v>0</v>
      </c>
      <c r="AQ53" s="169">
        <f>'Earnings Model (adjusted)'!AQ53-'Earnings Model'!AQ53</f>
        <v>0</v>
      </c>
    </row>
    <row r="54" spans="1:43" s="20" customFormat="1" outlineLevel="1" x14ac:dyDescent="0.25">
      <c r="A54" s="269"/>
      <c r="B54" s="552" t="s">
        <v>157</v>
      </c>
      <c r="C54" s="546"/>
      <c r="D54" s="360">
        <v>0.04</v>
      </c>
      <c r="E54" s="360">
        <v>4.2999999999999997E-2</v>
      </c>
      <c r="F54" s="361">
        <v>7.0000000000000007E-2</v>
      </c>
      <c r="G54" s="360">
        <v>0.06</v>
      </c>
      <c r="H54" s="322"/>
      <c r="I54" s="360">
        <v>0.06</v>
      </c>
      <c r="J54" s="360">
        <v>-0.03</v>
      </c>
      <c r="K54" s="360">
        <v>-0.41</v>
      </c>
      <c r="L54" s="366">
        <v>-0.09</v>
      </c>
      <c r="M54" s="348"/>
      <c r="N54" s="366">
        <v>-0.06</v>
      </c>
      <c r="O54" s="366">
        <v>0.09</v>
      </c>
      <c r="P54" s="360">
        <v>0.84</v>
      </c>
      <c r="Q54" s="169">
        <f>'Earnings Model (adjusted)'!Q54-'Earnings Model'!Q54</f>
        <v>0</v>
      </c>
      <c r="R54" s="169">
        <f>'Earnings Model (adjusted)'!R54-'Earnings Model'!R54</f>
        <v>0</v>
      </c>
      <c r="S54" s="169">
        <f>'Earnings Model (adjusted)'!S54-'Earnings Model'!S54</f>
        <v>2.0000000000000018E-2</v>
      </c>
      <c r="T54" s="169">
        <f>'Earnings Model (adjusted)'!T54-'Earnings Model'!T54</f>
        <v>2.0000000000000018E-2</v>
      </c>
      <c r="U54" s="169">
        <f>'Earnings Model (adjusted)'!U54-'Earnings Model'!U54</f>
        <v>9.999999999999995E-3</v>
      </c>
      <c r="V54" s="169">
        <f>'Earnings Model (adjusted)'!V54-'Earnings Model'!V54</f>
        <v>9.999999999999995E-3</v>
      </c>
      <c r="W54" s="169">
        <f>'Earnings Model (adjusted)'!W54-'Earnings Model'!W54</f>
        <v>0</v>
      </c>
      <c r="X54" s="169">
        <f>'Earnings Model (adjusted)'!X54-'Earnings Model'!X54</f>
        <v>5.0000000000000044E-3</v>
      </c>
      <c r="Y54" s="169">
        <f>'Earnings Model (adjusted)'!Y54-'Earnings Model'!Y54</f>
        <v>5.0000000000000044E-3</v>
      </c>
      <c r="Z54" s="169">
        <f>'Earnings Model (adjusted)'!Z54-'Earnings Model'!Z54</f>
        <v>0</v>
      </c>
      <c r="AA54" s="169">
        <f>'Earnings Model (adjusted)'!AA54-'Earnings Model'!AA54</f>
        <v>0</v>
      </c>
      <c r="AB54" s="169">
        <f>'Earnings Model (adjusted)'!AB54-'Earnings Model'!AB54</f>
        <v>0</v>
      </c>
      <c r="AC54" s="169">
        <f>'Earnings Model (adjusted)'!AC54-'Earnings Model'!AC54</f>
        <v>5.0000000000000044E-3</v>
      </c>
      <c r="AD54" s="169">
        <f>'Earnings Model (adjusted)'!AD54-'Earnings Model'!AD54</f>
        <v>5.0000000000000044E-3</v>
      </c>
      <c r="AE54" s="169">
        <f>'Earnings Model (adjusted)'!AE54-'Earnings Model'!AE54</f>
        <v>0</v>
      </c>
      <c r="AF54" s="169">
        <f>'Earnings Model (adjusted)'!AF54-'Earnings Model'!AF54</f>
        <v>-4.9999999999999975E-3</v>
      </c>
      <c r="AG54" s="169">
        <f>'Earnings Model (adjusted)'!AG54-'Earnings Model'!AG54</f>
        <v>0</v>
      </c>
      <c r="AH54" s="169">
        <f>'Earnings Model (adjusted)'!AH54-'Earnings Model'!AH54</f>
        <v>4.9999999999999975E-3</v>
      </c>
      <c r="AI54" s="169">
        <f>'Earnings Model (adjusted)'!AI54-'Earnings Model'!AI54</f>
        <v>4.9999999999999975E-3</v>
      </c>
      <c r="AJ54" s="169">
        <f>'Earnings Model (adjusted)'!AJ54-'Earnings Model'!AJ54</f>
        <v>0</v>
      </c>
      <c r="AK54" s="169">
        <f>'Earnings Model (adjusted)'!AK54-'Earnings Model'!AK54</f>
        <v>0</v>
      </c>
      <c r="AL54" s="169">
        <f>'Earnings Model (adjusted)'!AL54-'Earnings Model'!AL54</f>
        <v>0</v>
      </c>
      <c r="AM54" s="169">
        <f>'Earnings Model (adjusted)'!AM54-'Earnings Model'!AM54</f>
        <v>0</v>
      </c>
      <c r="AN54" s="169">
        <f>'Earnings Model (adjusted)'!AN54-'Earnings Model'!AN54</f>
        <v>0</v>
      </c>
      <c r="AO54" s="169">
        <f>'Earnings Model (adjusted)'!AO54-'Earnings Model'!AO54</f>
        <v>0</v>
      </c>
      <c r="AP54" s="169">
        <f>'Earnings Model (adjusted)'!AP54-'Earnings Model'!AP54</f>
        <v>0</v>
      </c>
      <c r="AQ54" s="169">
        <f>'Earnings Model (adjusted)'!AQ54-'Earnings Model'!AQ54</f>
        <v>0</v>
      </c>
    </row>
    <row r="55" spans="1:43" ht="17.25" outlineLevel="1" x14ac:dyDescent="0.4">
      <c r="A55" s="254"/>
      <c r="B55" s="166" t="s">
        <v>186</v>
      </c>
      <c r="C55" s="551"/>
      <c r="D55" s="61">
        <v>84</v>
      </c>
      <c r="E55" s="61">
        <v>92</v>
      </c>
      <c r="F55" s="61">
        <v>128</v>
      </c>
      <c r="G55" s="61">
        <v>146</v>
      </c>
      <c r="H55" s="18"/>
      <c r="I55" s="61">
        <v>137</v>
      </c>
      <c r="J55" s="61">
        <v>153</v>
      </c>
      <c r="K55" s="61">
        <v>2</v>
      </c>
      <c r="L55" s="61">
        <v>112</v>
      </c>
      <c r="M55" s="18"/>
      <c r="N55" s="61">
        <v>110</v>
      </c>
      <c r="O55" s="61">
        <v>110</v>
      </c>
      <c r="P55" s="61">
        <v>130</v>
      </c>
      <c r="Q55" s="169">
        <f>'Earnings Model (adjusted)'!Q55-'Earnings Model'!Q55</f>
        <v>0</v>
      </c>
      <c r="R55" s="169">
        <f>'Earnings Model (adjusted)'!R55-'Earnings Model'!R55</f>
        <v>0</v>
      </c>
      <c r="S55" s="169">
        <f>'Earnings Model (adjusted)'!S55-'Earnings Model'!S55</f>
        <v>0</v>
      </c>
      <c r="T55" s="169">
        <f>'Earnings Model (adjusted)'!T55-'Earnings Model'!T55</f>
        <v>0</v>
      </c>
      <c r="U55" s="169">
        <f>'Earnings Model (adjusted)'!U55-'Earnings Model'!U55</f>
        <v>0</v>
      </c>
      <c r="V55" s="169">
        <f>'Earnings Model (adjusted)'!V55-'Earnings Model'!V55</f>
        <v>0</v>
      </c>
      <c r="W55" s="169">
        <f>'Earnings Model (adjusted)'!W55-'Earnings Model'!W55</f>
        <v>0</v>
      </c>
      <c r="X55" s="169">
        <f>'Earnings Model (adjusted)'!X55-'Earnings Model'!X55</f>
        <v>0</v>
      </c>
      <c r="Y55" s="169">
        <f>'Earnings Model (adjusted)'!Y55-'Earnings Model'!Y55</f>
        <v>0</v>
      </c>
      <c r="Z55" s="169">
        <f>'Earnings Model (adjusted)'!Z55-'Earnings Model'!Z55</f>
        <v>0</v>
      </c>
      <c r="AA55" s="169">
        <f>'Earnings Model (adjusted)'!AA55-'Earnings Model'!AA55</f>
        <v>0</v>
      </c>
      <c r="AB55" s="169">
        <f>'Earnings Model (adjusted)'!AB55-'Earnings Model'!AB55</f>
        <v>0</v>
      </c>
      <c r="AC55" s="169">
        <f>'Earnings Model (adjusted)'!AC55-'Earnings Model'!AC55</f>
        <v>0</v>
      </c>
      <c r="AD55" s="169">
        <f>'Earnings Model (adjusted)'!AD55-'Earnings Model'!AD55</f>
        <v>0</v>
      </c>
      <c r="AE55" s="169">
        <f>'Earnings Model (adjusted)'!AE55-'Earnings Model'!AE55</f>
        <v>0</v>
      </c>
      <c r="AF55" s="169">
        <f>'Earnings Model (adjusted)'!AF55-'Earnings Model'!AF55</f>
        <v>0</v>
      </c>
      <c r="AG55" s="169">
        <f>'Earnings Model (adjusted)'!AG55-'Earnings Model'!AG55</f>
        <v>0</v>
      </c>
      <c r="AH55" s="169">
        <f>'Earnings Model (adjusted)'!AH55-'Earnings Model'!AH55</f>
        <v>0</v>
      </c>
      <c r="AI55" s="169">
        <f>'Earnings Model (adjusted)'!AI55-'Earnings Model'!AI55</f>
        <v>0</v>
      </c>
      <c r="AJ55" s="169">
        <f>'Earnings Model (adjusted)'!AJ55-'Earnings Model'!AJ55</f>
        <v>0</v>
      </c>
      <c r="AK55" s="169">
        <f>'Earnings Model (adjusted)'!AK55-'Earnings Model'!AK55</f>
        <v>0</v>
      </c>
      <c r="AL55" s="169">
        <f>'Earnings Model (adjusted)'!AL55-'Earnings Model'!AL55</f>
        <v>0</v>
      </c>
      <c r="AM55" s="169">
        <f>'Earnings Model (adjusted)'!AM55-'Earnings Model'!AM55</f>
        <v>0</v>
      </c>
      <c r="AN55" s="169">
        <f>'Earnings Model (adjusted)'!AN55-'Earnings Model'!AN55</f>
        <v>0</v>
      </c>
      <c r="AO55" s="169">
        <f>'Earnings Model (adjusted)'!AO55-'Earnings Model'!AO55</f>
        <v>0</v>
      </c>
      <c r="AP55" s="169">
        <f>'Earnings Model (adjusted)'!AP55-'Earnings Model'!AP55</f>
        <v>0</v>
      </c>
      <c r="AQ55" s="169">
        <f>'Earnings Model (adjusted)'!AQ55-'Earnings Model'!AQ55</f>
        <v>0</v>
      </c>
    </row>
    <row r="56" spans="1:43" s="20" customFormat="1" outlineLevel="1" x14ac:dyDescent="0.25">
      <c r="A56" s="269"/>
      <c r="B56" s="585" t="s">
        <v>168</v>
      </c>
      <c r="C56" s="586"/>
      <c r="D56" s="171">
        <v>4092.2</v>
      </c>
      <c r="E56" s="171">
        <v>3849.6</v>
      </c>
      <c r="F56" s="171">
        <v>4182.2</v>
      </c>
      <c r="G56" s="171">
        <v>4164.2</v>
      </c>
      <c r="H56" s="239">
        <f>SUM(D56:G56)</f>
        <v>16288.2</v>
      </c>
      <c r="I56" s="171">
        <v>4471</v>
      </c>
      <c r="J56" s="171">
        <v>3863.6</v>
      </c>
      <c r="K56" s="259">
        <v>2568.9</v>
      </c>
      <c r="L56" s="171">
        <v>3875.3</v>
      </c>
      <c r="M56" s="239">
        <f>SUM(I56:L56)</f>
        <v>14778.8</v>
      </c>
      <c r="N56" s="171">
        <v>4284.8</v>
      </c>
      <c r="O56" s="171">
        <v>4268.3999999999996</v>
      </c>
      <c r="P56" s="171">
        <v>4929.8</v>
      </c>
      <c r="Q56" s="169">
        <f>'Earnings Model (adjusted)'!Q56-'Earnings Model'!Q56</f>
        <v>0</v>
      </c>
      <c r="R56" s="169">
        <f>'Earnings Model (adjusted)'!R56-'Earnings Model'!R56</f>
        <v>0</v>
      </c>
      <c r="S56" s="169">
        <f>'Earnings Model (adjusted)'!S56-'Earnings Model'!S56</f>
        <v>83.578139499646568</v>
      </c>
      <c r="T56" s="169">
        <f>'Earnings Model (adjusted)'!T56-'Earnings Model'!T56</f>
        <v>81.263869747738681</v>
      </c>
      <c r="U56" s="169">
        <f>'Earnings Model (adjusted)'!U56-'Earnings Model'!U56</f>
        <v>47.246621336180397</v>
      </c>
      <c r="V56" s="169">
        <f>'Earnings Model (adjusted)'!V56-'Earnings Model'!V56</f>
        <v>47.099033970885102</v>
      </c>
      <c r="W56" s="169">
        <f>'Earnings Model (adjusted)'!W56-'Earnings Model'!W56</f>
        <v>259.18766455444711</v>
      </c>
      <c r="X56" s="169">
        <f>'Earnings Model (adjusted)'!X56-'Earnings Model'!X56</f>
        <v>110.71051888422335</v>
      </c>
      <c r="Y56" s="169">
        <f>'Earnings Model (adjusted)'!Y56-'Earnings Model'!Y56</f>
        <v>110.49795356779032</v>
      </c>
      <c r="Z56" s="169">
        <f>'Earnings Model (adjusted)'!Z56-'Earnings Model'!Z56</f>
        <v>50.58519341133524</v>
      </c>
      <c r="AA56" s="169">
        <f>'Earnings Model (adjusted)'!AA56-'Earnings Model'!AA56</f>
        <v>50.164136268691436</v>
      </c>
      <c r="AB56" s="169">
        <f>'Earnings Model (adjusted)'!AB56-'Earnings Model'!AB56</f>
        <v>321.95780213204125</v>
      </c>
      <c r="AC56" s="169">
        <f>'Earnings Model (adjusted)'!AC56-'Earnings Model'!AC56</f>
        <v>144.31023593562986</v>
      </c>
      <c r="AD56" s="169">
        <f>'Earnings Model (adjusted)'!AD56-'Earnings Model'!AD56</f>
        <v>144.35618217214596</v>
      </c>
      <c r="AE56" s="169">
        <f>'Earnings Model (adjusted)'!AE56-'Earnings Model'!AE56</f>
        <v>54.437908316112043</v>
      </c>
      <c r="AF56" s="169">
        <f>'Earnings Model (adjusted)'!AF56-'Earnings Model'!AF56</f>
        <v>25.828541249098635</v>
      </c>
      <c r="AG56" s="169">
        <f>'Earnings Model (adjusted)'!AG56-'Earnings Model'!AG56</f>
        <v>368.93286767298559</v>
      </c>
      <c r="AH56" s="169">
        <f>'Earnings Model (adjusted)'!AH56-'Earnings Model'!AH56</f>
        <v>182.17573480253304</v>
      </c>
      <c r="AI56" s="169">
        <f>'Earnings Model (adjusted)'!AI56-'Earnings Model'!AI56</f>
        <v>182.20923138744729</v>
      </c>
      <c r="AJ56" s="169">
        <f>'Earnings Model (adjusted)'!AJ56-'Earnings Model'!AJ56</f>
        <v>58.276900889050012</v>
      </c>
      <c r="AK56" s="169">
        <f>'Earnings Model (adjusted)'!AK56-'Earnings Model'!AK56</f>
        <v>27.644243424853812</v>
      </c>
      <c r="AL56" s="169">
        <f>'Earnings Model (adjusted)'!AL56-'Earnings Model'!AL56</f>
        <v>450.30611050388325</v>
      </c>
      <c r="AM56" s="169">
        <f>'Earnings Model (adjusted)'!AM56-'Earnings Model'!AM56</f>
        <v>194.94246668400865</v>
      </c>
      <c r="AN56" s="169">
        <f>'Earnings Model (adjusted)'!AN56-'Earnings Model'!AN56</f>
        <v>194.93896645385121</v>
      </c>
      <c r="AO56" s="169">
        <f>'Earnings Model (adjusted)'!AO56-'Earnings Model'!AO56</f>
        <v>62.335912214516611</v>
      </c>
      <c r="AP56" s="169">
        <f>'Earnings Model (adjusted)'!AP56-'Earnings Model'!AP56</f>
        <v>29.563876108671138</v>
      </c>
      <c r="AQ56" s="169">
        <f>'Earnings Model (adjusted)'!AQ56-'Earnings Model'!AQ56</f>
        <v>481.78122146104579</v>
      </c>
    </row>
    <row r="57" spans="1:43" s="20" customFormat="1" outlineLevel="1" x14ac:dyDescent="0.25">
      <c r="A57" s="269"/>
      <c r="B57" s="193" t="s">
        <v>163</v>
      </c>
      <c r="C57" s="546"/>
      <c r="D57" s="197">
        <f>+D56/D48</f>
        <v>0.41855374859363809</v>
      </c>
      <c r="E57" s="197">
        <f t="shared" ref="E57:G57" si="26">+E56/E48</f>
        <v>0.39378068739770866</v>
      </c>
      <c r="F57" s="197">
        <f t="shared" si="26"/>
        <v>0.42428730851171753</v>
      </c>
      <c r="G57" s="197">
        <f t="shared" si="26"/>
        <v>0.4175055143372769</v>
      </c>
      <c r="H57" s="183"/>
      <c r="I57" s="197">
        <f t="shared" ref="I57:L57" si="27">+I56/I48</f>
        <v>0.44620758483033934</v>
      </c>
      <c r="J57" s="197">
        <f t="shared" si="27"/>
        <v>0.38439956223261368</v>
      </c>
      <c r="K57" s="197">
        <f>+K56/K48</f>
        <v>0.25645402815214136</v>
      </c>
      <c r="L57" s="197">
        <f t="shared" si="27"/>
        <v>0.38335146898803046</v>
      </c>
      <c r="M57" s="183"/>
      <c r="N57" s="197">
        <f t="shared" ref="N57:P57" si="28">+N56/N48</f>
        <v>0.42724100109681923</v>
      </c>
      <c r="O57" s="197">
        <f>+O56/O48</f>
        <v>0.43466395112016287</v>
      </c>
      <c r="P57" s="197">
        <f t="shared" si="28"/>
        <v>0.49997971602434077</v>
      </c>
      <c r="Q57" s="169">
        <f>'Earnings Model (adjusted)'!Q57-'Earnings Model'!Q57</f>
        <v>0</v>
      </c>
      <c r="R57" s="169">
        <f>'Earnings Model (adjusted)'!R57-'Earnings Model'!R57</f>
        <v>0</v>
      </c>
      <c r="S57" s="169">
        <f>'Earnings Model (adjusted)'!S57-'Earnings Model'!S57</f>
        <v>8.3964375627533228E-3</v>
      </c>
      <c r="T57" s="169">
        <f>'Earnings Model (adjusted)'!T57-'Earnings Model'!T57</f>
        <v>8.1793482547232177E-3</v>
      </c>
      <c r="U57" s="169">
        <f>'Earnings Model (adjusted)'!U57-'Earnings Model'!U57</f>
        <v>4.7417026274353402E-3</v>
      </c>
      <c r="V57" s="169">
        <f>'Earnings Model (adjusted)'!V57-'Earnings Model'!V57</f>
        <v>4.7145811455688857E-3</v>
      </c>
      <c r="W57" s="169">
        <f>'Earnings Model (adjusted)'!W57-'Earnings Model'!W57</f>
        <v>0</v>
      </c>
      <c r="X57" s="169">
        <f>'Earnings Model (adjusted)'!X57-'Earnings Model'!X57</f>
        <v>1.0999790316183922E-2</v>
      </c>
      <c r="Y57" s="169">
        <f>'Earnings Model (adjusted)'!Y57-'Earnings Model'!Y57</f>
        <v>1.0897781290317043E-2</v>
      </c>
      <c r="Z57" s="169">
        <f>'Earnings Model (adjusted)'!Z57-'Earnings Model'!Z57</f>
        <v>4.9524394756033097E-3</v>
      </c>
      <c r="AA57" s="169">
        <f>'Earnings Model (adjusted)'!AA57-'Earnings Model'!AA57</f>
        <v>4.8755570505700785E-3</v>
      </c>
      <c r="AB57" s="169">
        <f>'Earnings Model (adjusted)'!AB57-'Earnings Model'!AB57</f>
        <v>0</v>
      </c>
      <c r="AC57" s="169">
        <f>'Earnings Model (adjusted)'!AC57-'Earnings Model'!AC57</f>
        <v>1.3922531148766959E-2</v>
      </c>
      <c r="AD57" s="169">
        <f>'Earnings Model (adjusted)'!AD57-'Earnings Model'!AD57</f>
        <v>1.3825159698440448E-2</v>
      </c>
      <c r="AE57" s="169">
        <f>'Earnings Model (adjusted)'!AE57-'Earnings Model'!AE57</f>
        <v>5.1757478829659309E-3</v>
      </c>
      <c r="AF57" s="169">
        <f>'Earnings Model (adjusted)'!AF57-'Earnings Model'!AF57</f>
        <v>2.4379867862954763E-3</v>
      </c>
      <c r="AG57" s="169">
        <f>'Earnings Model (adjusted)'!AG57-'Earnings Model'!AG57</f>
        <v>0</v>
      </c>
      <c r="AH57" s="169">
        <f>'Earnings Model (adjusted)'!AH57-'Earnings Model'!AH57</f>
        <v>1.7072783257453206E-2</v>
      </c>
      <c r="AI57" s="169">
        <f>'Earnings Model (adjusted)'!AI57-'Earnings Model'!AI57</f>
        <v>1.6954645854994621E-2</v>
      </c>
      <c r="AJ57" s="169">
        <f>'Earnings Model (adjusted)'!AJ57-'Earnings Model'!AJ57</f>
        <v>5.3844487975620581E-3</v>
      </c>
      <c r="AK57" s="169">
        <f>'Earnings Model (adjusted)'!AK57-'Earnings Model'!AK57</f>
        <v>2.5362821615942943E-3</v>
      </c>
      <c r="AL57" s="169">
        <f>'Earnings Model (adjusted)'!AL57-'Earnings Model'!AL57</f>
        <v>0</v>
      </c>
      <c r="AM57" s="169">
        <f>'Earnings Model (adjusted)'!AM57-'Earnings Model'!AM57</f>
        <v>1.776105130384209E-2</v>
      </c>
      <c r="AN57" s="169">
        <f>'Earnings Model (adjusted)'!AN57-'Earnings Model'!AN57</f>
        <v>1.7638076676939285E-2</v>
      </c>
      <c r="AO57" s="169">
        <f>'Earnings Model (adjusted)'!AO57-'Earnings Model'!AO57</f>
        <v>5.6014692350007111E-3</v>
      </c>
      <c r="AP57" s="169">
        <f>'Earnings Model (adjusted)'!AP57-'Earnings Model'!AP57</f>
        <v>2.6384964135756084E-3</v>
      </c>
      <c r="AQ57" s="169">
        <f>'Earnings Model (adjusted)'!AQ57-'Earnings Model'!AQ57</f>
        <v>0</v>
      </c>
    </row>
    <row r="58" spans="1:43" s="186" customFormat="1" outlineLevel="1" x14ac:dyDescent="0.25">
      <c r="A58" s="272"/>
      <c r="B58" s="193" t="s">
        <v>161</v>
      </c>
      <c r="C58" s="194"/>
      <c r="D58" s="189">
        <f>ROUND((+D56-D55-(D50*D51)),0)</f>
        <v>0</v>
      </c>
      <c r="E58" s="195">
        <f>ROUND((+E56-E55-(E50*E51)),0)</f>
        <v>0</v>
      </c>
      <c r="F58" s="275">
        <f>ROUND((+F56-F55-(F50*F51)),0)</f>
        <v>0</v>
      </c>
      <c r="G58" s="195">
        <f>ROUND((+G56-G55-(G50*G51)),0)</f>
        <v>0</v>
      </c>
      <c r="H58" s="196"/>
      <c r="I58" s="195">
        <f>ROUND((+I56-I55-(I50*I51)),0)</f>
        <v>0</v>
      </c>
      <c r="J58" s="195">
        <f>ROUND((+J56-J55-(J50*J51)),0)</f>
        <v>0</v>
      </c>
      <c r="K58" s="195">
        <f>ROUND((+K56-K55-(K50*K51)),0)</f>
        <v>0</v>
      </c>
      <c r="L58" s="195">
        <f>ROUND((+L56-L55-(L50*L51)),0)</f>
        <v>0</v>
      </c>
      <c r="M58" s="196"/>
      <c r="N58" s="195">
        <f>ROUND((+N56-N55-(N50*N51)),0)</f>
        <v>0</v>
      </c>
      <c r="O58" s="195">
        <f>ROUND((+O56-O55-(O50*O51)),0)</f>
        <v>0</v>
      </c>
      <c r="P58" s="195">
        <f>ROUND((+P56-P55-(P50*P51)),0)</f>
        <v>0</v>
      </c>
      <c r="Q58" s="169">
        <f>'Earnings Model (adjusted)'!Q58-'Earnings Model'!Q58</f>
        <v>0</v>
      </c>
      <c r="R58" s="169">
        <f>'Earnings Model (adjusted)'!R58-'Earnings Model'!R58</f>
        <v>0</v>
      </c>
      <c r="S58" s="169">
        <f>'Earnings Model (adjusted)'!S58-'Earnings Model'!S58</f>
        <v>0</v>
      </c>
      <c r="T58" s="169">
        <f>'Earnings Model (adjusted)'!T58-'Earnings Model'!T58</f>
        <v>0</v>
      </c>
      <c r="U58" s="169">
        <f>'Earnings Model (adjusted)'!U58-'Earnings Model'!U58</f>
        <v>0</v>
      </c>
      <c r="V58" s="169">
        <f>'Earnings Model (adjusted)'!V58-'Earnings Model'!V58</f>
        <v>0</v>
      </c>
      <c r="W58" s="169">
        <f>'Earnings Model (adjusted)'!W58-'Earnings Model'!W58</f>
        <v>0</v>
      </c>
      <c r="X58" s="169">
        <f>'Earnings Model (adjusted)'!X58-'Earnings Model'!X58</f>
        <v>0</v>
      </c>
      <c r="Y58" s="169">
        <f>'Earnings Model (adjusted)'!Y58-'Earnings Model'!Y58</f>
        <v>0</v>
      </c>
      <c r="Z58" s="169">
        <f>'Earnings Model (adjusted)'!Z58-'Earnings Model'!Z58</f>
        <v>0</v>
      </c>
      <c r="AA58" s="169">
        <f>'Earnings Model (adjusted)'!AA58-'Earnings Model'!AA58</f>
        <v>0</v>
      </c>
      <c r="AB58" s="169">
        <f>'Earnings Model (adjusted)'!AB58-'Earnings Model'!AB58</f>
        <v>0</v>
      </c>
      <c r="AC58" s="169">
        <f>'Earnings Model (adjusted)'!AC58-'Earnings Model'!AC58</f>
        <v>0</v>
      </c>
      <c r="AD58" s="169">
        <f>'Earnings Model (adjusted)'!AD58-'Earnings Model'!AD58</f>
        <v>0</v>
      </c>
      <c r="AE58" s="169">
        <f>'Earnings Model (adjusted)'!AE58-'Earnings Model'!AE58</f>
        <v>0</v>
      </c>
      <c r="AF58" s="169">
        <f>'Earnings Model (adjusted)'!AF58-'Earnings Model'!AF58</f>
        <v>0</v>
      </c>
      <c r="AG58" s="169">
        <f>'Earnings Model (adjusted)'!AG58-'Earnings Model'!AG58</f>
        <v>0</v>
      </c>
      <c r="AH58" s="169">
        <f>'Earnings Model (adjusted)'!AH58-'Earnings Model'!AH58</f>
        <v>0</v>
      </c>
      <c r="AI58" s="169">
        <f>'Earnings Model (adjusted)'!AI58-'Earnings Model'!AI58</f>
        <v>0</v>
      </c>
      <c r="AJ58" s="169">
        <f>'Earnings Model (adjusted)'!AJ58-'Earnings Model'!AJ58</f>
        <v>0</v>
      </c>
      <c r="AK58" s="169">
        <f>'Earnings Model (adjusted)'!AK58-'Earnings Model'!AK58</f>
        <v>0</v>
      </c>
      <c r="AL58" s="169">
        <f>'Earnings Model (adjusted)'!AL58-'Earnings Model'!AL58</f>
        <v>0</v>
      </c>
      <c r="AM58" s="169">
        <f>'Earnings Model (adjusted)'!AM58-'Earnings Model'!AM58</f>
        <v>0</v>
      </c>
      <c r="AN58" s="169">
        <f>'Earnings Model (adjusted)'!AN58-'Earnings Model'!AN58</f>
        <v>0</v>
      </c>
      <c r="AO58" s="169">
        <f>'Earnings Model (adjusted)'!AO58-'Earnings Model'!AO58</f>
        <v>0</v>
      </c>
      <c r="AP58" s="169">
        <f>'Earnings Model (adjusted)'!AP58-'Earnings Model'!AP58</f>
        <v>0</v>
      </c>
      <c r="AQ58" s="169">
        <f>'Earnings Model (adjusted)'!AQ58-'Earnings Model'!AQ58</f>
        <v>0</v>
      </c>
    </row>
    <row r="59" spans="1:43" s="20" customFormat="1" outlineLevel="1" x14ac:dyDescent="0.25">
      <c r="A59" s="269"/>
      <c r="B59" s="603" t="s">
        <v>154</v>
      </c>
      <c r="C59" s="604"/>
      <c r="D59" s="198">
        <v>7876</v>
      </c>
      <c r="E59" s="198">
        <v>7943</v>
      </c>
      <c r="F59" s="284">
        <v>7996</v>
      </c>
      <c r="G59" s="198">
        <v>8093</v>
      </c>
      <c r="H59" s="199"/>
      <c r="I59" s="198">
        <v>8183</v>
      </c>
      <c r="J59" s="198">
        <v>8220</v>
      </c>
      <c r="K59" s="198">
        <v>8218</v>
      </c>
      <c r="L59" s="198">
        <v>8245</v>
      </c>
      <c r="M59" s="199"/>
      <c r="N59" s="198">
        <v>8279</v>
      </c>
      <c r="O59" s="198">
        <f>+N59+O60</f>
        <v>8300</v>
      </c>
      <c r="P59" s="198">
        <f t="shared" ref="P59" si="29">+O59+P60</f>
        <v>8315</v>
      </c>
      <c r="Q59" s="169">
        <f>'Earnings Model (adjusted)'!Q59-'Earnings Model'!Q59</f>
        <v>0</v>
      </c>
      <c r="R59" s="169">
        <f>'Earnings Model (adjusted)'!R59-'Earnings Model'!R59</f>
        <v>0</v>
      </c>
      <c r="S59" s="169">
        <f>'Earnings Model (adjusted)'!S59-'Earnings Model'!S59</f>
        <v>0</v>
      </c>
      <c r="T59" s="169">
        <f>'Earnings Model (adjusted)'!T59-'Earnings Model'!T59</f>
        <v>0</v>
      </c>
      <c r="U59" s="169">
        <f>'Earnings Model (adjusted)'!U59-'Earnings Model'!U59</f>
        <v>0</v>
      </c>
      <c r="V59" s="169">
        <f>'Earnings Model (adjusted)'!V59-'Earnings Model'!V59</f>
        <v>0</v>
      </c>
      <c r="W59" s="169">
        <f>'Earnings Model (adjusted)'!W59-'Earnings Model'!W59</f>
        <v>0</v>
      </c>
      <c r="X59" s="169">
        <f>'Earnings Model (adjusted)'!X59-'Earnings Model'!X59</f>
        <v>0</v>
      </c>
      <c r="Y59" s="169">
        <f>'Earnings Model (adjusted)'!Y59-'Earnings Model'!Y59</f>
        <v>0</v>
      </c>
      <c r="Z59" s="169">
        <f>'Earnings Model (adjusted)'!Z59-'Earnings Model'!Z59</f>
        <v>0</v>
      </c>
      <c r="AA59" s="169">
        <f>'Earnings Model (adjusted)'!AA59-'Earnings Model'!AA59</f>
        <v>0</v>
      </c>
      <c r="AB59" s="169">
        <f>'Earnings Model (adjusted)'!AB59-'Earnings Model'!AB59</f>
        <v>0</v>
      </c>
      <c r="AC59" s="169">
        <f>'Earnings Model (adjusted)'!AC59-'Earnings Model'!AC59</f>
        <v>0</v>
      </c>
      <c r="AD59" s="169">
        <f>'Earnings Model (adjusted)'!AD59-'Earnings Model'!AD59</f>
        <v>0</v>
      </c>
      <c r="AE59" s="169">
        <f>'Earnings Model (adjusted)'!AE59-'Earnings Model'!AE59</f>
        <v>0</v>
      </c>
      <c r="AF59" s="169">
        <f>'Earnings Model (adjusted)'!AF59-'Earnings Model'!AF59</f>
        <v>0</v>
      </c>
      <c r="AG59" s="169">
        <f>'Earnings Model (adjusted)'!AG59-'Earnings Model'!AG59</f>
        <v>0</v>
      </c>
      <c r="AH59" s="169">
        <f>'Earnings Model (adjusted)'!AH59-'Earnings Model'!AH59</f>
        <v>0</v>
      </c>
      <c r="AI59" s="169">
        <f>'Earnings Model (adjusted)'!AI59-'Earnings Model'!AI59</f>
        <v>0</v>
      </c>
      <c r="AJ59" s="169">
        <f>'Earnings Model (adjusted)'!AJ59-'Earnings Model'!AJ59</f>
        <v>0</v>
      </c>
      <c r="AK59" s="169">
        <f>'Earnings Model (adjusted)'!AK59-'Earnings Model'!AK59</f>
        <v>0</v>
      </c>
      <c r="AL59" s="169">
        <f>'Earnings Model (adjusted)'!AL59-'Earnings Model'!AL59</f>
        <v>0</v>
      </c>
      <c r="AM59" s="169">
        <f>'Earnings Model (adjusted)'!AM59-'Earnings Model'!AM59</f>
        <v>0</v>
      </c>
      <c r="AN59" s="169">
        <f>'Earnings Model (adjusted)'!AN59-'Earnings Model'!AN59</f>
        <v>0</v>
      </c>
      <c r="AO59" s="169">
        <f>'Earnings Model (adjusted)'!AO59-'Earnings Model'!AO59</f>
        <v>0</v>
      </c>
      <c r="AP59" s="169">
        <f>'Earnings Model (adjusted)'!AP59-'Earnings Model'!AP59</f>
        <v>0</v>
      </c>
      <c r="AQ59" s="169">
        <f>'Earnings Model (adjusted)'!AQ59-'Earnings Model'!AQ59</f>
        <v>0</v>
      </c>
    </row>
    <row r="60" spans="1:43" outlineLevel="1" x14ac:dyDescent="0.25">
      <c r="A60" s="254"/>
      <c r="B60" s="466" t="s">
        <v>162</v>
      </c>
      <c r="C60" s="556"/>
      <c r="D60" s="256">
        <f>+D59-7770</f>
        <v>106</v>
      </c>
      <c r="E60" s="256">
        <f>E59-D59</f>
        <v>67</v>
      </c>
      <c r="F60" s="256">
        <f t="shared" ref="F60:G60" si="30">F59-E59</f>
        <v>53</v>
      </c>
      <c r="G60" s="256">
        <f t="shared" si="30"/>
        <v>97</v>
      </c>
      <c r="H60" s="291">
        <f>+SUM(D60:G60)</f>
        <v>323</v>
      </c>
      <c r="I60" s="256">
        <f>I59-G59</f>
        <v>90</v>
      </c>
      <c r="J60" s="256">
        <f t="shared" ref="J60:L60" si="31">J59-I59</f>
        <v>37</v>
      </c>
      <c r="K60" s="256">
        <f t="shared" si="31"/>
        <v>-2</v>
      </c>
      <c r="L60" s="256">
        <f t="shared" si="31"/>
        <v>27</v>
      </c>
      <c r="M60" s="291">
        <f>+SUM(I60:L60)</f>
        <v>152</v>
      </c>
      <c r="N60" s="256">
        <v>34</v>
      </c>
      <c r="O60" s="256">
        <v>21</v>
      </c>
      <c r="P60" s="256">
        <v>15</v>
      </c>
      <c r="Q60" s="169">
        <f>'Earnings Model (adjusted)'!Q60-'Earnings Model'!Q60</f>
        <v>0</v>
      </c>
      <c r="R60" s="169">
        <f>'Earnings Model (adjusted)'!R60-'Earnings Model'!R60</f>
        <v>0</v>
      </c>
      <c r="S60" s="169">
        <f>'Earnings Model (adjusted)'!S60-'Earnings Model'!S60</f>
        <v>0</v>
      </c>
      <c r="T60" s="169">
        <f>'Earnings Model (adjusted)'!T60-'Earnings Model'!T60</f>
        <v>0</v>
      </c>
      <c r="U60" s="169">
        <f>'Earnings Model (adjusted)'!U60-'Earnings Model'!U60</f>
        <v>0</v>
      </c>
      <c r="V60" s="169">
        <f>'Earnings Model (adjusted)'!V60-'Earnings Model'!V60</f>
        <v>0</v>
      </c>
      <c r="W60" s="169">
        <f>'Earnings Model (adjusted)'!W60-'Earnings Model'!W60</f>
        <v>0</v>
      </c>
      <c r="X60" s="169">
        <f>'Earnings Model (adjusted)'!X60-'Earnings Model'!X60</f>
        <v>0</v>
      </c>
      <c r="Y60" s="169">
        <f>'Earnings Model (adjusted)'!Y60-'Earnings Model'!Y60</f>
        <v>0</v>
      </c>
      <c r="Z60" s="169">
        <f>'Earnings Model (adjusted)'!Z60-'Earnings Model'!Z60</f>
        <v>0</v>
      </c>
      <c r="AA60" s="169">
        <f>'Earnings Model (adjusted)'!AA60-'Earnings Model'!AA60</f>
        <v>0</v>
      </c>
      <c r="AB60" s="169">
        <f>'Earnings Model (adjusted)'!AB60-'Earnings Model'!AB60</f>
        <v>0</v>
      </c>
      <c r="AC60" s="169">
        <f>'Earnings Model (adjusted)'!AC60-'Earnings Model'!AC60</f>
        <v>0</v>
      </c>
      <c r="AD60" s="169">
        <f>'Earnings Model (adjusted)'!AD60-'Earnings Model'!AD60</f>
        <v>0</v>
      </c>
      <c r="AE60" s="169">
        <f>'Earnings Model (adjusted)'!AE60-'Earnings Model'!AE60</f>
        <v>0</v>
      </c>
      <c r="AF60" s="169">
        <f>'Earnings Model (adjusted)'!AF60-'Earnings Model'!AF60</f>
        <v>0</v>
      </c>
      <c r="AG60" s="169">
        <f>'Earnings Model (adjusted)'!AG60-'Earnings Model'!AG60</f>
        <v>0</v>
      </c>
      <c r="AH60" s="169">
        <f>'Earnings Model (adjusted)'!AH60-'Earnings Model'!AH60</f>
        <v>0</v>
      </c>
      <c r="AI60" s="169">
        <f>'Earnings Model (adjusted)'!AI60-'Earnings Model'!AI60</f>
        <v>0</v>
      </c>
      <c r="AJ60" s="169">
        <f>'Earnings Model (adjusted)'!AJ60-'Earnings Model'!AJ60</f>
        <v>0</v>
      </c>
      <c r="AK60" s="169">
        <f>'Earnings Model (adjusted)'!AK60-'Earnings Model'!AK60</f>
        <v>0</v>
      </c>
      <c r="AL60" s="169">
        <f>'Earnings Model (adjusted)'!AL60-'Earnings Model'!AL60</f>
        <v>0</v>
      </c>
      <c r="AM60" s="169">
        <f>'Earnings Model (adjusted)'!AM60-'Earnings Model'!AM60</f>
        <v>0</v>
      </c>
      <c r="AN60" s="169">
        <f>'Earnings Model (adjusted)'!AN60-'Earnings Model'!AN60</f>
        <v>0</v>
      </c>
      <c r="AO60" s="169">
        <f>'Earnings Model (adjusted)'!AO60-'Earnings Model'!AO60</f>
        <v>0</v>
      </c>
      <c r="AP60" s="169">
        <f>'Earnings Model (adjusted)'!AP60-'Earnings Model'!AP60</f>
        <v>0</v>
      </c>
      <c r="AQ60" s="169">
        <f>'Earnings Model (adjusted)'!AQ60-'Earnings Model'!AQ60</f>
        <v>0</v>
      </c>
    </row>
    <row r="61" spans="1:43" outlineLevel="1" x14ac:dyDescent="0.25">
      <c r="A61" s="254"/>
      <c r="B61" s="550" t="s">
        <v>165</v>
      </c>
      <c r="C61" s="540"/>
      <c r="D61" s="34">
        <f>AVERAGE(D59,7770)</f>
        <v>7823</v>
      </c>
      <c r="E61" s="34">
        <f>AVERAGE(E59,D59)</f>
        <v>7909.5</v>
      </c>
      <c r="F61" s="34">
        <f t="shared" ref="F61:G61" si="32">AVERAGE(F59,E59)</f>
        <v>7969.5</v>
      </c>
      <c r="G61" s="34">
        <f t="shared" si="32"/>
        <v>8044.5</v>
      </c>
      <c r="H61" s="50"/>
      <c r="I61" s="34">
        <f>AVERAGE(I59,G59)</f>
        <v>8138</v>
      </c>
      <c r="J61" s="34">
        <f>AVERAGE(J59,I59)</f>
        <v>8201.5</v>
      </c>
      <c r="K61" s="34">
        <f t="shared" ref="K61:L61" si="33">AVERAGE(K59,J59)</f>
        <v>8219</v>
      </c>
      <c r="L61" s="34">
        <f t="shared" si="33"/>
        <v>8231.5</v>
      </c>
      <c r="M61" s="18"/>
      <c r="N61" s="34">
        <f>AVERAGE(N59,L59)</f>
        <v>8262</v>
      </c>
      <c r="O61" s="34">
        <f>AVERAGE(O59,N59)</f>
        <v>8289.5</v>
      </c>
      <c r="P61" s="34">
        <f t="shared" ref="P61" si="34">AVERAGE(P59,O59)</f>
        <v>8307.5</v>
      </c>
      <c r="Q61" s="169">
        <f>'Earnings Model (adjusted)'!Q61-'Earnings Model'!Q61</f>
        <v>0</v>
      </c>
      <c r="R61" s="169">
        <f>'Earnings Model (adjusted)'!R61-'Earnings Model'!R61</f>
        <v>0</v>
      </c>
      <c r="S61" s="169">
        <f>'Earnings Model (adjusted)'!S61-'Earnings Model'!S61</f>
        <v>0</v>
      </c>
      <c r="T61" s="169">
        <f>'Earnings Model (adjusted)'!T61-'Earnings Model'!T61</f>
        <v>0</v>
      </c>
      <c r="U61" s="169">
        <f>'Earnings Model (adjusted)'!U61-'Earnings Model'!U61</f>
        <v>0</v>
      </c>
      <c r="V61" s="169">
        <f>'Earnings Model (adjusted)'!V61-'Earnings Model'!V61</f>
        <v>0</v>
      </c>
      <c r="W61" s="169">
        <f>'Earnings Model (adjusted)'!W61-'Earnings Model'!W61</f>
        <v>0</v>
      </c>
      <c r="X61" s="169">
        <f>'Earnings Model (adjusted)'!X61-'Earnings Model'!X61</f>
        <v>0</v>
      </c>
      <c r="Y61" s="169">
        <f>'Earnings Model (adjusted)'!Y61-'Earnings Model'!Y61</f>
        <v>0</v>
      </c>
      <c r="Z61" s="169">
        <f>'Earnings Model (adjusted)'!Z61-'Earnings Model'!Z61</f>
        <v>0</v>
      </c>
      <c r="AA61" s="169">
        <f>'Earnings Model (adjusted)'!AA61-'Earnings Model'!AA61</f>
        <v>0</v>
      </c>
      <c r="AB61" s="169">
        <f>'Earnings Model (adjusted)'!AB61-'Earnings Model'!AB61</f>
        <v>0</v>
      </c>
      <c r="AC61" s="169">
        <f>'Earnings Model (adjusted)'!AC61-'Earnings Model'!AC61</f>
        <v>0</v>
      </c>
      <c r="AD61" s="169">
        <f>'Earnings Model (adjusted)'!AD61-'Earnings Model'!AD61</f>
        <v>0</v>
      </c>
      <c r="AE61" s="169">
        <f>'Earnings Model (adjusted)'!AE61-'Earnings Model'!AE61</f>
        <v>0</v>
      </c>
      <c r="AF61" s="169">
        <f>'Earnings Model (adjusted)'!AF61-'Earnings Model'!AF61</f>
        <v>0</v>
      </c>
      <c r="AG61" s="169">
        <f>'Earnings Model (adjusted)'!AG61-'Earnings Model'!AG61</f>
        <v>0</v>
      </c>
      <c r="AH61" s="169">
        <f>'Earnings Model (adjusted)'!AH61-'Earnings Model'!AH61</f>
        <v>0</v>
      </c>
      <c r="AI61" s="169">
        <f>'Earnings Model (adjusted)'!AI61-'Earnings Model'!AI61</f>
        <v>0</v>
      </c>
      <c r="AJ61" s="169">
        <f>'Earnings Model (adjusted)'!AJ61-'Earnings Model'!AJ61</f>
        <v>0</v>
      </c>
      <c r="AK61" s="169">
        <f>'Earnings Model (adjusted)'!AK61-'Earnings Model'!AK61</f>
        <v>0</v>
      </c>
      <c r="AL61" s="169">
        <f>'Earnings Model (adjusted)'!AL61-'Earnings Model'!AL61</f>
        <v>0</v>
      </c>
      <c r="AM61" s="169">
        <f>'Earnings Model (adjusted)'!AM61-'Earnings Model'!AM61</f>
        <v>0</v>
      </c>
      <c r="AN61" s="169">
        <f>'Earnings Model (adjusted)'!AN61-'Earnings Model'!AN61</f>
        <v>0</v>
      </c>
      <c r="AO61" s="169">
        <f>'Earnings Model (adjusted)'!AO61-'Earnings Model'!AO61</f>
        <v>0</v>
      </c>
      <c r="AP61" s="169">
        <f>'Earnings Model (adjusted)'!AP61-'Earnings Model'!AP61</f>
        <v>0</v>
      </c>
      <c r="AQ61" s="169">
        <f>'Earnings Model (adjusted)'!AQ61-'Earnings Model'!AQ61</f>
        <v>0</v>
      </c>
    </row>
    <row r="62" spans="1:43" outlineLevel="1" x14ac:dyDescent="0.25">
      <c r="A62" s="254"/>
      <c r="B62" s="550" t="s">
        <v>164</v>
      </c>
      <c r="C62" s="540"/>
      <c r="D62" s="107">
        <f>+D63/D61</f>
        <v>6.5780391154288645E-2</v>
      </c>
      <c r="E62" s="107">
        <f>+E63/E61</f>
        <v>5.8549845122953414E-2</v>
      </c>
      <c r="F62" s="107">
        <f>+F63/F61</f>
        <v>6.2274923144488362E-2</v>
      </c>
      <c r="G62" s="278">
        <f t="shared" ref="G62:P62" si="35">+G63/G61</f>
        <v>6.016533034992852E-2</v>
      </c>
      <c r="H62" s="310"/>
      <c r="I62" s="278">
        <f t="shared" si="35"/>
        <v>6.6023593020398133E-2</v>
      </c>
      <c r="J62" s="278">
        <f t="shared" si="35"/>
        <v>5.6599402548314331E-2</v>
      </c>
      <c r="K62" s="278">
        <f t="shared" si="35"/>
        <v>2.8653120817617714E-2</v>
      </c>
      <c r="L62" s="278">
        <f t="shared" si="35"/>
        <v>4.3236348174694766E-2</v>
      </c>
      <c r="M62" s="18"/>
      <c r="N62" s="278">
        <f t="shared" si="35"/>
        <v>5.037521181312031E-2</v>
      </c>
      <c r="O62" s="278">
        <f t="shared" si="35"/>
        <v>4.7554134748778572E-2</v>
      </c>
      <c r="P62" s="278">
        <f t="shared" si="35"/>
        <v>5.6394823954258204E-2</v>
      </c>
      <c r="Q62" s="169">
        <f>'Earnings Model (adjusted)'!Q62-'Earnings Model'!Q62</f>
        <v>0</v>
      </c>
      <c r="R62" s="169">
        <f>'Earnings Model (adjusted)'!R62-'Earnings Model'!R62</f>
        <v>0</v>
      </c>
      <c r="S62" s="169">
        <f>'Earnings Model (adjusted)'!S62-'Earnings Model'!S62</f>
        <v>0</v>
      </c>
      <c r="T62" s="169">
        <f>'Earnings Model (adjusted)'!T62-'Earnings Model'!T62</f>
        <v>0</v>
      </c>
      <c r="U62" s="169">
        <f>'Earnings Model (adjusted)'!U62-'Earnings Model'!U62</f>
        <v>0</v>
      </c>
      <c r="V62" s="169">
        <f>'Earnings Model (adjusted)'!V62-'Earnings Model'!V62</f>
        <v>0</v>
      </c>
      <c r="W62" s="169">
        <f>'Earnings Model (adjusted)'!W62-'Earnings Model'!W62</f>
        <v>0</v>
      </c>
      <c r="X62" s="169">
        <f>'Earnings Model (adjusted)'!X62-'Earnings Model'!X62</f>
        <v>0</v>
      </c>
      <c r="Y62" s="169">
        <f>'Earnings Model (adjusted)'!Y62-'Earnings Model'!Y62</f>
        <v>0</v>
      </c>
      <c r="Z62" s="169">
        <f>'Earnings Model (adjusted)'!Z62-'Earnings Model'!Z62</f>
        <v>0</v>
      </c>
      <c r="AA62" s="169">
        <f>'Earnings Model (adjusted)'!AA62-'Earnings Model'!AA62</f>
        <v>0</v>
      </c>
      <c r="AB62" s="169">
        <f>'Earnings Model (adjusted)'!AB62-'Earnings Model'!AB62</f>
        <v>0</v>
      </c>
      <c r="AC62" s="169">
        <f>'Earnings Model (adjusted)'!AC62-'Earnings Model'!AC62</f>
        <v>0</v>
      </c>
      <c r="AD62" s="169">
        <f>'Earnings Model (adjusted)'!AD62-'Earnings Model'!AD62</f>
        <v>0</v>
      </c>
      <c r="AE62" s="169">
        <f>'Earnings Model (adjusted)'!AE62-'Earnings Model'!AE62</f>
        <v>0</v>
      </c>
      <c r="AF62" s="169">
        <f>'Earnings Model (adjusted)'!AF62-'Earnings Model'!AF62</f>
        <v>0</v>
      </c>
      <c r="AG62" s="169">
        <f>'Earnings Model (adjusted)'!AG62-'Earnings Model'!AG62</f>
        <v>0</v>
      </c>
      <c r="AH62" s="169">
        <f>'Earnings Model (adjusted)'!AH62-'Earnings Model'!AH62</f>
        <v>0</v>
      </c>
      <c r="AI62" s="169">
        <f>'Earnings Model (adjusted)'!AI62-'Earnings Model'!AI62</f>
        <v>0</v>
      </c>
      <c r="AJ62" s="169">
        <f>'Earnings Model (adjusted)'!AJ62-'Earnings Model'!AJ62</f>
        <v>0</v>
      </c>
      <c r="AK62" s="169">
        <f>'Earnings Model (adjusted)'!AK62-'Earnings Model'!AK62</f>
        <v>0</v>
      </c>
      <c r="AL62" s="169">
        <f>'Earnings Model (adjusted)'!AL62-'Earnings Model'!AL62</f>
        <v>0</v>
      </c>
      <c r="AM62" s="169">
        <f>'Earnings Model (adjusted)'!AM62-'Earnings Model'!AM62</f>
        <v>0</v>
      </c>
      <c r="AN62" s="169">
        <f>'Earnings Model (adjusted)'!AN62-'Earnings Model'!AN62</f>
        <v>0</v>
      </c>
      <c r="AO62" s="169">
        <f>'Earnings Model (adjusted)'!AO62-'Earnings Model'!AO62</f>
        <v>0</v>
      </c>
      <c r="AP62" s="169">
        <f>'Earnings Model (adjusted)'!AP62-'Earnings Model'!AP62</f>
        <v>0</v>
      </c>
      <c r="AQ62" s="169">
        <f>'Earnings Model (adjusted)'!AQ62-'Earnings Model'!AQ62</f>
        <v>0</v>
      </c>
    </row>
    <row r="63" spans="1:43" s="20" customFormat="1" outlineLevel="1" x14ac:dyDescent="0.25">
      <c r="A63" s="269"/>
      <c r="B63" s="599" t="s">
        <v>167</v>
      </c>
      <c r="C63" s="600"/>
      <c r="D63" s="279">
        <v>514.6</v>
      </c>
      <c r="E63" s="279">
        <v>463.1</v>
      </c>
      <c r="F63" s="279">
        <v>496.3</v>
      </c>
      <c r="G63" s="279">
        <v>484</v>
      </c>
      <c r="H63" s="362"/>
      <c r="I63" s="279">
        <v>537.29999999999995</v>
      </c>
      <c r="J63" s="279">
        <v>464.2</v>
      </c>
      <c r="K63" s="279">
        <v>235.5</v>
      </c>
      <c r="L63" s="203">
        <v>355.9</v>
      </c>
      <c r="M63" s="204">
        <v>416.2</v>
      </c>
      <c r="N63" s="203">
        <v>416.2</v>
      </c>
      <c r="O63" s="203">
        <v>394.2</v>
      </c>
      <c r="P63" s="203">
        <v>468.5</v>
      </c>
      <c r="Q63" s="169">
        <f>'Earnings Model (adjusted)'!Q63-'Earnings Model'!Q63</f>
        <v>0</v>
      </c>
      <c r="R63" s="169">
        <f>'Earnings Model (adjusted)'!R63-'Earnings Model'!R63</f>
        <v>0</v>
      </c>
      <c r="S63" s="169">
        <f>'Earnings Model (adjusted)'!S63-'Earnings Model'!S63</f>
        <v>0</v>
      </c>
      <c r="T63" s="169">
        <f>'Earnings Model (adjusted)'!T63-'Earnings Model'!T63</f>
        <v>0</v>
      </c>
      <c r="U63" s="169">
        <f>'Earnings Model (adjusted)'!U63-'Earnings Model'!U63</f>
        <v>0</v>
      </c>
      <c r="V63" s="169">
        <f>'Earnings Model (adjusted)'!V63-'Earnings Model'!V63</f>
        <v>0</v>
      </c>
      <c r="W63" s="169">
        <f>'Earnings Model (adjusted)'!W63-'Earnings Model'!W63</f>
        <v>0</v>
      </c>
      <c r="X63" s="169">
        <f>'Earnings Model (adjusted)'!X63-'Earnings Model'!X63</f>
        <v>0</v>
      </c>
      <c r="Y63" s="169">
        <f>'Earnings Model (adjusted)'!Y63-'Earnings Model'!Y63</f>
        <v>0</v>
      </c>
      <c r="Z63" s="169">
        <f>'Earnings Model (adjusted)'!Z63-'Earnings Model'!Z63</f>
        <v>0</v>
      </c>
      <c r="AA63" s="169">
        <f>'Earnings Model (adjusted)'!AA63-'Earnings Model'!AA63</f>
        <v>0</v>
      </c>
      <c r="AB63" s="169">
        <f>'Earnings Model (adjusted)'!AB63-'Earnings Model'!AB63</f>
        <v>0</v>
      </c>
      <c r="AC63" s="169">
        <f>'Earnings Model (adjusted)'!AC63-'Earnings Model'!AC63</f>
        <v>0</v>
      </c>
      <c r="AD63" s="169">
        <f>'Earnings Model (adjusted)'!AD63-'Earnings Model'!AD63</f>
        <v>0</v>
      </c>
      <c r="AE63" s="169">
        <f>'Earnings Model (adjusted)'!AE63-'Earnings Model'!AE63</f>
        <v>0</v>
      </c>
      <c r="AF63" s="169">
        <f>'Earnings Model (adjusted)'!AF63-'Earnings Model'!AF63</f>
        <v>0</v>
      </c>
      <c r="AG63" s="169">
        <f>'Earnings Model (adjusted)'!AG63-'Earnings Model'!AG63</f>
        <v>0</v>
      </c>
      <c r="AH63" s="169">
        <f>'Earnings Model (adjusted)'!AH63-'Earnings Model'!AH63</f>
        <v>0</v>
      </c>
      <c r="AI63" s="169">
        <f>'Earnings Model (adjusted)'!AI63-'Earnings Model'!AI63</f>
        <v>0</v>
      </c>
      <c r="AJ63" s="169">
        <f>'Earnings Model (adjusted)'!AJ63-'Earnings Model'!AJ63</f>
        <v>0</v>
      </c>
      <c r="AK63" s="169">
        <f>'Earnings Model (adjusted)'!AK63-'Earnings Model'!AK63</f>
        <v>0</v>
      </c>
      <c r="AL63" s="169">
        <f>'Earnings Model (adjusted)'!AL63-'Earnings Model'!AL63</f>
        <v>0</v>
      </c>
      <c r="AM63" s="169">
        <f>'Earnings Model (adjusted)'!AM63-'Earnings Model'!AM63</f>
        <v>0</v>
      </c>
      <c r="AN63" s="169">
        <f>'Earnings Model (adjusted)'!AN63-'Earnings Model'!AN63</f>
        <v>0</v>
      </c>
      <c r="AO63" s="169">
        <f>'Earnings Model (adjusted)'!AO63-'Earnings Model'!AO63</f>
        <v>0</v>
      </c>
      <c r="AP63" s="169">
        <f>'Earnings Model (adjusted)'!AP63-'Earnings Model'!AP63</f>
        <v>0</v>
      </c>
      <c r="AQ63" s="169">
        <f>'Earnings Model (adjusted)'!AQ63-'Earnings Model'!AQ63</f>
        <v>0</v>
      </c>
    </row>
    <row r="64" spans="1:43" s="20" customFormat="1" outlineLevel="1" x14ac:dyDescent="0.25">
      <c r="A64" s="269"/>
      <c r="B64" s="585" t="s">
        <v>166</v>
      </c>
      <c r="C64" s="586"/>
      <c r="D64" s="259">
        <v>5.7</v>
      </c>
      <c r="E64" s="259">
        <v>1.4</v>
      </c>
      <c r="F64" s="259">
        <v>2.6</v>
      </c>
      <c r="G64" s="259">
        <v>3.2</v>
      </c>
      <c r="H64" s="363"/>
      <c r="I64" s="259">
        <v>2.6</v>
      </c>
      <c r="J64" s="259">
        <v>2.2000000000000002</v>
      </c>
      <c r="K64" s="259">
        <v>1.1000000000000001</v>
      </c>
      <c r="L64" s="171">
        <v>1.7</v>
      </c>
      <c r="M64" s="239">
        <v>2.2000000000000002</v>
      </c>
      <c r="N64" s="171">
        <v>2.2000000000000002</v>
      </c>
      <c r="O64" s="171">
        <v>2</v>
      </c>
      <c r="P64" s="171">
        <v>2</v>
      </c>
      <c r="Q64" s="169">
        <f>'Earnings Model (adjusted)'!Q64-'Earnings Model'!Q64</f>
        <v>0</v>
      </c>
      <c r="R64" s="169">
        <f>'Earnings Model (adjusted)'!R64-'Earnings Model'!R64</f>
        <v>0</v>
      </c>
      <c r="S64" s="169">
        <f>'Earnings Model (adjusted)'!S64-'Earnings Model'!S64</f>
        <v>0</v>
      </c>
      <c r="T64" s="169">
        <f>'Earnings Model (adjusted)'!T64-'Earnings Model'!T64</f>
        <v>0</v>
      </c>
      <c r="U64" s="169">
        <f>'Earnings Model (adjusted)'!U64-'Earnings Model'!U64</f>
        <v>0</v>
      </c>
      <c r="V64" s="169">
        <f>'Earnings Model (adjusted)'!V64-'Earnings Model'!V64</f>
        <v>0</v>
      </c>
      <c r="W64" s="169">
        <f>'Earnings Model (adjusted)'!W64-'Earnings Model'!W64</f>
        <v>0</v>
      </c>
      <c r="X64" s="169">
        <f>'Earnings Model (adjusted)'!X64-'Earnings Model'!X64</f>
        <v>0</v>
      </c>
      <c r="Y64" s="169">
        <f>'Earnings Model (adjusted)'!Y64-'Earnings Model'!Y64</f>
        <v>0</v>
      </c>
      <c r="Z64" s="169">
        <f>'Earnings Model (adjusted)'!Z64-'Earnings Model'!Z64</f>
        <v>0</v>
      </c>
      <c r="AA64" s="169">
        <f>'Earnings Model (adjusted)'!AA64-'Earnings Model'!AA64</f>
        <v>0</v>
      </c>
      <c r="AB64" s="169">
        <f>'Earnings Model (adjusted)'!AB64-'Earnings Model'!AB64</f>
        <v>0</v>
      </c>
      <c r="AC64" s="169">
        <f>'Earnings Model (adjusted)'!AC64-'Earnings Model'!AC64</f>
        <v>0</v>
      </c>
      <c r="AD64" s="169">
        <f>'Earnings Model (adjusted)'!AD64-'Earnings Model'!AD64</f>
        <v>0</v>
      </c>
      <c r="AE64" s="169">
        <f>'Earnings Model (adjusted)'!AE64-'Earnings Model'!AE64</f>
        <v>0</v>
      </c>
      <c r="AF64" s="169">
        <f>'Earnings Model (adjusted)'!AF64-'Earnings Model'!AF64</f>
        <v>0</v>
      </c>
      <c r="AG64" s="169">
        <f>'Earnings Model (adjusted)'!AG64-'Earnings Model'!AG64</f>
        <v>0</v>
      </c>
      <c r="AH64" s="169">
        <f>'Earnings Model (adjusted)'!AH64-'Earnings Model'!AH64</f>
        <v>0</v>
      </c>
      <c r="AI64" s="169">
        <f>'Earnings Model (adjusted)'!AI64-'Earnings Model'!AI64</f>
        <v>0</v>
      </c>
      <c r="AJ64" s="169">
        <f>'Earnings Model (adjusted)'!AJ64-'Earnings Model'!AJ64</f>
        <v>0</v>
      </c>
      <c r="AK64" s="169">
        <f>'Earnings Model (adjusted)'!AK64-'Earnings Model'!AK64</f>
        <v>0</v>
      </c>
      <c r="AL64" s="169">
        <f>'Earnings Model (adjusted)'!AL64-'Earnings Model'!AL64</f>
        <v>0</v>
      </c>
      <c r="AM64" s="169">
        <f>'Earnings Model (adjusted)'!AM64-'Earnings Model'!AM64</f>
        <v>0</v>
      </c>
      <c r="AN64" s="169">
        <f>'Earnings Model (adjusted)'!AN64-'Earnings Model'!AN64</f>
        <v>0</v>
      </c>
      <c r="AO64" s="169">
        <f>'Earnings Model (adjusted)'!AO64-'Earnings Model'!AO64</f>
        <v>0</v>
      </c>
      <c r="AP64" s="169">
        <f>'Earnings Model (adjusted)'!AP64-'Earnings Model'!AP64</f>
        <v>0</v>
      </c>
      <c r="AQ64" s="169">
        <f>'Earnings Model (adjusted)'!AQ64-'Earnings Model'!AQ64</f>
        <v>0</v>
      </c>
    </row>
    <row r="65" spans="1:43" outlineLevel="1" x14ac:dyDescent="0.25">
      <c r="A65" s="254"/>
      <c r="B65" s="200" t="s">
        <v>169</v>
      </c>
      <c r="C65" s="201"/>
      <c r="D65" s="289"/>
      <c r="E65" s="289"/>
      <c r="F65" s="289"/>
      <c r="G65" s="289"/>
      <c r="H65" s="364"/>
      <c r="I65" s="289">
        <f>I64/D64-1</f>
        <v>-0.54385964912280704</v>
      </c>
      <c r="J65" s="289">
        <f t="shared" ref="J65" si="36">J64/E64-1</f>
        <v>0.57142857142857162</v>
      </c>
      <c r="K65" s="289">
        <f>K64/F64-1</f>
        <v>-0.57692307692307687</v>
      </c>
      <c r="L65" s="289">
        <f>L64/G64-1</f>
        <v>-0.46875</v>
      </c>
      <c r="M65" s="179"/>
      <c r="N65" s="289">
        <f>N64/I64-1</f>
        <v>-0.15384615384615385</v>
      </c>
      <c r="O65" s="289">
        <f t="shared" ref="O65" si="37">O64/J64-1</f>
        <v>-9.0909090909090939E-2</v>
      </c>
      <c r="P65" s="289">
        <f>P64/K64-1</f>
        <v>0.81818181818181812</v>
      </c>
      <c r="Q65" s="169">
        <f>'Earnings Model (adjusted)'!Q65-'Earnings Model'!Q65</f>
        <v>0</v>
      </c>
      <c r="R65" s="169">
        <f>'Earnings Model (adjusted)'!R65-'Earnings Model'!R65</f>
        <v>0</v>
      </c>
      <c r="S65" s="169">
        <f>'Earnings Model (adjusted)'!S65-'Earnings Model'!S65</f>
        <v>0</v>
      </c>
      <c r="T65" s="169">
        <f>'Earnings Model (adjusted)'!T65-'Earnings Model'!T65</f>
        <v>0</v>
      </c>
      <c r="U65" s="169">
        <f>'Earnings Model (adjusted)'!U65-'Earnings Model'!U65</f>
        <v>0</v>
      </c>
      <c r="V65" s="169">
        <f>'Earnings Model (adjusted)'!V65-'Earnings Model'!V65</f>
        <v>0</v>
      </c>
      <c r="W65" s="169">
        <f>'Earnings Model (adjusted)'!W65-'Earnings Model'!W65</f>
        <v>0</v>
      </c>
      <c r="X65" s="169">
        <f>'Earnings Model (adjusted)'!X65-'Earnings Model'!X65</f>
        <v>0</v>
      </c>
      <c r="Y65" s="169">
        <f>'Earnings Model (adjusted)'!Y65-'Earnings Model'!Y65</f>
        <v>0</v>
      </c>
      <c r="Z65" s="169">
        <f>'Earnings Model (adjusted)'!Z65-'Earnings Model'!Z65</f>
        <v>0</v>
      </c>
      <c r="AA65" s="169">
        <f>'Earnings Model (adjusted)'!AA65-'Earnings Model'!AA65</f>
        <v>0</v>
      </c>
      <c r="AB65" s="169">
        <f>'Earnings Model (adjusted)'!AB65-'Earnings Model'!AB65</f>
        <v>0</v>
      </c>
      <c r="AC65" s="169">
        <f>'Earnings Model (adjusted)'!AC65-'Earnings Model'!AC65</f>
        <v>0</v>
      </c>
      <c r="AD65" s="169">
        <f>'Earnings Model (adjusted)'!AD65-'Earnings Model'!AD65</f>
        <v>0</v>
      </c>
      <c r="AE65" s="169">
        <f>'Earnings Model (adjusted)'!AE65-'Earnings Model'!AE65</f>
        <v>0</v>
      </c>
      <c r="AF65" s="169">
        <f>'Earnings Model (adjusted)'!AF65-'Earnings Model'!AF65</f>
        <v>0</v>
      </c>
      <c r="AG65" s="169">
        <f>'Earnings Model (adjusted)'!AG65-'Earnings Model'!AG65</f>
        <v>0</v>
      </c>
      <c r="AH65" s="169">
        <f>'Earnings Model (adjusted)'!AH65-'Earnings Model'!AH65</f>
        <v>0</v>
      </c>
      <c r="AI65" s="169">
        <f>'Earnings Model (adjusted)'!AI65-'Earnings Model'!AI65</f>
        <v>0</v>
      </c>
      <c r="AJ65" s="169">
        <f>'Earnings Model (adjusted)'!AJ65-'Earnings Model'!AJ65</f>
        <v>0</v>
      </c>
      <c r="AK65" s="169">
        <f>'Earnings Model (adjusted)'!AK65-'Earnings Model'!AK65</f>
        <v>0</v>
      </c>
      <c r="AL65" s="169">
        <f>'Earnings Model (adjusted)'!AL65-'Earnings Model'!AL65</f>
        <v>0</v>
      </c>
      <c r="AM65" s="169">
        <f>'Earnings Model (adjusted)'!AM65-'Earnings Model'!AM65</f>
        <v>0</v>
      </c>
      <c r="AN65" s="169">
        <f>'Earnings Model (adjusted)'!AN65-'Earnings Model'!AN65</f>
        <v>0</v>
      </c>
      <c r="AO65" s="169">
        <f>'Earnings Model (adjusted)'!AO65-'Earnings Model'!AO65</f>
        <v>0</v>
      </c>
      <c r="AP65" s="169">
        <f>'Earnings Model (adjusted)'!AP65-'Earnings Model'!AP65</f>
        <v>0</v>
      </c>
      <c r="AQ65" s="169">
        <f>'Earnings Model (adjusted)'!AQ65-'Earnings Model'!AQ65</f>
        <v>0</v>
      </c>
    </row>
    <row r="66" spans="1:43" outlineLevel="1" x14ac:dyDescent="0.25">
      <c r="A66" s="254"/>
      <c r="B66" s="550" t="s">
        <v>171</v>
      </c>
      <c r="C66" s="551"/>
      <c r="D66" s="256">
        <f t="shared" ref="D66:G67" si="38">+D59+D48</f>
        <v>17653</v>
      </c>
      <c r="E66" s="256">
        <f>+E59+E48</f>
        <v>17719</v>
      </c>
      <c r="F66" s="256">
        <f t="shared" si="38"/>
        <v>17853</v>
      </c>
      <c r="G66" s="256">
        <f t="shared" si="38"/>
        <v>18067</v>
      </c>
      <c r="H66" s="291"/>
      <c r="I66" s="256">
        <f>+I59+I48</f>
        <v>18203</v>
      </c>
      <c r="J66" s="256">
        <f t="shared" ref="J66:L67" si="39">+J59+J48</f>
        <v>18271</v>
      </c>
      <c r="K66" s="256">
        <f t="shared" si="39"/>
        <v>18235</v>
      </c>
      <c r="L66" s="34">
        <f t="shared" si="39"/>
        <v>18354</v>
      </c>
      <c r="M66" s="18"/>
      <c r="N66" s="34">
        <f>+N59+N48</f>
        <v>18308</v>
      </c>
      <c r="O66" s="34">
        <f t="shared" ref="O66:P67" si="40">+O59+O48</f>
        <v>18120</v>
      </c>
      <c r="P66" s="34">
        <f t="shared" si="40"/>
        <v>18175</v>
      </c>
      <c r="Q66" s="169">
        <f>'Earnings Model (adjusted)'!Q66-'Earnings Model'!Q66</f>
        <v>0</v>
      </c>
      <c r="R66" s="169">
        <f>'Earnings Model (adjusted)'!R66-'Earnings Model'!R66</f>
        <v>0</v>
      </c>
      <c r="S66" s="169">
        <f>'Earnings Model (adjusted)'!S66-'Earnings Model'!S66</f>
        <v>0</v>
      </c>
      <c r="T66" s="169">
        <f>'Earnings Model (adjusted)'!T66-'Earnings Model'!T66</f>
        <v>0</v>
      </c>
      <c r="U66" s="169">
        <f>'Earnings Model (adjusted)'!U66-'Earnings Model'!U66</f>
        <v>0</v>
      </c>
      <c r="V66" s="169">
        <f>'Earnings Model (adjusted)'!V66-'Earnings Model'!V66</f>
        <v>0</v>
      </c>
      <c r="W66" s="169">
        <f>'Earnings Model (adjusted)'!W66-'Earnings Model'!W66</f>
        <v>0</v>
      </c>
      <c r="X66" s="169">
        <f>'Earnings Model (adjusted)'!X66-'Earnings Model'!X66</f>
        <v>0</v>
      </c>
      <c r="Y66" s="169">
        <f>'Earnings Model (adjusted)'!Y66-'Earnings Model'!Y66</f>
        <v>0</v>
      </c>
      <c r="Z66" s="169">
        <f>'Earnings Model (adjusted)'!Z66-'Earnings Model'!Z66</f>
        <v>0</v>
      </c>
      <c r="AA66" s="169">
        <f>'Earnings Model (adjusted)'!AA66-'Earnings Model'!AA66</f>
        <v>0</v>
      </c>
      <c r="AB66" s="169">
        <f>'Earnings Model (adjusted)'!AB66-'Earnings Model'!AB66</f>
        <v>0</v>
      </c>
      <c r="AC66" s="169">
        <f>'Earnings Model (adjusted)'!AC66-'Earnings Model'!AC66</f>
        <v>0</v>
      </c>
      <c r="AD66" s="169">
        <f>'Earnings Model (adjusted)'!AD66-'Earnings Model'!AD66</f>
        <v>0</v>
      </c>
      <c r="AE66" s="169">
        <f>'Earnings Model (adjusted)'!AE66-'Earnings Model'!AE66</f>
        <v>0</v>
      </c>
      <c r="AF66" s="169">
        <f>'Earnings Model (adjusted)'!AF66-'Earnings Model'!AF66</f>
        <v>0</v>
      </c>
      <c r="AG66" s="169">
        <f>'Earnings Model (adjusted)'!AG66-'Earnings Model'!AG66</f>
        <v>0</v>
      </c>
      <c r="AH66" s="169">
        <f>'Earnings Model (adjusted)'!AH66-'Earnings Model'!AH66</f>
        <v>0</v>
      </c>
      <c r="AI66" s="169">
        <f>'Earnings Model (adjusted)'!AI66-'Earnings Model'!AI66</f>
        <v>0</v>
      </c>
      <c r="AJ66" s="169">
        <f>'Earnings Model (adjusted)'!AJ66-'Earnings Model'!AJ66</f>
        <v>0</v>
      </c>
      <c r="AK66" s="169">
        <f>'Earnings Model (adjusted)'!AK66-'Earnings Model'!AK66</f>
        <v>0</v>
      </c>
      <c r="AL66" s="169">
        <f>'Earnings Model (adjusted)'!AL66-'Earnings Model'!AL66</f>
        <v>0</v>
      </c>
      <c r="AM66" s="169">
        <f>'Earnings Model (adjusted)'!AM66-'Earnings Model'!AM66</f>
        <v>0</v>
      </c>
      <c r="AN66" s="169">
        <f>'Earnings Model (adjusted)'!AN66-'Earnings Model'!AN66</f>
        <v>0</v>
      </c>
      <c r="AO66" s="169">
        <f>'Earnings Model (adjusted)'!AO66-'Earnings Model'!AO66</f>
        <v>0</v>
      </c>
      <c r="AP66" s="169">
        <f>'Earnings Model (adjusted)'!AP66-'Earnings Model'!AP66</f>
        <v>0</v>
      </c>
      <c r="AQ66" s="169">
        <f>'Earnings Model (adjusted)'!AQ66-'Earnings Model'!AQ66</f>
        <v>0</v>
      </c>
    </row>
    <row r="67" spans="1:43" outlineLevel="1" x14ac:dyDescent="0.25">
      <c r="A67" s="254"/>
      <c r="B67" s="550" t="s">
        <v>172</v>
      </c>
      <c r="C67" s="551"/>
      <c r="D67" s="256">
        <f t="shared" si="38"/>
        <v>193</v>
      </c>
      <c r="E67" s="256">
        <f>+E60+E49</f>
        <v>66</v>
      </c>
      <c r="F67" s="256">
        <f t="shared" si="38"/>
        <v>134</v>
      </c>
      <c r="G67" s="256">
        <f t="shared" si="38"/>
        <v>214</v>
      </c>
      <c r="H67" s="291">
        <f>+H60+H49</f>
        <v>607</v>
      </c>
      <c r="I67" s="256">
        <f>+I60+I49</f>
        <v>136</v>
      </c>
      <c r="J67" s="256">
        <f t="shared" si="39"/>
        <v>68</v>
      </c>
      <c r="K67" s="256">
        <f t="shared" si="39"/>
        <v>-36</v>
      </c>
      <c r="L67" s="34">
        <f t="shared" si="39"/>
        <v>119</v>
      </c>
      <c r="M67" s="291">
        <f>+M60+M49</f>
        <v>287</v>
      </c>
      <c r="N67" s="34">
        <f>+N60+N49</f>
        <v>-46</v>
      </c>
      <c r="O67" s="34">
        <f t="shared" si="40"/>
        <v>-188</v>
      </c>
      <c r="P67" s="34">
        <f t="shared" si="40"/>
        <v>55</v>
      </c>
      <c r="Q67" s="169">
        <f>'Earnings Model (adjusted)'!Q67-'Earnings Model'!Q67</f>
        <v>0</v>
      </c>
      <c r="R67" s="169">
        <f>'Earnings Model (adjusted)'!R67-'Earnings Model'!R67</f>
        <v>0</v>
      </c>
      <c r="S67" s="169">
        <f>'Earnings Model (adjusted)'!S67-'Earnings Model'!S67</f>
        <v>0</v>
      </c>
      <c r="T67" s="169">
        <f>'Earnings Model (adjusted)'!T67-'Earnings Model'!T67</f>
        <v>0</v>
      </c>
      <c r="U67" s="169">
        <f>'Earnings Model (adjusted)'!U67-'Earnings Model'!U67</f>
        <v>0</v>
      </c>
      <c r="V67" s="169">
        <f>'Earnings Model (adjusted)'!V67-'Earnings Model'!V67</f>
        <v>0</v>
      </c>
      <c r="W67" s="169">
        <f>'Earnings Model (adjusted)'!W67-'Earnings Model'!W67</f>
        <v>0</v>
      </c>
      <c r="X67" s="169">
        <f>'Earnings Model (adjusted)'!X67-'Earnings Model'!X67</f>
        <v>0</v>
      </c>
      <c r="Y67" s="169">
        <f>'Earnings Model (adjusted)'!Y67-'Earnings Model'!Y67</f>
        <v>0</v>
      </c>
      <c r="Z67" s="169">
        <f>'Earnings Model (adjusted)'!Z67-'Earnings Model'!Z67</f>
        <v>0</v>
      </c>
      <c r="AA67" s="169">
        <f>'Earnings Model (adjusted)'!AA67-'Earnings Model'!AA67</f>
        <v>0</v>
      </c>
      <c r="AB67" s="169">
        <f>'Earnings Model (adjusted)'!AB67-'Earnings Model'!AB67</f>
        <v>0</v>
      </c>
      <c r="AC67" s="169">
        <f>'Earnings Model (adjusted)'!AC67-'Earnings Model'!AC67</f>
        <v>0</v>
      </c>
      <c r="AD67" s="169">
        <f>'Earnings Model (adjusted)'!AD67-'Earnings Model'!AD67</f>
        <v>0</v>
      </c>
      <c r="AE67" s="169">
        <f>'Earnings Model (adjusted)'!AE67-'Earnings Model'!AE67</f>
        <v>0</v>
      </c>
      <c r="AF67" s="169">
        <f>'Earnings Model (adjusted)'!AF67-'Earnings Model'!AF67</f>
        <v>0</v>
      </c>
      <c r="AG67" s="169">
        <f>'Earnings Model (adjusted)'!AG67-'Earnings Model'!AG67</f>
        <v>0</v>
      </c>
      <c r="AH67" s="169">
        <f>'Earnings Model (adjusted)'!AH67-'Earnings Model'!AH67</f>
        <v>0</v>
      </c>
      <c r="AI67" s="169">
        <f>'Earnings Model (adjusted)'!AI67-'Earnings Model'!AI67</f>
        <v>0</v>
      </c>
      <c r="AJ67" s="169">
        <f>'Earnings Model (adjusted)'!AJ67-'Earnings Model'!AJ67</f>
        <v>0</v>
      </c>
      <c r="AK67" s="169">
        <f>'Earnings Model (adjusted)'!AK67-'Earnings Model'!AK67</f>
        <v>0</v>
      </c>
      <c r="AL67" s="169">
        <f>'Earnings Model (adjusted)'!AL67-'Earnings Model'!AL67</f>
        <v>0</v>
      </c>
      <c r="AM67" s="169">
        <f>'Earnings Model (adjusted)'!AM67-'Earnings Model'!AM67</f>
        <v>0</v>
      </c>
      <c r="AN67" s="169">
        <f>'Earnings Model (adjusted)'!AN67-'Earnings Model'!AN67</f>
        <v>0</v>
      </c>
      <c r="AO67" s="169">
        <f>'Earnings Model (adjusted)'!AO67-'Earnings Model'!AO67</f>
        <v>0</v>
      </c>
      <c r="AP67" s="169">
        <f>'Earnings Model (adjusted)'!AP67-'Earnings Model'!AP67</f>
        <v>0</v>
      </c>
      <c r="AQ67" s="169">
        <f>'Earnings Model (adjusted)'!AQ67-'Earnings Model'!AQ67</f>
        <v>0</v>
      </c>
    </row>
    <row r="68" spans="1:43" outlineLevel="1" x14ac:dyDescent="0.25">
      <c r="A68" s="254"/>
      <c r="B68" s="601" t="s">
        <v>170</v>
      </c>
      <c r="C68" s="602"/>
      <c r="D68" s="279">
        <f t="shared" ref="D68:G68" si="41">+D64+D63+D56</f>
        <v>4612.5</v>
      </c>
      <c r="E68" s="279">
        <f t="shared" si="41"/>
        <v>4314.1000000000004</v>
      </c>
      <c r="F68" s="279">
        <f t="shared" si="41"/>
        <v>4681.0999999999995</v>
      </c>
      <c r="G68" s="279">
        <f t="shared" si="41"/>
        <v>4651.3999999999996</v>
      </c>
      <c r="H68" s="320">
        <f>SUM(D68:G68)</f>
        <v>18259.099999999999</v>
      </c>
      <c r="I68" s="279">
        <f>+I64+I63+I56</f>
        <v>5010.8999999999996</v>
      </c>
      <c r="J68" s="279">
        <f t="shared" ref="J68:L68" si="42">+J64+J63+J56</f>
        <v>4330</v>
      </c>
      <c r="K68" s="279">
        <f t="shared" si="42"/>
        <v>2805.5</v>
      </c>
      <c r="L68" s="203">
        <f t="shared" si="42"/>
        <v>4232.9000000000005</v>
      </c>
      <c r="M68" s="239">
        <f>SUM(I68:L68)</f>
        <v>16379.3</v>
      </c>
      <c r="N68" s="203">
        <f>+N64+N63+N56</f>
        <v>4703.2</v>
      </c>
      <c r="O68" s="203">
        <f t="shared" ref="O68:P68" si="43">+O64+O63+O56</f>
        <v>4664.5999999999995</v>
      </c>
      <c r="P68" s="203">
        <f t="shared" si="43"/>
        <v>5400.3</v>
      </c>
      <c r="Q68" s="169">
        <f>'Earnings Model (adjusted)'!Q68-'Earnings Model'!Q68</f>
        <v>0</v>
      </c>
      <c r="R68" s="169">
        <f>'Earnings Model (adjusted)'!R68-'Earnings Model'!R68</f>
        <v>0</v>
      </c>
      <c r="S68" s="169">
        <f>'Earnings Model (adjusted)'!S68-'Earnings Model'!S68</f>
        <v>83.578139499646568</v>
      </c>
      <c r="T68" s="169">
        <f>'Earnings Model (adjusted)'!T68-'Earnings Model'!T68</f>
        <v>81.263869747738681</v>
      </c>
      <c r="U68" s="169">
        <f>'Earnings Model (adjusted)'!U68-'Earnings Model'!U68</f>
        <v>47.246621336180397</v>
      </c>
      <c r="V68" s="169">
        <f>'Earnings Model (adjusted)'!V68-'Earnings Model'!V68</f>
        <v>47.099033970885102</v>
      </c>
      <c r="W68" s="169">
        <f>'Earnings Model (adjusted)'!W68-'Earnings Model'!W68</f>
        <v>259.18766455445075</v>
      </c>
      <c r="X68" s="169">
        <f>'Earnings Model (adjusted)'!X68-'Earnings Model'!X68</f>
        <v>110.71051888422335</v>
      </c>
      <c r="Y68" s="169">
        <f>'Earnings Model (adjusted)'!Y68-'Earnings Model'!Y68</f>
        <v>110.49795356779032</v>
      </c>
      <c r="Z68" s="169">
        <f>'Earnings Model (adjusted)'!Z68-'Earnings Model'!Z68</f>
        <v>50.58519341133524</v>
      </c>
      <c r="AA68" s="169">
        <f>'Earnings Model (adjusted)'!AA68-'Earnings Model'!AA68</f>
        <v>50.164136268691436</v>
      </c>
      <c r="AB68" s="169">
        <f>'Earnings Model (adjusted)'!AB68-'Earnings Model'!AB68</f>
        <v>321.95780213204125</v>
      </c>
      <c r="AC68" s="169">
        <f>'Earnings Model (adjusted)'!AC68-'Earnings Model'!AC68</f>
        <v>144.31023593562986</v>
      </c>
      <c r="AD68" s="169">
        <f>'Earnings Model (adjusted)'!AD68-'Earnings Model'!AD68</f>
        <v>144.35618217214596</v>
      </c>
      <c r="AE68" s="169">
        <f>'Earnings Model (adjusted)'!AE68-'Earnings Model'!AE68</f>
        <v>54.437908316112953</v>
      </c>
      <c r="AF68" s="169">
        <f>'Earnings Model (adjusted)'!AF68-'Earnings Model'!AF68</f>
        <v>25.828541249098635</v>
      </c>
      <c r="AG68" s="169">
        <f>'Earnings Model (adjusted)'!AG68-'Earnings Model'!AG68</f>
        <v>368.93286767298559</v>
      </c>
      <c r="AH68" s="169">
        <f>'Earnings Model (adjusted)'!AH68-'Earnings Model'!AH68</f>
        <v>182.17573480253304</v>
      </c>
      <c r="AI68" s="169">
        <f>'Earnings Model (adjusted)'!AI68-'Earnings Model'!AI68</f>
        <v>182.20923138744729</v>
      </c>
      <c r="AJ68" s="169">
        <f>'Earnings Model (adjusted)'!AJ68-'Earnings Model'!AJ68</f>
        <v>58.276900889050012</v>
      </c>
      <c r="AK68" s="169">
        <f>'Earnings Model (adjusted)'!AK68-'Earnings Model'!AK68</f>
        <v>27.644243424854722</v>
      </c>
      <c r="AL68" s="169">
        <f>'Earnings Model (adjusted)'!AL68-'Earnings Model'!AL68</f>
        <v>450.30611050388688</v>
      </c>
      <c r="AM68" s="169">
        <f>'Earnings Model (adjusted)'!AM68-'Earnings Model'!AM68</f>
        <v>194.94246668400865</v>
      </c>
      <c r="AN68" s="169">
        <f>'Earnings Model (adjusted)'!AN68-'Earnings Model'!AN68</f>
        <v>194.93896645385121</v>
      </c>
      <c r="AO68" s="169">
        <f>'Earnings Model (adjusted)'!AO68-'Earnings Model'!AO68</f>
        <v>62.335912214516611</v>
      </c>
      <c r="AP68" s="169">
        <f>'Earnings Model (adjusted)'!AP68-'Earnings Model'!AP68</f>
        <v>29.563876108671138</v>
      </c>
      <c r="AQ68" s="169">
        <f>'Earnings Model (adjusted)'!AQ68-'Earnings Model'!AQ68</f>
        <v>481.78122146104943</v>
      </c>
    </row>
    <row r="69" spans="1:43" outlineLevel="1" x14ac:dyDescent="0.25">
      <c r="A69" s="254"/>
      <c r="B69" s="605" t="s">
        <v>262</v>
      </c>
      <c r="C69" s="606"/>
      <c r="D69" s="261">
        <v>1351.3</v>
      </c>
      <c r="E69" s="261">
        <v>1220.5</v>
      </c>
      <c r="F69" s="261">
        <v>1324</v>
      </c>
      <c r="G69" s="261">
        <v>1278.9000000000001</v>
      </c>
      <c r="H69" s="317"/>
      <c r="I69" s="261">
        <v>1388.4</v>
      </c>
      <c r="J69" s="261">
        <v>1248.2</v>
      </c>
      <c r="K69" s="261">
        <v>805.6</v>
      </c>
      <c r="L69" s="169">
        <v>1169.4000000000001</v>
      </c>
      <c r="M69" s="209"/>
      <c r="N69" s="169">
        <v>1276.2</v>
      </c>
      <c r="O69" s="169">
        <v>1227.5999999999999</v>
      </c>
      <c r="P69" s="169">
        <v>1416.2</v>
      </c>
      <c r="Q69" s="169">
        <f>'Earnings Model (adjusted)'!Q69-'Earnings Model'!Q69</f>
        <v>-18.289920774464917</v>
      </c>
      <c r="R69" s="169">
        <f>'Earnings Model (adjusted)'!R69-'Earnings Model'!R69</f>
        <v>-18.289920774464917</v>
      </c>
      <c r="S69" s="169">
        <f>'Earnings Model (adjusted)'!S69-'Earnings Model'!S69</f>
        <v>-20.834038462235867</v>
      </c>
      <c r="T69" s="169">
        <f>'Earnings Model (adjusted)'!T69-'Earnings Model'!T69</f>
        <v>-19.268678723406993</v>
      </c>
      <c r="U69" s="169">
        <f>'Earnings Model (adjusted)'!U69-'Earnings Model'!U69</f>
        <v>-34.904912439824784</v>
      </c>
      <c r="V69" s="169">
        <f>'Earnings Model (adjusted)'!V69-'Earnings Model'!V69</f>
        <v>-5.099328379728604</v>
      </c>
      <c r="W69" s="169">
        <f>'Earnings Model (adjusted)'!W69-'Earnings Model'!W69</f>
        <v>-80.106958005195338</v>
      </c>
      <c r="X69" s="169">
        <f>'Earnings Model (adjusted)'!X69-'Earnings Model'!X69</f>
        <v>-3.2857228501529789</v>
      </c>
      <c r="Y69" s="169">
        <f>'Earnings Model (adjusted)'!Y69-'Earnings Model'!Y69</f>
        <v>-1.9480299878928236</v>
      </c>
      <c r="Z69" s="169">
        <f>'Earnings Model (adjusted)'!Z69-'Earnings Model'!Z69</f>
        <v>-23.17555406744782</v>
      </c>
      <c r="AA69" s="169">
        <f>'Earnings Model (adjusted)'!AA69-'Earnings Model'!AA69</f>
        <v>-23.186353701673397</v>
      </c>
      <c r="AB69" s="169">
        <f>'Earnings Model (adjusted)'!AB69-'Earnings Model'!AB69</f>
        <v>-51.595660607166792</v>
      </c>
      <c r="AC69" s="169">
        <f>'Earnings Model (adjusted)'!AC69-'Earnings Model'!AC69</f>
        <v>13.318959642798518</v>
      </c>
      <c r="AD69" s="169">
        <f>'Earnings Model (adjusted)'!AD69-'Earnings Model'!AD69</f>
        <v>14.948864486302227</v>
      </c>
      <c r="AE69" s="169">
        <f>'Earnings Model (adjusted)'!AE69-'Earnings Model'!AE69</f>
        <v>-13.906631725071747</v>
      </c>
      <c r="AF69" s="169">
        <f>'Earnings Model (adjusted)'!AF69-'Earnings Model'!AF69</f>
        <v>-21.734834892181652</v>
      </c>
      <c r="AG69" s="169">
        <f>'Earnings Model (adjusted)'!AG69-'Earnings Model'!AG69</f>
        <v>-7.3736424881526546</v>
      </c>
      <c r="AH69" s="169">
        <f>'Earnings Model (adjusted)'!AH69-'Earnings Model'!AH69</f>
        <v>11.407911895514189</v>
      </c>
      <c r="AI69" s="169">
        <f>'Earnings Model (adjusted)'!AI69-'Earnings Model'!AI69</f>
        <v>13.49482841093959</v>
      </c>
      <c r="AJ69" s="169">
        <f>'Earnings Model (adjusted)'!AJ69-'Earnings Model'!AJ69</f>
        <v>-26.404841425903214</v>
      </c>
      <c r="AK69" s="169">
        <f>'Earnings Model (adjusted)'!AK69-'Earnings Model'!AK69</f>
        <v>-34.530709163766005</v>
      </c>
      <c r="AL69" s="169">
        <f>'Earnings Model (adjusted)'!AL69-'Earnings Model'!AL69</f>
        <v>-36.03281028321544</v>
      </c>
      <c r="AM69" s="169">
        <f>'Earnings Model (adjusted)'!AM69-'Earnings Model'!AM69</f>
        <v>16.721422546902431</v>
      </c>
      <c r="AN69" s="169">
        <f>'Earnings Model (adjusted)'!AN69-'Earnings Model'!AN69</f>
        <v>18.917842548564749</v>
      </c>
      <c r="AO69" s="169">
        <f>'Earnings Model (adjusted)'!AO69-'Earnings Model'!AO69</f>
        <v>-23.297347213057947</v>
      </c>
      <c r="AP69" s="169">
        <f>'Earnings Model (adjusted)'!AP69-'Earnings Model'!AP69</f>
        <v>-32.082347679771829</v>
      </c>
      <c r="AQ69" s="169">
        <f>'Earnings Model (adjusted)'!AQ69-'Earnings Model'!AQ69</f>
        <v>-19.740429797363504</v>
      </c>
    </row>
    <row r="70" spans="1:43" s="473" customFormat="1" outlineLevel="1" x14ac:dyDescent="0.25">
      <c r="A70" s="471"/>
      <c r="B70" s="467" t="s">
        <v>341</v>
      </c>
      <c r="C70" s="472"/>
      <c r="D70" s="415">
        <f>D69/D68</f>
        <v>0.29296476964769647</v>
      </c>
      <c r="E70" s="415">
        <f t="shared" ref="E70:P70" si="44">E69/E68</f>
        <v>0.28290952921814511</v>
      </c>
      <c r="F70" s="415">
        <f t="shared" si="44"/>
        <v>0.28283950353549381</v>
      </c>
      <c r="G70" s="415">
        <f t="shared" si="44"/>
        <v>0.27494947757664362</v>
      </c>
      <c r="H70" s="474"/>
      <c r="I70" s="415">
        <f t="shared" si="44"/>
        <v>0.27707597437586068</v>
      </c>
      <c r="J70" s="415">
        <f t="shared" si="44"/>
        <v>0.28826789838337186</v>
      </c>
      <c r="K70" s="415">
        <f t="shared" si="44"/>
        <v>0.28715024059882377</v>
      </c>
      <c r="L70" s="475">
        <f t="shared" si="44"/>
        <v>0.27626449951569843</v>
      </c>
      <c r="M70" s="476"/>
      <c r="N70" s="475">
        <f t="shared" si="44"/>
        <v>0.27134716788569485</v>
      </c>
      <c r="O70" s="415">
        <f t="shared" si="44"/>
        <v>0.26317369120610556</v>
      </c>
      <c r="P70" s="415">
        <f t="shared" si="44"/>
        <v>0.26224469010980872</v>
      </c>
      <c r="Q70" s="169">
        <f>'Earnings Model (adjusted)'!Q70-'Earnings Model'!Q70</f>
        <v>-3.1079492775765716E-3</v>
      </c>
      <c r="R70" s="169">
        <f>'Earnings Model (adjusted)'!R70-'Earnings Model'!R70</f>
        <v>-8.8558248202830203E-4</v>
      </c>
      <c r="S70" s="169">
        <f>'Earnings Model (adjusted)'!S70-'Earnings Model'!S70</f>
        <v>-8.107949277576576E-3</v>
      </c>
      <c r="T70" s="169">
        <f>'Earnings Model (adjusted)'!T70-'Earnings Model'!T70</f>
        <v>-8.107949277576576E-3</v>
      </c>
      <c r="U70" s="169">
        <f>'Earnings Model (adjusted)'!U70-'Earnings Model'!U70</f>
        <v>-8.107949277576576E-3</v>
      </c>
      <c r="V70" s="169">
        <f>'Earnings Model (adjusted)'!V70-'Earnings Model'!V70</f>
        <v>-3.1079492775765716E-3</v>
      </c>
      <c r="W70" s="169">
        <f>'Earnings Model (adjusted)'!W70-'Earnings Model'!W70</f>
        <v>-6.7964401080218839E-3</v>
      </c>
      <c r="X70" s="169">
        <f>'Earnings Model (adjusted)'!X70-'Earnings Model'!X70</f>
        <v>-5.8815600140649793E-3</v>
      </c>
      <c r="Y70" s="169">
        <f>'Earnings Model (adjusted)'!Y70-'Earnings Model'!Y70</f>
        <v>-5.8815600140649793E-3</v>
      </c>
      <c r="Z70" s="169">
        <f>'Earnings Model (adjusted)'!Z70-'Earnings Model'!Z70</f>
        <v>-5.8815600140649793E-3</v>
      </c>
      <c r="AA70" s="169">
        <f>'Earnings Model (adjusted)'!AA70-'Earnings Model'!AA70</f>
        <v>-5.8815600140649793E-3</v>
      </c>
      <c r="AB70" s="169">
        <f>'Earnings Model (adjusted)'!AB70-'Earnings Model'!AB70</f>
        <v>-5.8816684196927871E-3</v>
      </c>
      <c r="AC70" s="169">
        <f>'Earnings Model (adjusted)'!AC70-'Earnings Model'!AC70</f>
        <v>-4.2974191553944996E-3</v>
      </c>
      <c r="AD70" s="169">
        <f>'Earnings Model (adjusted)'!AD70-'Earnings Model'!AD70</f>
        <v>-4.2974191553944996E-3</v>
      </c>
      <c r="AE70" s="169">
        <f>'Earnings Model (adjusted)'!AE70-'Earnings Model'!AE70</f>
        <v>-4.2974191553944996E-3</v>
      </c>
      <c r="AF70" s="169">
        <f>'Earnings Model (adjusted)'!AF70-'Earnings Model'!AF70</f>
        <v>-4.2974191553944996E-3</v>
      </c>
      <c r="AG70" s="169">
        <f>'Earnings Model (adjusted)'!AG70-'Earnings Model'!AG70</f>
        <v>-4.2920867727992973E-3</v>
      </c>
      <c r="AH70" s="169">
        <f>'Earnings Model (adjusted)'!AH70-'Earnings Model'!AH70</f>
        <v>-5.886800243112611E-3</v>
      </c>
      <c r="AI70" s="169">
        <f>'Earnings Model (adjusted)'!AI70-'Earnings Model'!AI70</f>
        <v>-5.886800243112611E-3</v>
      </c>
      <c r="AJ70" s="169">
        <f>'Earnings Model (adjusted)'!AJ70-'Earnings Model'!AJ70</f>
        <v>-5.886800243112611E-3</v>
      </c>
      <c r="AK70" s="169">
        <f>'Earnings Model (adjusted)'!AK70-'Earnings Model'!AK70</f>
        <v>-5.886800243112611E-3</v>
      </c>
      <c r="AL70" s="169">
        <f>'Earnings Model (adjusted)'!AL70-'Earnings Model'!AL70</f>
        <v>-5.8815003323801074E-3</v>
      </c>
      <c r="AM70" s="169">
        <f>'Earnings Model (adjusted)'!AM70-'Earnings Model'!AM70</f>
        <v>-5.2730825076667265E-3</v>
      </c>
      <c r="AN70" s="169">
        <f>'Earnings Model (adjusted)'!AN70-'Earnings Model'!AN70</f>
        <v>-5.2730825076667265E-3</v>
      </c>
      <c r="AO70" s="169">
        <f>'Earnings Model (adjusted)'!AO70-'Earnings Model'!AO70</f>
        <v>-5.2730825076667265E-3</v>
      </c>
      <c r="AP70" s="169">
        <f>'Earnings Model (adjusted)'!AP70-'Earnings Model'!AP70</f>
        <v>-5.2730825076667265E-3</v>
      </c>
      <c r="AQ70" s="169">
        <f>'Earnings Model (adjusted)'!AQ70-'Earnings Model'!AQ70</f>
        <v>-5.2677792769946774E-3</v>
      </c>
    </row>
    <row r="71" spans="1:43" outlineLevel="1" x14ac:dyDescent="0.25">
      <c r="A71" s="254"/>
      <c r="B71" s="550" t="s">
        <v>141</v>
      </c>
      <c r="C71" s="36"/>
      <c r="D71" s="169">
        <v>1983.1</v>
      </c>
      <c r="E71" s="169">
        <v>1935.7</v>
      </c>
      <c r="F71" s="169">
        <v>2034</v>
      </c>
      <c r="G71" s="169">
        <v>2112.1</v>
      </c>
      <c r="H71" s="170"/>
      <c r="I71" s="169">
        <v>2214.4</v>
      </c>
      <c r="J71" s="169">
        <v>2158.6</v>
      </c>
      <c r="K71" s="169">
        <v>2054.4</v>
      </c>
      <c r="L71" s="169">
        <v>2060.6</v>
      </c>
      <c r="M71" s="385"/>
      <c r="N71" s="169">
        <v>2238.8000000000002</v>
      </c>
      <c r="O71" s="169">
        <v>2203.1</v>
      </c>
      <c r="P71" s="169">
        <v>2346.8000000000002</v>
      </c>
      <c r="Q71" s="169">
        <f>'Earnings Model (adjusted)'!Q71-'Earnings Model'!Q71</f>
        <v>-27.799990435258223</v>
      </c>
      <c r="R71" s="169">
        <f>'Earnings Model (adjusted)'!R71-'Earnings Model'!R71</f>
        <v>-27.799990435258223</v>
      </c>
      <c r="S71" s="169">
        <f>'Earnings Model (adjusted)'!S71-'Earnings Model'!S71</f>
        <v>-7.1004697649755144</v>
      </c>
      <c r="T71" s="169">
        <f>'Earnings Model (adjusted)'!T71-'Earnings Model'!T71</f>
        <v>-6.9384708823413348</v>
      </c>
      <c r="U71" s="169">
        <f>'Earnings Model (adjusted)'!U71-'Earnings Model'!U71</f>
        <v>-31.487837655154635</v>
      </c>
      <c r="V71" s="169">
        <f>'Earnings Model (adjusted)'!V71-'Earnings Model'!V71</f>
        <v>-29.509420382530152</v>
      </c>
      <c r="W71" s="169">
        <f>'Earnings Model (adjusted)'!W71-'Earnings Model'!W71</f>
        <v>-75.036198685000272</v>
      </c>
      <c r="X71" s="169">
        <f>'Earnings Model (adjusted)'!X71-'Earnings Model'!X71</f>
        <v>2.4284207553687338</v>
      </c>
      <c r="Y71" s="169">
        <f>'Earnings Model (adjusted)'!Y71-'Earnings Model'!Y71</f>
        <v>2.4199181427120493</v>
      </c>
      <c r="Z71" s="169">
        <f>'Earnings Model (adjusted)'!Z71-'Earnings Model'!Z71</f>
        <v>-33.86867184914172</v>
      </c>
      <c r="AA71" s="169">
        <f>'Earnings Model (adjusted)'!AA71-'Earnings Model'!AA71</f>
        <v>-32.098481761214316</v>
      </c>
      <c r="AB71" s="169">
        <f>'Earnings Model (adjusted)'!AB71-'Earnings Model'!AB71</f>
        <v>-61.118814712275707</v>
      </c>
      <c r="AC71" s="169">
        <f>'Earnings Model (adjusted)'!AC71-'Earnings Model'!AC71</f>
        <v>15.021790033982143</v>
      </c>
      <c r="AD71" s="169">
        <f>'Earnings Model (adjusted)'!AD71-'Earnings Model'!AD71</f>
        <v>15.027209519203552</v>
      </c>
      <c r="AE71" s="169">
        <f>'Earnings Model (adjusted)'!AE71-'Earnings Model'!AE71</f>
        <v>-36.29588223915016</v>
      </c>
      <c r="AF71" s="169">
        <f>'Earnings Model (adjusted)'!AF71-'Earnings Model'!AF71</f>
        <v>-47.902483507894885</v>
      </c>
      <c r="AG71" s="169">
        <f>'Earnings Model (adjusted)'!AG71-'Earnings Model'!AG71</f>
        <v>-54.149366193858441</v>
      </c>
      <c r="AH71" s="169">
        <f>'Earnings Model (adjusted)'!AH71-'Earnings Model'!AH71</f>
        <v>29.495616969887578</v>
      </c>
      <c r="AI71" s="169">
        <f>'Earnings Model (adjusted)'!AI71-'Earnings Model'!AI71</f>
        <v>29.501408057320077</v>
      </c>
      <c r="AJ71" s="169">
        <f>'Earnings Model (adjusted)'!AJ71-'Earnings Model'!AJ71</f>
        <v>-38.714447560101235</v>
      </c>
      <c r="AK71" s="169">
        <f>'Earnings Model (adjusted)'!AK71-'Earnings Model'!AK71</f>
        <v>-51.129349414648004</v>
      </c>
      <c r="AL71" s="169">
        <f>'Earnings Model (adjusted)'!AL71-'Earnings Model'!AL71</f>
        <v>-30.846771947541129</v>
      </c>
      <c r="AM71" s="169">
        <f>'Earnings Model (adjusted)'!AM71-'Earnings Model'!AM71</f>
        <v>31.702804978389395</v>
      </c>
      <c r="AN71" s="169">
        <f>'Earnings Model (adjusted)'!AN71-'Earnings Model'!AN71</f>
        <v>31.702199837927765</v>
      </c>
      <c r="AO71" s="169">
        <f>'Earnings Model (adjusted)'!AO71-'Earnings Model'!AO71</f>
        <v>-41.271624695146329</v>
      </c>
      <c r="AP71" s="169">
        <f>'Earnings Model (adjusted)'!AP71-'Earnings Model'!AP71</f>
        <v>-54.540920620328052</v>
      </c>
      <c r="AQ71" s="169">
        <f>'Earnings Model (adjusted)'!AQ71-'Earnings Model'!AQ71</f>
        <v>-32.407540499156312</v>
      </c>
    </row>
    <row r="72" spans="1:43" s="473" customFormat="1" outlineLevel="1" x14ac:dyDescent="0.25">
      <c r="A72" s="471"/>
      <c r="B72" s="467" t="s">
        <v>340</v>
      </c>
      <c r="C72" s="478"/>
      <c r="D72" s="475">
        <f>D71/D56</f>
        <v>0.48460485802257952</v>
      </c>
      <c r="E72" s="475">
        <f t="shared" ref="E72:P72" si="45">E71/E56</f>
        <v>0.50283146300914383</v>
      </c>
      <c r="F72" s="475">
        <f t="shared" si="45"/>
        <v>0.48634689876141746</v>
      </c>
      <c r="G72" s="475">
        <f>G71/G56</f>
        <v>0.5072042649248355</v>
      </c>
      <c r="H72" s="476"/>
      <c r="I72" s="475">
        <f t="shared" si="45"/>
        <v>0.49528069783046302</v>
      </c>
      <c r="J72" s="475">
        <f t="shared" si="45"/>
        <v>0.55870172895744896</v>
      </c>
      <c r="K72" s="475">
        <f t="shared" si="45"/>
        <v>0.79971972439565575</v>
      </c>
      <c r="L72" s="475">
        <f t="shared" si="45"/>
        <v>0.53172657600701878</v>
      </c>
      <c r="M72" s="476"/>
      <c r="N72" s="475">
        <f t="shared" si="45"/>
        <v>0.52249813293502612</v>
      </c>
      <c r="O72" s="475">
        <f t="shared" si="45"/>
        <v>0.51614187986130633</v>
      </c>
      <c r="P72" s="475">
        <f t="shared" si="45"/>
        <v>0.47604365288652684</v>
      </c>
      <c r="Q72" s="169">
        <f>'Earnings Model (adjusted)'!Q72-'Earnings Model'!Q72</f>
        <v>-5.2468711794940726E-3</v>
      </c>
      <c r="R72" s="169">
        <f>'Earnings Model (adjusted)'!R72-'Earnings Model'!R72</f>
        <v>-1.4801878141442182E-3</v>
      </c>
      <c r="S72" s="169">
        <f>'Earnings Model (adjusted)'!S72-'Earnings Model'!S72</f>
        <v>-1.0000000000000009E-2</v>
      </c>
      <c r="T72" s="169">
        <f>'Earnings Model (adjusted)'!T72-'Earnings Model'!T72</f>
        <v>-1.0000000000000009E-2</v>
      </c>
      <c r="U72" s="169">
        <f>'Earnings Model (adjusted)'!U72-'Earnings Model'!U72</f>
        <v>-1.0000000000000009E-2</v>
      </c>
      <c r="V72" s="169">
        <f>'Earnings Model (adjusted)'!V72-'Earnings Model'!V72</f>
        <v>-1.0000000000000009E-2</v>
      </c>
      <c r="W72" s="169">
        <f>'Earnings Model (adjusted)'!W72-'Earnings Model'!W72</f>
        <v>-9.9682725993948673E-3</v>
      </c>
      <c r="X72" s="169">
        <f>'Earnings Model (adjusted)'!X72-'Earnings Model'!X72</f>
        <v>-1.0000000000000009E-2</v>
      </c>
      <c r="Y72" s="169">
        <f>'Earnings Model (adjusted)'!Y72-'Earnings Model'!Y72</f>
        <v>-1.0000000000000009E-2</v>
      </c>
      <c r="Z72" s="169">
        <f>'Earnings Model (adjusted)'!Z72-'Earnings Model'!Z72</f>
        <v>-1.0000000000000009E-2</v>
      </c>
      <c r="AA72" s="169">
        <f>'Earnings Model (adjusted)'!AA72-'Earnings Model'!AA72</f>
        <v>-1.0000000000000009E-2</v>
      </c>
      <c r="AB72" s="169">
        <f>'Earnings Model (adjusted)'!AB72-'Earnings Model'!AB72</f>
        <v>-1.0000000000000064E-2</v>
      </c>
      <c r="AC72" s="169">
        <f>'Earnings Model (adjusted)'!AC72-'Earnings Model'!AC72</f>
        <v>-1.0000000000000009E-2</v>
      </c>
      <c r="AD72" s="169">
        <f>'Earnings Model (adjusted)'!AD72-'Earnings Model'!AD72</f>
        <v>-1.0000000000000009E-2</v>
      </c>
      <c r="AE72" s="169">
        <f>'Earnings Model (adjusted)'!AE72-'Earnings Model'!AE72</f>
        <v>-1.0000000000000009E-2</v>
      </c>
      <c r="AF72" s="169">
        <f>'Earnings Model (adjusted)'!AF72-'Earnings Model'!AF72</f>
        <v>-1.0000000000000009E-2</v>
      </c>
      <c r="AG72" s="169">
        <f>'Earnings Model (adjusted)'!AG72-'Earnings Model'!AG72</f>
        <v>-9.9999999999999534E-3</v>
      </c>
      <c r="AH72" s="169">
        <f>'Earnings Model (adjusted)'!AH72-'Earnings Model'!AH72</f>
        <v>-1.0000000000000009E-2</v>
      </c>
      <c r="AI72" s="169">
        <f>'Earnings Model (adjusted)'!AI72-'Earnings Model'!AI72</f>
        <v>-1.0000000000000009E-2</v>
      </c>
      <c r="AJ72" s="169">
        <f>'Earnings Model (adjusted)'!AJ72-'Earnings Model'!AJ72</f>
        <v>-1.0000000000000009E-2</v>
      </c>
      <c r="AK72" s="169">
        <f>'Earnings Model (adjusted)'!AK72-'Earnings Model'!AK72</f>
        <v>-1.0000000000000009E-2</v>
      </c>
      <c r="AL72" s="169">
        <f>'Earnings Model (adjusted)'!AL72-'Earnings Model'!AL72</f>
        <v>-9.9999999999999534E-3</v>
      </c>
      <c r="AM72" s="169">
        <f>'Earnings Model (adjusted)'!AM72-'Earnings Model'!AM72</f>
        <v>-1.0000000000000009E-2</v>
      </c>
      <c r="AN72" s="169">
        <f>'Earnings Model (adjusted)'!AN72-'Earnings Model'!AN72</f>
        <v>-1.0000000000000009E-2</v>
      </c>
      <c r="AO72" s="169">
        <f>'Earnings Model (adjusted)'!AO72-'Earnings Model'!AO72</f>
        <v>-1.0000000000000009E-2</v>
      </c>
      <c r="AP72" s="169">
        <f>'Earnings Model (adjusted)'!AP72-'Earnings Model'!AP72</f>
        <v>-1.0000000000000009E-2</v>
      </c>
      <c r="AQ72" s="169">
        <f>'Earnings Model (adjusted)'!AQ72-'Earnings Model'!AQ72</f>
        <v>-9.9999999999999534E-3</v>
      </c>
    </row>
    <row r="73" spans="1:43" outlineLevel="1" x14ac:dyDescent="0.25">
      <c r="A73" s="254"/>
      <c r="B73" s="550" t="s">
        <v>142</v>
      </c>
      <c r="C73" s="36"/>
      <c r="D73" s="169">
        <v>44.5</v>
      </c>
      <c r="E73" s="169">
        <v>39.4</v>
      </c>
      <c r="F73" s="169">
        <v>41.7</v>
      </c>
      <c r="G73" s="169">
        <v>34.200000000000003</v>
      </c>
      <c r="H73" s="170"/>
      <c r="I73" s="169">
        <v>42.5</v>
      </c>
      <c r="J73" s="169">
        <v>41.8</v>
      </c>
      <c r="K73" s="169">
        <v>40.700000000000003</v>
      </c>
      <c r="L73" s="169">
        <v>41.8</v>
      </c>
      <c r="M73" s="170"/>
      <c r="N73" s="169">
        <v>42.8</v>
      </c>
      <c r="O73" s="169">
        <v>41.9</v>
      </c>
      <c r="P73" s="169">
        <v>39.700000000000003</v>
      </c>
      <c r="Q73" s="169">
        <f>'Earnings Model (adjusted)'!Q73-'Earnings Model'!Q73</f>
        <v>0</v>
      </c>
      <c r="R73" s="169">
        <f>'Earnings Model (adjusted)'!R73-'Earnings Model'!R73</f>
        <v>0</v>
      </c>
      <c r="S73" s="169">
        <f>'Earnings Model (adjusted)'!S73-'Earnings Model'!S73</f>
        <v>0.61441996521229925</v>
      </c>
      <c r="T73" s="169">
        <f>'Earnings Model (adjusted)'!T73-'Earnings Model'!T73</f>
        <v>0.59740674203010968</v>
      </c>
      <c r="U73" s="169">
        <f>'Earnings Model (adjusted)'!U73-'Earnings Model'!U73</f>
        <v>0.34733086440500927</v>
      </c>
      <c r="V73" s="169">
        <f>'Earnings Model (adjusted)'!V73-'Earnings Model'!V73</f>
        <v>0.34624588423682212</v>
      </c>
      <c r="W73" s="169">
        <f>'Earnings Model (adjusted)'!W73-'Earnings Model'!W73</f>
        <v>1.9054034558841977</v>
      </c>
      <c r="X73" s="169">
        <f>'Earnings Model (adjusted)'!X73-'Earnings Model'!X73</f>
        <v>0.81388211760525309</v>
      </c>
      <c r="Y73" s="169">
        <f>'Earnings Model (adjusted)'!Y73-'Earnings Model'!Y73</f>
        <v>0.81231945570454656</v>
      </c>
      <c r="Z73" s="169">
        <f>'Earnings Model (adjusted)'!Z73-'Earnings Model'!Z73</f>
        <v>0.37187418818029272</v>
      </c>
      <c r="AA73" s="169">
        <f>'Earnings Model (adjusted)'!AA73-'Earnings Model'!AA73</f>
        <v>0.36877881041183969</v>
      </c>
      <c r="AB73" s="169">
        <f>'Earnings Model (adjusted)'!AB73-'Earnings Model'!AB73</f>
        <v>2.3668545719019392</v>
      </c>
      <c r="AC73" s="169">
        <f>'Earnings Model (adjusted)'!AC73-'Earnings Model'!AC73</f>
        <v>1.0608885370524845</v>
      </c>
      <c r="AD73" s="169">
        <f>'Earnings Model (adjusted)'!AD73-'Earnings Model'!AD73</f>
        <v>1.061226308211431</v>
      </c>
      <c r="AE73" s="169">
        <f>'Earnings Model (adjusted)'!AE73-'Earnings Model'!AE73</f>
        <v>0.40019720388676205</v>
      </c>
      <c r="AF73" s="169">
        <f>'Earnings Model (adjusted)'!AF73-'Earnings Model'!AF73</f>
        <v>0.18987706008725524</v>
      </c>
      <c r="AG73" s="169">
        <f>'Earnings Model (adjusted)'!AG73-'Earnings Model'!AG73</f>
        <v>2.7121891092379258</v>
      </c>
      <c r="AH73" s="169">
        <f>'Earnings Model (adjusted)'!AH73-'Earnings Model'!AH73</f>
        <v>1.3392546102365728</v>
      </c>
      <c r="AI73" s="169">
        <f>'Earnings Model (adjusted)'!AI73-'Earnings Model'!AI73</f>
        <v>1.3395008584859482</v>
      </c>
      <c r="AJ73" s="169">
        <f>'Earnings Model (adjusted)'!AJ73-'Earnings Model'!AJ73</f>
        <v>0.42841934064686882</v>
      </c>
      <c r="AK73" s="169">
        <f>'Earnings Model (adjusted)'!AK73-'Earnings Model'!AK73</f>
        <v>0.20322509193317018</v>
      </c>
      <c r="AL73" s="169">
        <f>'Earnings Model (adjusted)'!AL73-'Earnings Model'!AL73</f>
        <v>3.31039990130256</v>
      </c>
      <c r="AM73" s="169">
        <f>'Earnings Model (adjusted)'!AM73-'Earnings Model'!AM73</f>
        <v>1.4331085175555316</v>
      </c>
      <c r="AN73" s="169">
        <f>'Earnings Model (adjusted)'!AN73-'Earnings Model'!AN73</f>
        <v>1.4330827858115072</v>
      </c>
      <c r="AO73" s="169">
        <f>'Earnings Model (adjusted)'!AO73-'Earnings Model'!AO73</f>
        <v>0.45825893282156471</v>
      </c>
      <c r="AP73" s="169">
        <f>'Earnings Model (adjusted)'!AP73-'Earnings Model'!AP73</f>
        <v>0.21733716303061357</v>
      </c>
      <c r="AQ73" s="169">
        <f>'Earnings Model (adjusted)'!AQ73-'Earnings Model'!AQ73</f>
        <v>3.5417873992192312</v>
      </c>
    </row>
    <row r="74" spans="1:43" s="473" customFormat="1" outlineLevel="1" x14ac:dyDescent="0.25">
      <c r="A74" s="471"/>
      <c r="B74" s="467" t="s">
        <v>342</v>
      </c>
      <c r="C74" s="478"/>
      <c r="D74" s="475">
        <f>D73/D68</f>
        <v>9.6476964769647705E-3</v>
      </c>
      <c r="E74" s="475">
        <f t="shared" ref="E74:P74" si="46">E73/E68</f>
        <v>9.1328434667717479E-3</v>
      </c>
      <c r="F74" s="475">
        <f t="shared" si="46"/>
        <v>8.908162611352034E-3</v>
      </c>
      <c r="G74" s="475">
        <f t="shared" si="46"/>
        <v>7.352625016124179E-3</v>
      </c>
      <c r="H74" s="476"/>
      <c r="I74" s="475">
        <f t="shared" si="46"/>
        <v>8.4815103075295863E-3</v>
      </c>
      <c r="J74" s="475">
        <f t="shared" si="46"/>
        <v>9.6535796766743648E-3</v>
      </c>
      <c r="K74" s="475">
        <f t="shared" si="46"/>
        <v>1.4507217964712174E-2</v>
      </c>
      <c r="L74" s="475">
        <f t="shared" si="46"/>
        <v>9.8750265775236819E-3</v>
      </c>
      <c r="M74" s="476"/>
      <c r="N74" s="475">
        <f t="shared" si="46"/>
        <v>9.1001871066507915E-3</v>
      </c>
      <c r="O74" s="475">
        <f t="shared" si="46"/>
        <v>8.982549414740814E-3</v>
      </c>
      <c r="P74" s="475">
        <f t="shared" si="46"/>
        <v>7.3514434383275002E-3</v>
      </c>
      <c r="Q74" s="169">
        <f>'Earnings Model (adjusted)'!Q74-'Earnings Model'!Q74</f>
        <v>0</v>
      </c>
      <c r="R74" s="169">
        <f>'Earnings Model (adjusted)'!R74-'Earnings Model'!R74</f>
        <v>0</v>
      </c>
      <c r="S74" s="169">
        <f>'Earnings Model (adjusted)'!S74-'Earnings Model'!S74</f>
        <v>0</v>
      </c>
      <c r="T74" s="169">
        <f>'Earnings Model (adjusted)'!T74-'Earnings Model'!T74</f>
        <v>0</v>
      </c>
      <c r="U74" s="169">
        <f>'Earnings Model (adjusted)'!U74-'Earnings Model'!U74</f>
        <v>0</v>
      </c>
      <c r="V74" s="169">
        <f>'Earnings Model (adjusted)'!V74-'Earnings Model'!V74</f>
        <v>0</v>
      </c>
      <c r="W74" s="169">
        <f>'Earnings Model (adjusted)'!W74-'Earnings Model'!W74</f>
        <v>0</v>
      </c>
      <c r="X74" s="169">
        <f>'Earnings Model (adjusted)'!X74-'Earnings Model'!X74</f>
        <v>0</v>
      </c>
      <c r="Y74" s="169">
        <f>'Earnings Model (adjusted)'!Y74-'Earnings Model'!Y74</f>
        <v>0</v>
      </c>
      <c r="Z74" s="169">
        <f>'Earnings Model (adjusted)'!Z74-'Earnings Model'!Z74</f>
        <v>0</v>
      </c>
      <c r="AA74" s="169">
        <f>'Earnings Model (adjusted)'!AA74-'Earnings Model'!AA74</f>
        <v>0</v>
      </c>
      <c r="AB74" s="169">
        <f>'Earnings Model (adjusted)'!AB74-'Earnings Model'!AB74</f>
        <v>0</v>
      </c>
      <c r="AC74" s="169">
        <f>'Earnings Model (adjusted)'!AC74-'Earnings Model'!AC74</f>
        <v>0</v>
      </c>
      <c r="AD74" s="169">
        <f>'Earnings Model (adjusted)'!AD74-'Earnings Model'!AD74</f>
        <v>0</v>
      </c>
      <c r="AE74" s="169">
        <f>'Earnings Model (adjusted)'!AE74-'Earnings Model'!AE74</f>
        <v>0</v>
      </c>
      <c r="AF74" s="169">
        <f>'Earnings Model (adjusted)'!AF74-'Earnings Model'!AF74</f>
        <v>0</v>
      </c>
      <c r="AG74" s="169">
        <f>'Earnings Model (adjusted)'!AG74-'Earnings Model'!AG74</f>
        <v>0</v>
      </c>
      <c r="AH74" s="169">
        <f>'Earnings Model (adjusted)'!AH74-'Earnings Model'!AH74</f>
        <v>0</v>
      </c>
      <c r="AI74" s="169">
        <f>'Earnings Model (adjusted)'!AI74-'Earnings Model'!AI74</f>
        <v>0</v>
      </c>
      <c r="AJ74" s="169">
        <f>'Earnings Model (adjusted)'!AJ74-'Earnings Model'!AJ74</f>
        <v>0</v>
      </c>
      <c r="AK74" s="169">
        <f>'Earnings Model (adjusted)'!AK74-'Earnings Model'!AK74</f>
        <v>0</v>
      </c>
      <c r="AL74" s="169">
        <f>'Earnings Model (adjusted)'!AL74-'Earnings Model'!AL74</f>
        <v>0</v>
      </c>
      <c r="AM74" s="169">
        <f>'Earnings Model (adjusted)'!AM74-'Earnings Model'!AM74</f>
        <v>0</v>
      </c>
      <c r="AN74" s="169">
        <f>'Earnings Model (adjusted)'!AN74-'Earnings Model'!AN74</f>
        <v>0</v>
      </c>
      <c r="AO74" s="169">
        <f>'Earnings Model (adjusted)'!AO74-'Earnings Model'!AO74</f>
        <v>0</v>
      </c>
      <c r="AP74" s="169">
        <f>'Earnings Model (adjusted)'!AP74-'Earnings Model'!AP74</f>
        <v>0</v>
      </c>
      <c r="AQ74" s="169">
        <f>'Earnings Model (adjusted)'!AQ74-'Earnings Model'!AQ74</f>
        <v>0</v>
      </c>
    </row>
    <row r="75" spans="1:43" outlineLevel="1" x14ac:dyDescent="0.25">
      <c r="A75" s="254"/>
      <c r="B75" s="550" t="s">
        <v>143</v>
      </c>
      <c r="C75" s="36"/>
      <c r="D75" s="205">
        <v>166.9</v>
      </c>
      <c r="E75" s="205">
        <v>173</v>
      </c>
      <c r="F75" s="205">
        <v>175.6</v>
      </c>
      <c r="G75" s="205">
        <v>180.6</v>
      </c>
      <c r="H75" s="18"/>
      <c r="I75" s="205">
        <v>189.2</v>
      </c>
      <c r="J75" s="205">
        <v>191.5</v>
      </c>
      <c r="K75" s="205">
        <v>191.3</v>
      </c>
      <c r="L75" s="205">
        <v>190</v>
      </c>
      <c r="M75" s="386"/>
      <c r="N75" s="205">
        <v>188.9</v>
      </c>
      <c r="O75" s="205">
        <v>186</v>
      </c>
      <c r="P75" s="205">
        <v>188.9</v>
      </c>
      <c r="Q75" s="169">
        <f>'Earnings Model (adjusted)'!Q75-'Earnings Model'!Q75</f>
        <v>0</v>
      </c>
      <c r="R75" s="169">
        <f>'Earnings Model (adjusted)'!R75-'Earnings Model'!R75</f>
        <v>0</v>
      </c>
      <c r="S75" s="169">
        <f>'Earnings Model (adjusted)'!S75-'Earnings Model'!S75</f>
        <v>0</v>
      </c>
      <c r="T75" s="169">
        <f>'Earnings Model (adjusted)'!T75-'Earnings Model'!T75</f>
        <v>0.17184250383866129</v>
      </c>
      <c r="U75" s="169">
        <f>'Earnings Model (adjusted)'!U75-'Earnings Model'!U75</f>
        <v>0.32724147769957312</v>
      </c>
      <c r="V75" s="169">
        <f>'Earnings Model (adjusted)'!V75-'Earnings Model'!V75</f>
        <v>0.40504397124794878</v>
      </c>
      <c r="W75" s="169">
        <f>'Earnings Model (adjusted)'!W75-'Earnings Model'!W75</f>
        <v>0.90412795278609792</v>
      </c>
      <c r="X75" s="169">
        <f>'Earnings Model (adjusted)'!X75-'Earnings Model'!X75</f>
        <v>0.4734872287874623</v>
      </c>
      <c r="Y75" s="169">
        <f>'Earnings Model (adjusted)'!Y75-'Earnings Model'!Y75</f>
        <v>0.6531457669730969</v>
      </c>
      <c r="Z75" s="169">
        <f>'Earnings Model (adjusted)'!Z75-'Earnings Model'!Z75</f>
        <v>0.82147370996605673</v>
      </c>
      <c r="AA75" s="169">
        <f>'Earnings Model (adjusted)'!AA75-'Earnings Model'!AA75</f>
        <v>0.86684912822343563</v>
      </c>
      <c r="AB75" s="169">
        <f>'Earnings Model (adjusted)'!AB75-'Earnings Model'!AB75</f>
        <v>2.8149558339499663</v>
      </c>
      <c r="AC75" s="169">
        <f>'Earnings Model (adjusted)'!AC75-'Earnings Model'!AC75</f>
        <v>0.90430328188668341</v>
      </c>
      <c r="AD75" s="169">
        <f>'Earnings Model (adjusted)'!AD75-'Earnings Model'!AD75</f>
        <v>1.0974224894721374</v>
      </c>
      <c r="AE75" s="169">
        <f>'Earnings Model (adjusted)'!AE75-'Earnings Model'!AE75</f>
        <v>1.2788596437893318</v>
      </c>
      <c r="AF75" s="169">
        <f>'Earnings Model (adjusted)'!AF75-'Earnings Model'!AF75</f>
        <v>1.2940573438979754</v>
      </c>
      <c r="AG75" s="169">
        <f>'Earnings Model (adjusted)'!AG75-'Earnings Model'!AG75</f>
        <v>4.574642759046128</v>
      </c>
      <c r="AH75" s="169">
        <f>'Earnings Model (adjusted)'!AH75-'Earnings Model'!AH75</f>
        <v>1.2593396567859259</v>
      </c>
      <c r="AI75" s="169">
        <f>'Earnings Model (adjusted)'!AI75-'Earnings Model'!AI75</f>
        <v>1.4969406977919846</v>
      </c>
      <c r="AJ75" s="169">
        <f>'Earnings Model (adjusted)'!AJ75-'Earnings Model'!AJ75</f>
        <v>1.7202267893392786</v>
      </c>
      <c r="AK75" s="169">
        <f>'Earnings Model (adjusted)'!AK75-'Earnings Model'!AK75</f>
        <v>1.7152183930519129</v>
      </c>
      <c r="AL75" s="169">
        <f>'Earnings Model (adjusted)'!AL75-'Earnings Model'!AL75</f>
        <v>6.1917255369689883</v>
      </c>
      <c r="AM75" s="169">
        <f>'Earnings Model (adjusted)'!AM75-'Earnings Model'!AM75</f>
        <v>1.657446357090123</v>
      </c>
      <c r="AN75" s="169">
        <f>'Earnings Model (adjusted)'!AN75-'Earnings Model'!AN75</f>
        <v>1.8930602270885117</v>
      </c>
      <c r="AO75" s="169">
        <f>'Earnings Model (adjusted)'!AO75-'Earnings Model'!AO75</f>
        <v>2.1142617097919469</v>
      </c>
      <c r="AP75" s="169">
        <f>'Earnings Model (adjusted)'!AP75-'Earnings Model'!AP75</f>
        <v>2.0920046190707922</v>
      </c>
      <c r="AQ75" s="169">
        <f>'Earnings Model (adjusted)'!AQ75-'Earnings Model'!AQ75</f>
        <v>7.7567729130414591</v>
      </c>
    </row>
    <row r="76" spans="1:43" outlineLevel="1" x14ac:dyDescent="0.25">
      <c r="A76" s="254"/>
      <c r="B76" s="550" t="s">
        <v>144</v>
      </c>
      <c r="C76" s="36"/>
      <c r="D76" s="169">
        <v>75.099999999999994</v>
      </c>
      <c r="E76" s="169">
        <v>70.900000000000006</v>
      </c>
      <c r="F76" s="169">
        <v>72</v>
      </c>
      <c r="G76" s="169">
        <v>106</v>
      </c>
      <c r="H76" s="170"/>
      <c r="I76" s="169">
        <v>72.400000000000006</v>
      </c>
      <c r="J76" s="169">
        <v>68.2</v>
      </c>
      <c r="K76" s="169">
        <v>62.2</v>
      </c>
      <c r="L76" s="169">
        <v>65.2</v>
      </c>
      <c r="M76" s="385"/>
      <c r="N76" s="169">
        <v>70.8</v>
      </c>
      <c r="O76" s="169">
        <v>77.7</v>
      </c>
      <c r="P76" s="169">
        <v>73.2</v>
      </c>
      <c r="Q76" s="169">
        <f>'Earnings Model (adjusted)'!Q76-'Earnings Model'!Q76</f>
        <v>0</v>
      </c>
      <c r="R76" s="169">
        <f>'Earnings Model (adjusted)'!R76-'Earnings Model'!R76</f>
        <v>0</v>
      </c>
      <c r="S76" s="169">
        <f>'Earnings Model (adjusted)'!S76-'Earnings Model'!S76</f>
        <v>1.2303073687755415</v>
      </c>
      <c r="T76" s="169">
        <f>'Earnings Model (adjusted)'!T76-'Earnings Model'!T76</f>
        <v>1.5212957681909813</v>
      </c>
      <c r="U76" s="169">
        <f>'Earnings Model (adjusted)'!U76-'Earnings Model'!U76</f>
        <v>0.88447775528254624</v>
      </c>
      <c r="V76" s="169">
        <f>'Earnings Model (adjusted)'!V76-'Earnings Model'!V76</f>
        <v>0.69331871830952707</v>
      </c>
      <c r="W76" s="169">
        <f>'Earnings Model (adjusted)'!W76-'Earnings Model'!W76</f>
        <v>4.3293996105585961</v>
      </c>
      <c r="X76" s="169">
        <f>'Earnings Model (adjusted)'!X76-'Earnings Model'!X76</f>
        <v>1.5762363193826587</v>
      </c>
      <c r="Y76" s="169">
        <f>'Earnings Model (adjusted)'!Y76-'Earnings Model'!Y76</f>
        <v>2.0152017439721703</v>
      </c>
      <c r="Z76" s="169">
        <f>'Earnings Model (adjusted)'!Z76-'Earnings Model'!Z76</f>
        <v>0.922545320435745</v>
      </c>
      <c r="AA76" s="169">
        <f>'Earnings Model (adjusted)'!AA76-'Earnings Model'!AA76</f>
        <v>0.71420976357144639</v>
      </c>
      <c r="AB76" s="169">
        <f>'Earnings Model (adjusted)'!AB76-'Earnings Model'!AB76</f>
        <v>5.228193147361992</v>
      </c>
      <c r="AC76" s="169">
        <f>'Earnings Model (adjusted)'!AC76-'Earnings Model'!AC76</f>
        <v>2.0338528968232765</v>
      </c>
      <c r="AD76" s="169">
        <f>'Earnings Model (adjusted)'!AD76-'Earnings Model'!AD76</f>
        <v>2.6119254650766379</v>
      </c>
      <c r="AE76" s="169">
        <f>'Earnings Model (adjusted)'!AE76-'Earnings Model'!AE76</f>
        <v>0.98494742957311132</v>
      </c>
      <c r="AF76" s="169">
        <f>'Earnings Model (adjusted)'!AF76-'Earnings Model'!AF76</f>
        <v>0.36397897318701666</v>
      </c>
      <c r="AG76" s="169">
        <f>'Earnings Model (adjusted)'!AG76-'Earnings Model'!AG76</f>
        <v>5.9947047646600709</v>
      </c>
      <c r="AH76" s="169">
        <f>'Earnings Model (adjusted)'!AH76-'Earnings Model'!AH76</f>
        <v>2.6494132310559877</v>
      </c>
      <c r="AI76" s="169">
        <f>'Earnings Model (adjusted)'!AI76-'Earnings Model'!AI76</f>
        <v>3.3787378293130388</v>
      </c>
      <c r="AJ76" s="169">
        <f>'Earnings Model (adjusted)'!AJ76-'Earnings Model'!AJ76</f>
        <v>1.0805773095517566</v>
      </c>
      <c r="AK76" s="169">
        <f>'Earnings Model (adjusted)'!AK76-'Earnings Model'!AK76</f>
        <v>0.40196240536783989</v>
      </c>
      <c r="AL76" s="169">
        <f>'Earnings Model (adjusted)'!AL76-'Earnings Model'!AL76</f>
        <v>7.5106907752885945</v>
      </c>
      <c r="AM76" s="169">
        <f>'Earnings Model (adjusted)'!AM76-'Earnings Model'!AM76</f>
        <v>2.809735038460488</v>
      </c>
      <c r="AN76" s="169">
        <f>'Earnings Model (adjusted)'!AN76-'Earnings Model'!AN76</f>
        <v>3.5894331671076145</v>
      </c>
      <c r="AO76" s="169">
        <f>'Earnings Model (adjusted)'!AO76-'Earnings Model'!AO76</f>
        <v>1.1486629082700119</v>
      </c>
      <c r="AP76" s="169">
        <f>'Earnings Model (adjusted)'!AP76-'Earnings Model'!AP76</f>
        <v>0.42712864289308072</v>
      </c>
      <c r="AQ76" s="169">
        <f>'Earnings Model (adjusted)'!AQ76-'Earnings Model'!AQ76</f>
        <v>7.9749597567312094</v>
      </c>
    </row>
    <row r="77" spans="1:43" s="473" customFormat="1" outlineLevel="1" x14ac:dyDescent="0.25">
      <c r="A77" s="471"/>
      <c r="B77" s="467" t="s">
        <v>343</v>
      </c>
      <c r="C77" s="478"/>
      <c r="D77" s="475">
        <f>D76/D68</f>
        <v>1.6281842818428184E-2</v>
      </c>
      <c r="E77" s="475">
        <f t="shared" ref="E77:P77" si="47">E76/E68</f>
        <v>1.6434482279038501E-2</v>
      </c>
      <c r="F77" s="475">
        <f t="shared" si="47"/>
        <v>1.5381000192262503E-2</v>
      </c>
      <c r="G77" s="475">
        <f t="shared" si="47"/>
        <v>2.2788837769273769E-2</v>
      </c>
      <c r="H77" s="476"/>
      <c r="I77" s="475">
        <f t="shared" si="47"/>
        <v>1.4448502265062167E-2</v>
      </c>
      <c r="J77" s="475">
        <f t="shared" si="47"/>
        <v>1.5750577367205542E-2</v>
      </c>
      <c r="K77" s="475">
        <f t="shared" si="47"/>
        <v>2.2170736054179293E-2</v>
      </c>
      <c r="L77" s="475">
        <f t="shared" si="47"/>
        <v>1.5403151503697228E-2</v>
      </c>
      <c r="M77" s="476"/>
      <c r="N77" s="475">
        <f t="shared" si="47"/>
        <v>1.5053580540908319E-2</v>
      </c>
      <c r="O77" s="475">
        <f t="shared" si="47"/>
        <v>1.6657376838314114E-2</v>
      </c>
      <c r="P77" s="475">
        <f t="shared" si="47"/>
        <v>1.3554802510971613E-2</v>
      </c>
      <c r="Q77" s="169">
        <f>'Earnings Model (adjusted)'!Q77-'Earnings Model'!Q77</f>
        <v>0</v>
      </c>
      <c r="R77" s="169">
        <f>'Earnings Model (adjusted)'!R77-'Earnings Model'!R77</f>
        <v>0</v>
      </c>
      <c r="S77" s="169">
        <f>'Earnings Model (adjusted)'!S77-'Earnings Model'!S77</f>
        <v>0</v>
      </c>
      <c r="T77" s="169">
        <f>'Earnings Model (adjusted)'!T77-'Earnings Model'!T77</f>
        <v>0</v>
      </c>
      <c r="U77" s="169">
        <f>'Earnings Model (adjusted)'!U77-'Earnings Model'!U77</f>
        <v>0</v>
      </c>
      <c r="V77" s="169">
        <f>'Earnings Model (adjusted)'!V77-'Earnings Model'!V77</f>
        <v>0</v>
      </c>
      <c r="W77" s="169">
        <f>'Earnings Model (adjusted)'!W77-'Earnings Model'!W77</f>
        <v>-8.9274514700893315E-8</v>
      </c>
      <c r="X77" s="169">
        <f>'Earnings Model (adjusted)'!X77-'Earnings Model'!X77</f>
        <v>0</v>
      </c>
      <c r="Y77" s="169">
        <f>'Earnings Model (adjusted)'!Y77-'Earnings Model'!Y77</f>
        <v>0</v>
      </c>
      <c r="Z77" s="169">
        <f>'Earnings Model (adjusted)'!Z77-'Earnings Model'!Z77</f>
        <v>0</v>
      </c>
      <c r="AA77" s="169">
        <f>'Earnings Model (adjusted)'!AA77-'Earnings Model'!AA77</f>
        <v>0</v>
      </c>
      <c r="AB77" s="169">
        <f>'Earnings Model (adjusted)'!AB77-'Earnings Model'!AB77</f>
        <v>-4.3362251123113538E-8</v>
      </c>
      <c r="AC77" s="169">
        <f>'Earnings Model (adjusted)'!AC77-'Earnings Model'!AC77</f>
        <v>-6.8672703634753418E-9</v>
      </c>
      <c r="AD77" s="169">
        <f>'Earnings Model (adjusted)'!AD77-'Earnings Model'!AD77</f>
        <v>-6.8672703634753418E-9</v>
      </c>
      <c r="AE77" s="169">
        <f>'Earnings Model (adjusted)'!AE77-'Earnings Model'!AE77</f>
        <v>-6.8672703634753418E-9</v>
      </c>
      <c r="AF77" s="169">
        <f>'Earnings Model (adjusted)'!AF77-'Earnings Model'!AF77</f>
        <v>-6.8672703634753418E-9</v>
      </c>
      <c r="AG77" s="169">
        <f>'Earnings Model (adjusted)'!AG77-'Earnings Model'!AG77</f>
        <v>2.1260857676931588E-6</v>
      </c>
      <c r="AH77" s="169">
        <f>'Earnings Model (adjusted)'!AH77-'Earnings Model'!AH77</f>
        <v>-1.1787582836902954E-8</v>
      </c>
      <c r="AI77" s="169">
        <f>'Earnings Model (adjusted)'!AI77-'Earnings Model'!AI77</f>
        <v>-1.1787582833433508E-8</v>
      </c>
      <c r="AJ77" s="169">
        <f>'Earnings Model (adjusted)'!AJ77-'Earnings Model'!AJ77</f>
        <v>-1.1787582833433508E-8</v>
      </c>
      <c r="AK77" s="169">
        <f>'Earnings Model (adjusted)'!AK77-'Earnings Model'!AK77</f>
        <v>-1.1787582836902954E-8</v>
      </c>
      <c r="AL77" s="169">
        <f>'Earnings Model (adjusted)'!AL77-'Earnings Model'!AL77</f>
        <v>2.1081767101784055E-6</v>
      </c>
      <c r="AM77" s="169">
        <f>'Earnings Model (adjusted)'!AM77-'Earnings Model'!AM77</f>
        <v>1.5537628358930355E-7</v>
      </c>
      <c r="AN77" s="169">
        <f>'Earnings Model (adjusted)'!AN77-'Earnings Model'!AN77</f>
        <v>1.5537628358930355E-7</v>
      </c>
      <c r="AO77" s="169">
        <f>'Earnings Model (adjusted)'!AO77-'Earnings Model'!AO77</f>
        <v>1.5537628358930355E-7</v>
      </c>
      <c r="AP77" s="169">
        <f>'Earnings Model (adjusted)'!AP77-'Earnings Model'!AP77</f>
        <v>1.5537628358930355E-7</v>
      </c>
      <c r="AQ77" s="169">
        <f>'Earnings Model (adjusted)'!AQ77-'Earnings Model'!AQ77</f>
        <v>2.2766685524207297E-6</v>
      </c>
    </row>
    <row r="78" spans="1:43" ht="17.25" outlineLevel="1" x14ac:dyDescent="0.4">
      <c r="A78" s="254"/>
      <c r="B78" s="550" t="s">
        <v>152</v>
      </c>
      <c r="C78" s="36"/>
      <c r="D78" s="288">
        <v>22.9</v>
      </c>
      <c r="E78" s="288">
        <v>18.2</v>
      </c>
      <c r="F78" s="288">
        <v>15.1</v>
      </c>
      <c r="G78" s="288">
        <v>0.7</v>
      </c>
      <c r="H78" s="319"/>
      <c r="I78" s="288">
        <v>5.2</v>
      </c>
      <c r="J78" s="288">
        <v>0.5</v>
      </c>
      <c r="K78" s="288">
        <v>56.2</v>
      </c>
      <c r="L78" s="206">
        <v>195.6</v>
      </c>
      <c r="M78" s="384"/>
      <c r="N78" s="206">
        <v>72.2</v>
      </c>
      <c r="O78" s="288">
        <v>23</v>
      </c>
      <c r="P78" s="288">
        <v>19.8</v>
      </c>
      <c r="Q78" s="169">
        <f>'Earnings Model (adjusted)'!Q78-'Earnings Model'!Q78</f>
        <v>0</v>
      </c>
      <c r="R78" s="169">
        <f>'Earnings Model (adjusted)'!R78-'Earnings Model'!R78</f>
        <v>0</v>
      </c>
      <c r="S78" s="169">
        <f>'Earnings Model (adjusted)'!S78-'Earnings Model'!S78</f>
        <v>0</v>
      </c>
      <c r="T78" s="169">
        <f>'Earnings Model (adjusted)'!T78-'Earnings Model'!T78</f>
        <v>0</v>
      </c>
      <c r="U78" s="169">
        <f>'Earnings Model (adjusted)'!U78-'Earnings Model'!U78</f>
        <v>0</v>
      </c>
      <c r="V78" s="169">
        <f>'Earnings Model (adjusted)'!V78-'Earnings Model'!V78</f>
        <v>0</v>
      </c>
      <c r="W78" s="169">
        <f>'Earnings Model (adjusted)'!W78-'Earnings Model'!W78</f>
        <v>0</v>
      </c>
      <c r="X78" s="169">
        <f>'Earnings Model (adjusted)'!X78-'Earnings Model'!X78</f>
        <v>0</v>
      </c>
      <c r="Y78" s="169">
        <f>'Earnings Model (adjusted)'!Y78-'Earnings Model'!Y78</f>
        <v>0</v>
      </c>
      <c r="Z78" s="169">
        <f>'Earnings Model (adjusted)'!Z78-'Earnings Model'!Z78</f>
        <v>0</v>
      </c>
      <c r="AA78" s="169">
        <f>'Earnings Model (adjusted)'!AA78-'Earnings Model'!AA78</f>
        <v>0</v>
      </c>
      <c r="AB78" s="169">
        <f>'Earnings Model (adjusted)'!AB78-'Earnings Model'!AB78</f>
        <v>0</v>
      </c>
      <c r="AC78" s="169">
        <f>'Earnings Model (adjusted)'!AC78-'Earnings Model'!AC78</f>
        <v>0</v>
      </c>
      <c r="AD78" s="169">
        <f>'Earnings Model (adjusted)'!AD78-'Earnings Model'!AD78</f>
        <v>0</v>
      </c>
      <c r="AE78" s="169">
        <f>'Earnings Model (adjusted)'!AE78-'Earnings Model'!AE78</f>
        <v>0</v>
      </c>
      <c r="AF78" s="169">
        <f>'Earnings Model (adjusted)'!AF78-'Earnings Model'!AF78</f>
        <v>0</v>
      </c>
      <c r="AG78" s="169">
        <f>'Earnings Model (adjusted)'!AG78-'Earnings Model'!AG78</f>
        <v>0</v>
      </c>
      <c r="AH78" s="169">
        <f>'Earnings Model (adjusted)'!AH78-'Earnings Model'!AH78</f>
        <v>0</v>
      </c>
      <c r="AI78" s="169">
        <f>'Earnings Model (adjusted)'!AI78-'Earnings Model'!AI78</f>
        <v>0</v>
      </c>
      <c r="AJ78" s="169">
        <f>'Earnings Model (adjusted)'!AJ78-'Earnings Model'!AJ78</f>
        <v>0</v>
      </c>
      <c r="AK78" s="169">
        <f>'Earnings Model (adjusted)'!AK78-'Earnings Model'!AK78</f>
        <v>0</v>
      </c>
      <c r="AL78" s="169">
        <f>'Earnings Model (adjusted)'!AL78-'Earnings Model'!AL78</f>
        <v>0</v>
      </c>
      <c r="AM78" s="169">
        <f>'Earnings Model (adjusted)'!AM78-'Earnings Model'!AM78</f>
        <v>0</v>
      </c>
      <c r="AN78" s="169">
        <f>'Earnings Model (adjusted)'!AN78-'Earnings Model'!AN78</f>
        <v>0</v>
      </c>
      <c r="AO78" s="169">
        <f>'Earnings Model (adjusted)'!AO78-'Earnings Model'!AO78</f>
        <v>0</v>
      </c>
      <c r="AP78" s="169">
        <f>'Earnings Model (adjusted)'!AP78-'Earnings Model'!AP78</f>
        <v>0</v>
      </c>
      <c r="AQ78" s="169">
        <f>'Earnings Model (adjusted)'!AQ78-'Earnings Model'!AQ78</f>
        <v>0</v>
      </c>
    </row>
    <row r="79" spans="1:43" outlineLevel="1" x14ac:dyDescent="0.25">
      <c r="A79" s="254"/>
      <c r="B79" s="167" t="s">
        <v>238</v>
      </c>
      <c r="C79" s="39"/>
      <c r="D79" s="259">
        <f>+D69+D71+D73+D75+D76+D78</f>
        <v>3643.7999999999997</v>
      </c>
      <c r="E79" s="259">
        <f t="shared" ref="E79:G79" si="48">+E69+E71+E73+E75+E76+E78</f>
        <v>3457.7</v>
      </c>
      <c r="F79" s="259">
        <f t="shared" si="48"/>
        <v>3662.3999999999996</v>
      </c>
      <c r="G79" s="259">
        <f t="shared" si="48"/>
        <v>3712.4999999999995</v>
      </c>
      <c r="H79" s="414">
        <f>+H69+H71+H73+H75+H76+H78</f>
        <v>0</v>
      </c>
      <c r="I79" s="259">
        <f t="shared" ref="I79:L79" si="49">+I69+I71+I73+I75+I76+I78</f>
        <v>3912.1</v>
      </c>
      <c r="J79" s="259">
        <f t="shared" si="49"/>
        <v>3708.8</v>
      </c>
      <c r="K79" s="259">
        <f t="shared" si="49"/>
        <v>3210.3999999999996</v>
      </c>
      <c r="L79" s="171">
        <f t="shared" si="49"/>
        <v>3722.6</v>
      </c>
      <c r="M79" s="479">
        <f>+M69+M71+M73+M75+M76+M78</f>
        <v>0</v>
      </c>
      <c r="N79" s="171">
        <f t="shared" ref="N79:P79" si="50">+N69+N71+N73+N75+N76+N78</f>
        <v>3889.7000000000003</v>
      </c>
      <c r="O79" s="171">
        <f t="shared" si="50"/>
        <v>3759.2999999999997</v>
      </c>
      <c r="P79" s="171">
        <f t="shared" si="50"/>
        <v>4084.6</v>
      </c>
      <c r="Q79" s="169">
        <f>'Earnings Model (adjusted)'!Q79-'Earnings Model'!Q79</f>
        <v>-46.089911209723141</v>
      </c>
      <c r="R79" s="169">
        <f>'Earnings Model (adjusted)'!R79-'Earnings Model'!R79</f>
        <v>-46.08991120972496</v>
      </c>
      <c r="S79" s="169">
        <f>'Earnings Model (adjusted)'!S79-'Earnings Model'!S79</f>
        <v>-26.089780893224088</v>
      </c>
      <c r="T79" s="169">
        <f>'Earnings Model (adjusted)'!T79-'Earnings Model'!T79</f>
        <v>-23.916604591688156</v>
      </c>
      <c r="U79" s="169">
        <f>'Earnings Model (adjusted)'!U79-'Earnings Model'!U79</f>
        <v>-64.833699997591793</v>
      </c>
      <c r="V79" s="169">
        <f>'Earnings Model (adjusted)'!V79-'Earnings Model'!V79</f>
        <v>-33.164140188465353</v>
      </c>
      <c r="W79" s="169">
        <f>'Earnings Model (adjusted)'!W79-'Earnings Model'!W79</f>
        <v>-148.00422567096757</v>
      </c>
      <c r="X79" s="169">
        <f>'Earnings Model (adjusted)'!X79-'Earnings Model'!X79</f>
        <v>2.0063035709908945</v>
      </c>
      <c r="Y79" s="169">
        <f>'Earnings Model (adjusted)'!Y79-'Earnings Model'!Y79</f>
        <v>3.9525551214692314</v>
      </c>
      <c r="Z79" s="169">
        <f>'Earnings Model (adjusted)'!Z79-'Earnings Model'!Z79</f>
        <v>-54.92833269800667</v>
      </c>
      <c r="AA79" s="169">
        <f>'Earnings Model (adjusted)'!AA79-'Earnings Model'!AA79</f>
        <v>-53.334997760682199</v>
      </c>
      <c r="AB79" s="169">
        <f>'Earnings Model (adjusted)'!AB79-'Earnings Model'!AB79</f>
        <v>-102.30447176622692</v>
      </c>
      <c r="AC79" s="169">
        <f>'Earnings Model (adjusted)'!AC79-'Earnings Model'!AC79</f>
        <v>32.339794392544718</v>
      </c>
      <c r="AD79" s="169">
        <f>'Earnings Model (adjusted)'!AD79-'Earnings Model'!AD79</f>
        <v>34.746648268266654</v>
      </c>
      <c r="AE79" s="169">
        <f>'Earnings Model (adjusted)'!AE79-'Earnings Model'!AE79</f>
        <v>-47.538509686973157</v>
      </c>
      <c r="AF79" s="169">
        <f>'Earnings Model (adjusted)'!AF79-'Earnings Model'!AF79</f>
        <v>-67.789405022904248</v>
      </c>
      <c r="AG79" s="169">
        <f>'Earnings Model (adjusted)'!AG79-'Earnings Model'!AG79</f>
        <v>-48.24147204907058</v>
      </c>
      <c r="AH79" s="169">
        <f>'Earnings Model (adjusted)'!AH79-'Earnings Model'!AH79</f>
        <v>46.151536363479863</v>
      </c>
      <c r="AI79" s="169">
        <f>'Earnings Model (adjusted)'!AI79-'Earnings Model'!AI79</f>
        <v>49.211415853851577</v>
      </c>
      <c r="AJ79" s="169">
        <f>'Earnings Model (adjusted)'!AJ79-'Earnings Model'!AJ79</f>
        <v>-61.890065546467667</v>
      </c>
      <c r="AK79" s="169">
        <f>'Earnings Model (adjusted)'!AK79-'Earnings Model'!AK79</f>
        <v>-83.339652688062415</v>
      </c>
      <c r="AL79" s="169">
        <f>'Earnings Model (adjusted)'!AL79-'Earnings Model'!AL79</f>
        <v>-49.866766017199552</v>
      </c>
      <c r="AM79" s="169">
        <f>'Earnings Model (adjusted)'!AM79-'Earnings Model'!AM79</f>
        <v>54.324517438398289</v>
      </c>
      <c r="AN79" s="169">
        <f>'Earnings Model (adjusted)'!AN79-'Earnings Model'!AN79</f>
        <v>57.535618566500489</v>
      </c>
      <c r="AO79" s="169">
        <f>'Earnings Model (adjusted)'!AO79-'Earnings Model'!AO79</f>
        <v>-60.847788357321406</v>
      </c>
      <c r="AP79" s="169">
        <f>'Earnings Model (adjusted)'!AP79-'Earnings Model'!AP79</f>
        <v>-83.886797875104094</v>
      </c>
      <c r="AQ79" s="169">
        <f>'Earnings Model (adjusted)'!AQ79-'Earnings Model'!AQ79</f>
        <v>-32.874450227529451</v>
      </c>
    </row>
    <row r="80" spans="1:43" outlineLevel="1" x14ac:dyDescent="0.25">
      <c r="A80" s="254"/>
      <c r="B80" s="167" t="s">
        <v>239</v>
      </c>
      <c r="C80" s="144"/>
      <c r="D80" s="365">
        <f t="shared" ref="D80:G80" si="51">+D68-D79</f>
        <v>968.70000000000027</v>
      </c>
      <c r="E80" s="365">
        <f t="shared" si="51"/>
        <v>856.40000000000055</v>
      </c>
      <c r="F80" s="365">
        <f t="shared" si="51"/>
        <v>1018.6999999999998</v>
      </c>
      <c r="G80" s="365">
        <f t="shared" si="51"/>
        <v>938.90000000000009</v>
      </c>
      <c r="H80" s="320">
        <f>SUM(D80:G80)</f>
        <v>3782.7000000000007</v>
      </c>
      <c r="I80" s="365">
        <f t="shared" ref="I80:L80" si="52">+I68-I79</f>
        <v>1098.7999999999997</v>
      </c>
      <c r="J80" s="365">
        <f t="shared" si="52"/>
        <v>621.19999999999982</v>
      </c>
      <c r="K80" s="365">
        <f t="shared" si="52"/>
        <v>-404.89999999999964</v>
      </c>
      <c r="L80" s="207">
        <f t="shared" si="52"/>
        <v>510.30000000000064</v>
      </c>
      <c r="M80" s="239">
        <f>SUM(I80:L80)</f>
        <v>1825.4000000000005</v>
      </c>
      <c r="N80" s="207">
        <f>+N68-N79</f>
        <v>813.49999999999955</v>
      </c>
      <c r="O80" s="207">
        <f t="shared" ref="O80:P80" si="53">+O68-O79</f>
        <v>905.29999999999973</v>
      </c>
      <c r="P80" s="207">
        <f t="shared" si="53"/>
        <v>1315.7000000000003</v>
      </c>
      <c r="Q80" s="169">
        <f>'Earnings Model (adjusted)'!Q80-'Earnings Model'!Q80</f>
        <v>46.089911209723141</v>
      </c>
      <c r="R80" s="169">
        <f>'Earnings Model (adjusted)'!R80-'Earnings Model'!R80</f>
        <v>46.089911209723141</v>
      </c>
      <c r="S80" s="169">
        <f>'Earnings Model (adjusted)'!S80-'Earnings Model'!S80</f>
        <v>109.66792039287066</v>
      </c>
      <c r="T80" s="169">
        <f>'Earnings Model (adjusted)'!T80-'Earnings Model'!T80</f>
        <v>105.18047433942684</v>
      </c>
      <c r="U80" s="169">
        <f>'Earnings Model (adjusted)'!U80-'Earnings Model'!U80</f>
        <v>112.08032133377219</v>
      </c>
      <c r="V80" s="169">
        <f>'Earnings Model (adjusted)'!V80-'Earnings Model'!V80</f>
        <v>80.263174159350456</v>
      </c>
      <c r="W80" s="169">
        <f>'Earnings Model (adjusted)'!W80-'Earnings Model'!W80</f>
        <v>407.19189022542014</v>
      </c>
      <c r="X80" s="169">
        <f>'Earnings Model (adjusted)'!X80-'Earnings Model'!X80</f>
        <v>108.70421531323245</v>
      </c>
      <c r="Y80" s="169">
        <f>'Earnings Model (adjusted)'!Y80-'Earnings Model'!Y80</f>
        <v>106.54539844632109</v>
      </c>
      <c r="Z80" s="169">
        <f>'Earnings Model (adjusted)'!Z80-'Earnings Model'!Z80</f>
        <v>105.51352610934191</v>
      </c>
      <c r="AA80" s="169">
        <f>'Earnings Model (adjusted)'!AA80-'Earnings Model'!AA80</f>
        <v>103.49913402937364</v>
      </c>
      <c r="AB80" s="169">
        <f>'Earnings Model (adjusted)'!AB80-'Earnings Model'!AB80</f>
        <v>424.26227389826909</v>
      </c>
      <c r="AC80" s="169">
        <f>'Earnings Model (adjusted)'!AC80-'Earnings Model'!AC80</f>
        <v>111.97044154308514</v>
      </c>
      <c r="AD80" s="169">
        <f>'Earnings Model (adjusted)'!AD80-'Earnings Model'!AD80</f>
        <v>109.60953390387931</v>
      </c>
      <c r="AE80" s="169">
        <f>'Earnings Model (adjusted)'!AE80-'Earnings Model'!AE80</f>
        <v>101.97641800308611</v>
      </c>
      <c r="AF80" s="169">
        <f>'Earnings Model (adjusted)'!AF80-'Earnings Model'!AF80</f>
        <v>93.617946272002882</v>
      </c>
      <c r="AG80" s="169">
        <f>'Earnings Model (adjusted)'!AG80-'Earnings Model'!AG80</f>
        <v>417.17433972205345</v>
      </c>
      <c r="AH80" s="169">
        <f>'Earnings Model (adjusted)'!AH80-'Earnings Model'!AH80</f>
        <v>136.02419843905318</v>
      </c>
      <c r="AI80" s="169">
        <f>'Earnings Model (adjusted)'!AI80-'Earnings Model'!AI80</f>
        <v>132.99781553359571</v>
      </c>
      <c r="AJ80" s="169">
        <f>'Earnings Model (adjusted)'!AJ80-'Earnings Model'!AJ80</f>
        <v>120.16696643551768</v>
      </c>
      <c r="AK80" s="169">
        <f>'Earnings Model (adjusted)'!AK80-'Earnings Model'!AK80</f>
        <v>110.98389611291714</v>
      </c>
      <c r="AL80" s="169">
        <f>'Earnings Model (adjusted)'!AL80-'Earnings Model'!AL80</f>
        <v>500.17287652108371</v>
      </c>
      <c r="AM80" s="169">
        <f>'Earnings Model (adjusted)'!AM80-'Earnings Model'!AM80</f>
        <v>140.61794924561036</v>
      </c>
      <c r="AN80" s="169">
        <f>'Earnings Model (adjusted)'!AN80-'Earnings Model'!AN80</f>
        <v>137.40334788735072</v>
      </c>
      <c r="AO80" s="169">
        <f>'Earnings Model (adjusted)'!AO80-'Earnings Model'!AO80</f>
        <v>123.18370057183802</v>
      </c>
      <c r="AP80" s="169">
        <f>'Earnings Model (adjusted)'!AP80-'Earnings Model'!AP80</f>
        <v>113.45067398377523</v>
      </c>
      <c r="AQ80" s="169">
        <f>'Earnings Model (adjusted)'!AQ80-'Earnings Model'!AQ80</f>
        <v>514.65567168857433</v>
      </c>
    </row>
    <row r="81" spans="1:43" outlineLevel="1" x14ac:dyDescent="0.25">
      <c r="A81" s="254"/>
      <c r="B81" s="167" t="s">
        <v>240</v>
      </c>
      <c r="C81" s="144"/>
      <c r="D81" s="366">
        <f t="shared" ref="D81:G81" si="54">+D80/D68</f>
        <v>0.21001626016260169</v>
      </c>
      <c r="E81" s="366">
        <f t="shared" si="54"/>
        <v>0.19851185647064287</v>
      </c>
      <c r="F81" s="366">
        <f t="shared" si="54"/>
        <v>0.21761979022024736</v>
      </c>
      <c r="G81" s="366">
        <f t="shared" si="54"/>
        <v>0.20185320548652022</v>
      </c>
      <c r="H81" s="321">
        <f>H80/H68</f>
        <v>0.20716793270205</v>
      </c>
      <c r="I81" s="366">
        <f t="shared" ref="I81:L81" si="55">+I80/I68</f>
        <v>0.21928196531561192</v>
      </c>
      <c r="J81" s="366">
        <f t="shared" si="55"/>
        <v>0.14346420323325632</v>
      </c>
      <c r="K81" s="366">
        <f t="shared" si="55"/>
        <v>-0.14432364997326666</v>
      </c>
      <c r="L81" s="208">
        <f t="shared" si="55"/>
        <v>0.12055564742847706</v>
      </c>
      <c r="M81" s="240">
        <f>M80/M68</f>
        <v>0.11144554407086998</v>
      </c>
      <c r="N81" s="208">
        <f>+N80/N68</f>
        <v>0.17296734138458913</v>
      </c>
      <c r="O81" s="208">
        <f t="shared" ref="O81:P81" si="56">+O80/O68</f>
        <v>0.19407880632851687</v>
      </c>
      <c r="P81" s="208">
        <f t="shared" si="56"/>
        <v>0.24363461289187641</v>
      </c>
      <c r="Q81" s="169">
        <f>'Earnings Model (adjusted)'!Q81-'Earnings Model'!Q81</f>
        <v>7.8319150757512335E-3</v>
      </c>
      <c r="R81" s="169">
        <f>'Earnings Model (adjusted)'!R81-'Earnings Model'!R81</f>
        <v>2.231634487042472E-3</v>
      </c>
      <c r="S81" s="169">
        <f>'Earnings Model (adjusted)'!S81-'Earnings Model'!S81</f>
        <v>1.692946909595705E-2</v>
      </c>
      <c r="T81" s="169">
        <f>'Earnings Model (adjusted)'!T81-'Earnings Model'!T81</f>
        <v>1.7000693487998292E-2</v>
      </c>
      <c r="U81" s="169">
        <f>'Earnings Model (adjusted)'!U81-'Earnings Model'!U81</f>
        <v>1.7157456818404915E-2</v>
      </c>
      <c r="V81" s="169">
        <f>'Earnings Model (adjusted)'!V81-'Earnings Model'!V81</f>
        <v>1.1922398043904409E-2</v>
      </c>
      <c r="W81" s="169">
        <f>'Earnings Model (adjusted)'!W81-'Earnings Model'!W81</f>
        <v>1.5666537568513467E-2</v>
      </c>
      <c r="X81" s="169">
        <f>'Earnings Model (adjusted)'!X81-'Earnings Model'!X81</f>
        <v>1.4623470911932501E-2</v>
      </c>
      <c r="Y81" s="169">
        <f>'Earnings Model (adjusted)'!Y81-'Earnings Model'!Y81</f>
        <v>1.4724063735469833E-2</v>
      </c>
      <c r="Z81" s="169">
        <f>'Earnings Model (adjusted)'!Z81-'Earnings Model'!Z81</f>
        <v>1.4877862273934339E-2</v>
      </c>
      <c r="AA81" s="169">
        <f>'Earnings Model (adjusted)'!AA81-'Earnings Model'!AA81</f>
        <v>1.4650273036118239E-2</v>
      </c>
      <c r="AB81" s="169">
        <f>'Earnings Model (adjusted)'!AB81-'Earnings Model'!AB81</f>
        <v>1.471912247222204E-2</v>
      </c>
      <c r="AC81" s="169">
        <f>'Earnings Model (adjusted)'!AC81-'Earnings Model'!AC81</f>
        <v>1.2943880214094483E-2</v>
      </c>
      <c r="AD81" s="169">
        <f>'Earnings Model (adjusted)'!AD81-'Earnings Model'!AD81</f>
        <v>1.3056198661119928E-2</v>
      </c>
      <c r="AE81" s="169">
        <f>'Earnings Model (adjusted)'!AE81-'Earnings Model'!AE81</f>
        <v>1.3245326659836826E-2</v>
      </c>
      <c r="AF81" s="169">
        <f>'Earnings Model (adjusted)'!AF81-'Earnings Model'!AF81</f>
        <v>1.3071873992675426E-2</v>
      </c>
      <c r="AG81" s="169">
        <f>'Earnings Model (adjusted)'!AG81-'Earnings Model'!AG81</f>
        <v>1.3067618879826021E-2</v>
      </c>
      <c r="AH81" s="169">
        <f>'Earnings Model (adjusted)'!AH81-'Earnings Model'!AH81</f>
        <v>1.4444583128976674E-2</v>
      </c>
      <c r="AI81" s="169">
        <f>'Earnings Model (adjusted)'!AI81-'Earnings Model'!AI81</f>
        <v>1.4568152150603086E-2</v>
      </c>
      <c r="AJ81" s="169">
        <f>'Earnings Model (adjusted)'!AJ81-'Earnings Model'!AJ81</f>
        <v>1.4793672508852718E-2</v>
      </c>
      <c r="AK81" s="169">
        <f>'Earnings Model (adjusted)'!AK81-'Earnings Model'!AK81</f>
        <v>1.4626400100350101E-2</v>
      </c>
      <c r="AL81" s="169">
        <f>'Earnings Model (adjusted)'!AL81-'Earnings Model'!AL81</f>
        <v>1.459822205414163E-2</v>
      </c>
      <c r="AM81" s="169">
        <f>'Earnings Model (adjusted)'!AM81-'Earnings Model'!AM81</f>
        <v>1.3792341968421828E-2</v>
      </c>
      <c r="AN81" s="169">
        <f>'Earnings Model (adjusted)'!AN81-'Earnings Model'!AN81</f>
        <v>1.3919220408708133E-2</v>
      </c>
      <c r="AO81" s="169">
        <f>'Earnings Model (adjusted)'!AO81-'Earnings Model'!AO81</f>
        <v>1.4154526331909667E-2</v>
      </c>
      <c r="AP81" s="169">
        <f>'Earnings Model (adjusted)'!AP81-'Earnings Model'!AP81</f>
        <v>1.3991232895013611E-2</v>
      </c>
      <c r="AQ81" s="169">
        <f>'Earnings Model (adjusted)'!AQ81-'Earnings Model'!AQ81</f>
        <v>1.3955875934383161E-2</v>
      </c>
    </row>
    <row r="82" spans="1:43" ht="18" x14ac:dyDescent="0.4">
      <c r="A82" s="254"/>
      <c r="B82" s="565" t="s">
        <v>290</v>
      </c>
      <c r="C82" s="566"/>
      <c r="D82" s="32" t="s">
        <v>119</v>
      </c>
      <c r="E82" s="32" t="s">
        <v>243</v>
      </c>
      <c r="F82" s="32" t="s">
        <v>247</v>
      </c>
      <c r="G82" s="32" t="s">
        <v>257</v>
      </c>
      <c r="H82" s="86" t="s">
        <v>258</v>
      </c>
      <c r="I82" s="32" t="s">
        <v>259</v>
      </c>
      <c r="J82" s="32" t="s">
        <v>260</v>
      </c>
      <c r="K82" s="32" t="s">
        <v>261</v>
      </c>
      <c r="L82" s="32" t="s">
        <v>322</v>
      </c>
      <c r="M82" s="86" t="s">
        <v>333</v>
      </c>
      <c r="N82" s="32" t="s">
        <v>339</v>
      </c>
      <c r="O82" s="32" t="s">
        <v>347</v>
      </c>
      <c r="P82" s="32" t="s">
        <v>349</v>
      </c>
      <c r="Q82" s="169" t="e">
        <f>'Earnings Model (adjusted)'!Q82-'Earnings Model'!Q82</f>
        <v>#VALUE!</v>
      </c>
      <c r="R82" s="169" t="e">
        <f>'Earnings Model (adjusted)'!R82-'Earnings Model'!R82</f>
        <v>#VALUE!</v>
      </c>
      <c r="S82" s="169" t="e">
        <f>'Earnings Model (adjusted)'!S82-'Earnings Model'!S82</f>
        <v>#VALUE!</v>
      </c>
      <c r="T82" s="169" t="e">
        <f>'Earnings Model (adjusted)'!T82-'Earnings Model'!T82</f>
        <v>#VALUE!</v>
      </c>
      <c r="U82" s="169" t="e">
        <f>'Earnings Model (adjusted)'!U82-'Earnings Model'!U82</f>
        <v>#VALUE!</v>
      </c>
      <c r="V82" s="169" t="e">
        <f>'Earnings Model (adjusted)'!V82-'Earnings Model'!V82</f>
        <v>#VALUE!</v>
      </c>
      <c r="W82" s="169" t="e">
        <f>'Earnings Model (adjusted)'!W82-'Earnings Model'!W82</f>
        <v>#VALUE!</v>
      </c>
      <c r="X82" s="169" t="e">
        <f>'Earnings Model (adjusted)'!X82-'Earnings Model'!X82</f>
        <v>#VALUE!</v>
      </c>
      <c r="Y82" s="169" t="e">
        <f>'Earnings Model (adjusted)'!Y82-'Earnings Model'!Y82</f>
        <v>#VALUE!</v>
      </c>
      <c r="Z82" s="169" t="e">
        <f>'Earnings Model (adjusted)'!Z82-'Earnings Model'!Z82</f>
        <v>#VALUE!</v>
      </c>
      <c r="AA82" s="169" t="e">
        <f>'Earnings Model (adjusted)'!AA82-'Earnings Model'!AA82</f>
        <v>#VALUE!</v>
      </c>
      <c r="AB82" s="169" t="e">
        <f>'Earnings Model (adjusted)'!AB82-'Earnings Model'!AB82</f>
        <v>#VALUE!</v>
      </c>
      <c r="AC82" s="169" t="e">
        <f>'Earnings Model (adjusted)'!AC82-'Earnings Model'!AC82</f>
        <v>#VALUE!</v>
      </c>
      <c r="AD82" s="169" t="e">
        <f>'Earnings Model (adjusted)'!AD82-'Earnings Model'!AD82</f>
        <v>#VALUE!</v>
      </c>
      <c r="AE82" s="169" t="e">
        <f>'Earnings Model (adjusted)'!AE82-'Earnings Model'!AE82</f>
        <v>#VALUE!</v>
      </c>
      <c r="AF82" s="169" t="e">
        <f>'Earnings Model (adjusted)'!AF82-'Earnings Model'!AF82</f>
        <v>#VALUE!</v>
      </c>
      <c r="AG82" s="169" t="e">
        <f>'Earnings Model (adjusted)'!AG82-'Earnings Model'!AG82</f>
        <v>#VALUE!</v>
      </c>
      <c r="AH82" s="169" t="e">
        <f>'Earnings Model (adjusted)'!AH82-'Earnings Model'!AH82</f>
        <v>#VALUE!</v>
      </c>
      <c r="AI82" s="169" t="e">
        <f>'Earnings Model (adjusted)'!AI82-'Earnings Model'!AI82</f>
        <v>#VALUE!</v>
      </c>
      <c r="AJ82" s="169" t="e">
        <f>'Earnings Model (adjusted)'!AJ82-'Earnings Model'!AJ82</f>
        <v>#VALUE!</v>
      </c>
      <c r="AK82" s="169" t="e">
        <f>'Earnings Model (adjusted)'!AK82-'Earnings Model'!AK82</f>
        <v>#VALUE!</v>
      </c>
      <c r="AL82" s="169" t="e">
        <f>'Earnings Model (adjusted)'!AL82-'Earnings Model'!AL82</f>
        <v>#VALUE!</v>
      </c>
      <c r="AM82" s="169" t="e">
        <f>'Earnings Model (adjusted)'!AM82-'Earnings Model'!AM82</f>
        <v>#VALUE!</v>
      </c>
      <c r="AN82" s="169" t="e">
        <f>'Earnings Model (adjusted)'!AN82-'Earnings Model'!AN82</f>
        <v>#VALUE!</v>
      </c>
      <c r="AO82" s="169" t="e">
        <f>'Earnings Model (adjusted)'!AO82-'Earnings Model'!AO82</f>
        <v>#VALUE!</v>
      </c>
      <c r="AP82" s="169" t="e">
        <f>'Earnings Model (adjusted)'!AP82-'Earnings Model'!AP82</f>
        <v>#VALUE!</v>
      </c>
      <c r="AQ82" s="169" t="e">
        <f>'Earnings Model (adjusted)'!AQ82-'Earnings Model'!AQ82</f>
        <v>#VALUE!</v>
      </c>
    </row>
    <row r="83" spans="1:43" s="20" customFormat="1" outlineLevel="1" x14ac:dyDescent="0.25">
      <c r="A83" s="269"/>
      <c r="B83" s="589" t="s">
        <v>291</v>
      </c>
      <c r="C83" s="590"/>
      <c r="D83" s="41">
        <v>5839</v>
      </c>
      <c r="E83" s="41">
        <v>5879</v>
      </c>
      <c r="F83" s="283">
        <v>5646</v>
      </c>
      <c r="G83" s="41">
        <v>5860</v>
      </c>
      <c r="H83" s="479">
        <f>G83</f>
        <v>5860</v>
      </c>
      <c r="I83" s="41">
        <v>6059</v>
      </c>
      <c r="J83" s="41">
        <v>6137</v>
      </c>
      <c r="K83" s="41">
        <v>6254</v>
      </c>
      <c r="L83" s="41">
        <v>6528</v>
      </c>
      <c r="M83" s="479">
        <f>L83</f>
        <v>6528</v>
      </c>
      <c r="N83" s="41">
        <v>6713</v>
      </c>
      <c r="O83" s="41">
        <f>+N83+O84</f>
        <v>6836</v>
      </c>
      <c r="P83" s="41">
        <f t="shared" ref="P83" si="57">+O83+P84</f>
        <v>7013</v>
      </c>
      <c r="Q83" s="169">
        <f>'Earnings Model (adjusted)'!Q83-'Earnings Model'!Q83</f>
        <v>0</v>
      </c>
      <c r="R83" s="169">
        <f>'Earnings Model (adjusted)'!R83-'Earnings Model'!R83</f>
        <v>0</v>
      </c>
      <c r="S83" s="169">
        <f>'Earnings Model (adjusted)'!S83-'Earnings Model'!S83</f>
        <v>0</v>
      </c>
      <c r="T83" s="169">
        <f>'Earnings Model (adjusted)'!T83-'Earnings Model'!T83</f>
        <v>0</v>
      </c>
      <c r="U83" s="169">
        <f>'Earnings Model (adjusted)'!U83-'Earnings Model'!U83</f>
        <v>0</v>
      </c>
      <c r="V83" s="169">
        <f>'Earnings Model (adjusted)'!V83-'Earnings Model'!V83</f>
        <v>0</v>
      </c>
      <c r="W83" s="169">
        <f>'Earnings Model (adjusted)'!W83-'Earnings Model'!W83</f>
        <v>0</v>
      </c>
      <c r="X83" s="169">
        <f>'Earnings Model (adjusted)'!X83-'Earnings Model'!X83</f>
        <v>0</v>
      </c>
      <c r="Y83" s="169">
        <f>'Earnings Model (adjusted)'!Y83-'Earnings Model'!Y83</f>
        <v>0</v>
      </c>
      <c r="Z83" s="169">
        <f>'Earnings Model (adjusted)'!Z83-'Earnings Model'!Z83</f>
        <v>0</v>
      </c>
      <c r="AA83" s="169">
        <f>'Earnings Model (adjusted)'!AA83-'Earnings Model'!AA83</f>
        <v>0</v>
      </c>
      <c r="AB83" s="169">
        <f>'Earnings Model (adjusted)'!AB83-'Earnings Model'!AB83</f>
        <v>0</v>
      </c>
      <c r="AC83" s="169">
        <f>'Earnings Model (adjusted)'!AC83-'Earnings Model'!AC83</f>
        <v>0</v>
      </c>
      <c r="AD83" s="169">
        <f>'Earnings Model (adjusted)'!AD83-'Earnings Model'!AD83</f>
        <v>0</v>
      </c>
      <c r="AE83" s="169">
        <f>'Earnings Model (adjusted)'!AE83-'Earnings Model'!AE83</f>
        <v>0</v>
      </c>
      <c r="AF83" s="169">
        <f>'Earnings Model (adjusted)'!AF83-'Earnings Model'!AF83</f>
        <v>0</v>
      </c>
      <c r="AG83" s="169">
        <f>'Earnings Model (adjusted)'!AG83-'Earnings Model'!AG83</f>
        <v>0</v>
      </c>
      <c r="AH83" s="169">
        <f>'Earnings Model (adjusted)'!AH83-'Earnings Model'!AH83</f>
        <v>0</v>
      </c>
      <c r="AI83" s="169">
        <f>'Earnings Model (adjusted)'!AI83-'Earnings Model'!AI83</f>
        <v>0</v>
      </c>
      <c r="AJ83" s="169">
        <f>'Earnings Model (adjusted)'!AJ83-'Earnings Model'!AJ83</f>
        <v>0</v>
      </c>
      <c r="AK83" s="169">
        <f>'Earnings Model (adjusted)'!AK83-'Earnings Model'!AK83</f>
        <v>0</v>
      </c>
      <c r="AL83" s="169">
        <f>'Earnings Model (adjusted)'!AL83-'Earnings Model'!AL83</f>
        <v>0</v>
      </c>
      <c r="AM83" s="169">
        <f>'Earnings Model (adjusted)'!AM83-'Earnings Model'!AM83</f>
        <v>0</v>
      </c>
      <c r="AN83" s="169">
        <f>'Earnings Model (adjusted)'!AN83-'Earnings Model'!AN83</f>
        <v>0</v>
      </c>
      <c r="AO83" s="169">
        <f>'Earnings Model (adjusted)'!AO83-'Earnings Model'!AO83</f>
        <v>0</v>
      </c>
      <c r="AP83" s="169">
        <f>'Earnings Model (adjusted)'!AP83-'Earnings Model'!AP83</f>
        <v>0</v>
      </c>
      <c r="AQ83" s="169">
        <f>'Earnings Model (adjusted)'!AQ83-'Earnings Model'!AQ83</f>
        <v>0</v>
      </c>
    </row>
    <row r="84" spans="1:43" outlineLevel="1" x14ac:dyDescent="0.25">
      <c r="A84" s="254"/>
      <c r="B84" s="466" t="s">
        <v>158</v>
      </c>
      <c r="C84" s="556"/>
      <c r="D84" s="256">
        <f>+D83-5651</f>
        <v>188</v>
      </c>
      <c r="E84" s="256">
        <f>+E83-D83</f>
        <v>40</v>
      </c>
      <c r="F84" s="256">
        <f t="shared" ref="F84:G84" si="58">+F83-E83</f>
        <v>-233</v>
      </c>
      <c r="G84" s="256">
        <f t="shared" si="58"/>
        <v>214</v>
      </c>
      <c r="H84" s="50">
        <f>+SUM(D84:G84)</f>
        <v>209</v>
      </c>
      <c r="I84" s="256">
        <f>+I83-G83</f>
        <v>199</v>
      </c>
      <c r="J84" s="256">
        <f t="shared" ref="J84:L84" si="59">+J83-I83</f>
        <v>78</v>
      </c>
      <c r="K84" s="256">
        <f t="shared" si="59"/>
        <v>117</v>
      </c>
      <c r="L84" s="256">
        <f t="shared" si="59"/>
        <v>274</v>
      </c>
      <c r="M84" s="50">
        <f>+SUM(I84:L84)</f>
        <v>668</v>
      </c>
      <c r="N84" s="256">
        <v>185</v>
      </c>
      <c r="O84" s="256">
        <v>123</v>
      </c>
      <c r="P84" s="256">
        <v>177</v>
      </c>
      <c r="Q84" s="169">
        <f>'Earnings Model (adjusted)'!Q84-'Earnings Model'!Q84</f>
        <v>0</v>
      </c>
      <c r="R84" s="169">
        <f>'Earnings Model (adjusted)'!R84-'Earnings Model'!R84</f>
        <v>0</v>
      </c>
      <c r="S84" s="169">
        <f>'Earnings Model (adjusted)'!S84-'Earnings Model'!S84</f>
        <v>0</v>
      </c>
      <c r="T84" s="169">
        <f>'Earnings Model (adjusted)'!T84-'Earnings Model'!T84</f>
        <v>0</v>
      </c>
      <c r="U84" s="169">
        <f>'Earnings Model (adjusted)'!U84-'Earnings Model'!U84</f>
        <v>0</v>
      </c>
      <c r="V84" s="169">
        <f>'Earnings Model (adjusted)'!V84-'Earnings Model'!V84</f>
        <v>0</v>
      </c>
      <c r="W84" s="169">
        <f>'Earnings Model (adjusted)'!W84-'Earnings Model'!W84</f>
        <v>0</v>
      </c>
      <c r="X84" s="169">
        <f>'Earnings Model (adjusted)'!X84-'Earnings Model'!X84</f>
        <v>0</v>
      </c>
      <c r="Y84" s="169">
        <f>'Earnings Model (adjusted)'!Y84-'Earnings Model'!Y84</f>
        <v>0</v>
      </c>
      <c r="Z84" s="169">
        <f>'Earnings Model (adjusted)'!Z84-'Earnings Model'!Z84</f>
        <v>0</v>
      </c>
      <c r="AA84" s="169">
        <f>'Earnings Model (adjusted)'!AA84-'Earnings Model'!AA84</f>
        <v>0</v>
      </c>
      <c r="AB84" s="169">
        <f>'Earnings Model (adjusted)'!AB84-'Earnings Model'!AB84</f>
        <v>0</v>
      </c>
      <c r="AC84" s="169">
        <f>'Earnings Model (adjusted)'!AC84-'Earnings Model'!AC84</f>
        <v>0</v>
      </c>
      <c r="AD84" s="169">
        <f>'Earnings Model (adjusted)'!AD84-'Earnings Model'!AD84</f>
        <v>0</v>
      </c>
      <c r="AE84" s="169">
        <f>'Earnings Model (adjusted)'!AE84-'Earnings Model'!AE84</f>
        <v>0</v>
      </c>
      <c r="AF84" s="169">
        <f>'Earnings Model (adjusted)'!AF84-'Earnings Model'!AF84</f>
        <v>0</v>
      </c>
      <c r="AG84" s="169">
        <f>'Earnings Model (adjusted)'!AG84-'Earnings Model'!AG84</f>
        <v>0</v>
      </c>
      <c r="AH84" s="169">
        <f>'Earnings Model (adjusted)'!AH84-'Earnings Model'!AH84</f>
        <v>0</v>
      </c>
      <c r="AI84" s="169">
        <f>'Earnings Model (adjusted)'!AI84-'Earnings Model'!AI84</f>
        <v>0</v>
      </c>
      <c r="AJ84" s="169">
        <f>'Earnings Model (adjusted)'!AJ84-'Earnings Model'!AJ84</f>
        <v>0</v>
      </c>
      <c r="AK84" s="169">
        <f>'Earnings Model (adjusted)'!AK84-'Earnings Model'!AK84</f>
        <v>0</v>
      </c>
      <c r="AL84" s="169">
        <f>'Earnings Model (adjusted)'!AL84-'Earnings Model'!AL84</f>
        <v>0</v>
      </c>
      <c r="AM84" s="169">
        <f>'Earnings Model (adjusted)'!AM84-'Earnings Model'!AM84</f>
        <v>0</v>
      </c>
      <c r="AN84" s="169">
        <f>'Earnings Model (adjusted)'!AN84-'Earnings Model'!AN84</f>
        <v>0</v>
      </c>
      <c r="AO84" s="169">
        <f>'Earnings Model (adjusted)'!AO84-'Earnings Model'!AO84</f>
        <v>0</v>
      </c>
      <c r="AP84" s="169">
        <f>'Earnings Model (adjusted)'!AP84-'Earnings Model'!AP84</f>
        <v>0</v>
      </c>
      <c r="AQ84" s="169">
        <f>'Earnings Model (adjusted)'!AQ84-'Earnings Model'!AQ84</f>
        <v>0</v>
      </c>
    </row>
    <row r="85" spans="1:43" s="186" customFormat="1" outlineLevel="1" x14ac:dyDescent="0.25">
      <c r="A85" s="272"/>
      <c r="B85" s="187" t="s">
        <v>159</v>
      </c>
      <c r="C85" s="188"/>
      <c r="D85" s="190">
        <v>5186</v>
      </c>
      <c r="E85" s="190">
        <v>5313</v>
      </c>
      <c r="F85" s="190">
        <v>5476</v>
      </c>
      <c r="G85" s="190">
        <v>5651</v>
      </c>
      <c r="H85" s="191"/>
      <c r="I85" s="190">
        <f>D83</f>
        <v>5839</v>
      </c>
      <c r="J85" s="190">
        <f>E83</f>
        <v>5879</v>
      </c>
      <c r="K85" s="190">
        <f>F83</f>
        <v>5646</v>
      </c>
      <c r="L85" s="190">
        <f>G83</f>
        <v>5860</v>
      </c>
      <c r="M85" s="191"/>
      <c r="N85" s="190">
        <f>I83</f>
        <v>6059</v>
      </c>
      <c r="O85" s="190">
        <f>J83</f>
        <v>6137</v>
      </c>
      <c r="P85" s="190">
        <f>K83</f>
        <v>6254</v>
      </c>
      <c r="Q85" s="169">
        <f>'Earnings Model (adjusted)'!Q85-'Earnings Model'!Q85</f>
        <v>0</v>
      </c>
      <c r="R85" s="169">
        <f>'Earnings Model (adjusted)'!R85-'Earnings Model'!R85</f>
        <v>0</v>
      </c>
      <c r="S85" s="169">
        <f>'Earnings Model (adjusted)'!S85-'Earnings Model'!S85</f>
        <v>0</v>
      </c>
      <c r="T85" s="169">
        <f>'Earnings Model (adjusted)'!T85-'Earnings Model'!T85</f>
        <v>0</v>
      </c>
      <c r="U85" s="169">
        <f>'Earnings Model (adjusted)'!U85-'Earnings Model'!U85</f>
        <v>0</v>
      </c>
      <c r="V85" s="169">
        <f>'Earnings Model (adjusted)'!V85-'Earnings Model'!V85</f>
        <v>0</v>
      </c>
      <c r="W85" s="169">
        <f>'Earnings Model (adjusted)'!W85-'Earnings Model'!W85</f>
        <v>0</v>
      </c>
      <c r="X85" s="169">
        <f>'Earnings Model (adjusted)'!X85-'Earnings Model'!X85</f>
        <v>0</v>
      </c>
      <c r="Y85" s="169">
        <f>'Earnings Model (adjusted)'!Y85-'Earnings Model'!Y85</f>
        <v>0</v>
      </c>
      <c r="Z85" s="169">
        <f>'Earnings Model (adjusted)'!Z85-'Earnings Model'!Z85</f>
        <v>0</v>
      </c>
      <c r="AA85" s="169">
        <f>'Earnings Model (adjusted)'!AA85-'Earnings Model'!AA85</f>
        <v>0</v>
      </c>
      <c r="AB85" s="169">
        <f>'Earnings Model (adjusted)'!AB85-'Earnings Model'!AB85</f>
        <v>0</v>
      </c>
      <c r="AC85" s="169">
        <f>'Earnings Model (adjusted)'!AC85-'Earnings Model'!AC85</f>
        <v>0</v>
      </c>
      <c r="AD85" s="169">
        <f>'Earnings Model (adjusted)'!AD85-'Earnings Model'!AD85</f>
        <v>0</v>
      </c>
      <c r="AE85" s="169">
        <f>'Earnings Model (adjusted)'!AE85-'Earnings Model'!AE85</f>
        <v>0</v>
      </c>
      <c r="AF85" s="169">
        <f>'Earnings Model (adjusted)'!AF85-'Earnings Model'!AF85</f>
        <v>0</v>
      </c>
      <c r="AG85" s="169">
        <f>'Earnings Model (adjusted)'!AG85-'Earnings Model'!AG85</f>
        <v>0</v>
      </c>
      <c r="AH85" s="169">
        <f>'Earnings Model (adjusted)'!AH85-'Earnings Model'!AH85</f>
        <v>0</v>
      </c>
      <c r="AI85" s="169">
        <f>'Earnings Model (adjusted)'!AI85-'Earnings Model'!AI85</f>
        <v>0</v>
      </c>
      <c r="AJ85" s="169">
        <f>'Earnings Model (adjusted)'!AJ85-'Earnings Model'!AJ85</f>
        <v>0</v>
      </c>
      <c r="AK85" s="169">
        <f>'Earnings Model (adjusted)'!AK85-'Earnings Model'!AK85</f>
        <v>0</v>
      </c>
      <c r="AL85" s="169">
        <f>'Earnings Model (adjusted)'!AL85-'Earnings Model'!AL85</f>
        <v>0</v>
      </c>
      <c r="AM85" s="169">
        <f>'Earnings Model (adjusted)'!AM85-'Earnings Model'!AM85</f>
        <v>0</v>
      </c>
      <c r="AN85" s="169">
        <f>'Earnings Model (adjusted)'!AN85-'Earnings Model'!AN85</f>
        <v>0</v>
      </c>
      <c r="AO85" s="169">
        <f>'Earnings Model (adjusted)'!AO85-'Earnings Model'!AO85</f>
        <v>0</v>
      </c>
      <c r="AP85" s="169">
        <f>'Earnings Model (adjusted)'!AP85-'Earnings Model'!AP85</f>
        <v>0</v>
      </c>
      <c r="AQ85" s="169">
        <f>'Earnings Model (adjusted)'!AQ85-'Earnings Model'!AQ85</f>
        <v>0</v>
      </c>
    </row>
    <row r="86" spans="1:43" s="186" customFormat="1" outlineLevel="1" x14ac:dyDescent="0.25">
      <c r="A86" s="272"/>
      <c r="B86" s="187" t="s">
        <v>160</v>
      </c>
      <c r="C86" s="188"/>
      <c r="D86" s="192">
        <v>0.17928494231648628</v>
      </c>
      <c r="E86" s="192">
        <v>0.13619630348516218</v>
      </c>
      <c r="F86" s="192">
        <v>0.14772468750000003</v>
      </c>
      <c r="G86" s="192">
        <v>0.22237475090342945</v>
      </c>
      <c r="H86" s="191"/>
      <c r="I86" s="192">
        <v>0.20115786000293356</v>
      </c>
      <c r="J86" s="192">
        <v>0.15201018776253211</v>
      </c>
      <c r="K86" s="192">
        <v>0.14831357488131156</v>
      </c>
      <c r="L86" s="192">
        <f t="shared" ref="L86" si="60">+G86*(1+L89)</f>
        <v>0.20013727581308652</v>
      </c>
      <c r="M86" s="191"/>
      <c r="N86" s="192">
        <f>+I86*(1+N89)</f>
        <v>0.21725048880316827</v>
      </c>
      <c r="O86" s="192">
        <f>+J86*(1+O89)</f>
        <v>0.20521375347941836</v>
      </c>
      <c r="P86" s="192">
        <f t="shared" ref="P86" si="61">+K86*(1+P89)</f>
        <v>0.20912214058264927</v>
      </c>
      <c r="Q86" s="169">
        <f>'Earnings Model (adjusted)'!Q86-'Earnings Model'!Q86</f>
        <v>0</v>
      </c>
      <c r="R86" s="169">
        <f>'Earnings Model (adjusted)'!R86-'Earnings Model'!R86</f>
        <v>0</v>
      </c>
      <c r="S86" s="169">
        <f>'Earnings Model (adjusted)'!S86-'Earnings Model'!S86</f>
        <v>0</v>
      </c>
      <c r="T86" s="169">
        <f>'Earnings Model (adjusted)'!T86-'Earnings Model'!T86</f>
        <v>0</v>
      </c>
      <c r="U86" s="169">
        <f>'Earnings Model (adjusted)'!U86-'Earnings Model'!U86</f>
        <v>0</v>
      </c>
      <c r="V86" s="169">
        <f>'Earnings Model (adjusted)'!V86-'Earnings Model'!V86</f>
        <v>0</v>
      </c>
      <c r="W86" s="169">
        <f>'Earnings Model (adjusted)'!W86-'Earnings Model'!W86</f>
        <v>0</v>
      </c>
      <c r="X86" s="169">
        <f>'Earnings Model (adjusted)'!X86-'Earnings Model'!X86</f>
        <v>0</v>
      </c>
      <c r="Y86" s="169">
        <f>'Earnings Model (adjusted)'!Y86-'Earnings Model'!Y86</f>
        <v>0</v>
      </c>
      <c r="Z86" s="169">
        <f>'Earnings Model (adjusted)'!Z86-'Earnings Model'!Z86</f>
        <v>0</v>
      </c>
      <c r="AA86" s="169">
        <f>'Earnings Model (adjusted)'!AA86-'Earnings Model'!AA86</f>
        <v>0</v>
      </c>
      <c r="AB86" s="169">
        <f>'Earnings Model (adjusted)'!AB86-'Earnings Model'!AB86</f>
        <v>0</v>
      </c>
      <c r="AC86" s="169">
        <f>'Earnings Model (adjusted)'!AC86-'Earnings Model'!AC86</f>
        <v>0</v>
      </c>
      <c r="AD86" s="169">
        <f>'Earnings Model (adjusted)'!AD86-'Earnings Model'!AD86</f>
        <v>0</v>
      </c>
      <c r="AE86" s="169">
        <f>'Earnings Model (adjusted)'!AE86-'Earnings Model'!AE86</f>
        <v>0</v>
      </c>
      <c r="AF86" s="169">
        <f>'Earnings Model (adjusted)'!AF86-'Earnings Model'!AF86</f>
        <v>0</v>
      </c>
      <c r="AG86" s="169">
        <f>'Earnings Model (adjusted)'!AG86-'Earnings Model'!AG86</f>
        <v>0</v>
      </c>
      <c r="AH86" s="169">
        <f>'Earnings Model (adjusted)'!AH86-'Earnings Model'!AH86</f>
        <v>0</v>
      </c>
      <c r="AI86" s="169">
        <f>'Earnings Model (adjusted)'!AI86-'Earnings Model'!AI86</f>
        <v>0</v>
      </c>
      <c r="AJ86" s="169">
        <f>'Earnings Model (adjusted)'!AJ86-'Earnings Model'!AJ86</f>
        <v>0</v>
      </c>
      <c r="AK86" s="169">
        <f>'Earnings Model (adjusted)'!AK86-'Earnings Model'!AK86</f>
        <v>0</v>
      </c>
      <c r="AL86" s="169">
        <f>'Earnings Model (adjusted)'!AL86-'Earnings Model'!AL86</f>
        <v>0</v>
      </c>
      <c r="AM86" s="169">
        <f>'Earnings Model (adjusted)'!AM86-'Earnings Model'!AM86</f>
        <v>0</v>
      </c>
      <c r="AN86" s="169">
        <f>'Earnings Model (adjusted)'!AN86-'Earnings Model'!AN86</f>
        <v>0</v>
      </c>
      <c r="AO86" s="169">
        <f>'Earnings Model (adjusted)'!AO86-'Earnings Model'!AO86</f>
        <v>0</v>
      </c>
      <c r="AP86" s="169">
        <f>'Earnings Model (adjusted)'!AP86-'Earnings Model'!AP86</f>
        <v>0</v>
      </c>
      <c r="AQ86" s="169">
        <f>'Earnings Model (adjusted)'!AQ86-'Earnings Model'!AQ86</f>
        <v>0</v>
      </c>
    </row>
    <row r="87" spans="1:43" outlineLevel="1" x14ac:dyDescent="0.25">
      <c r="A87" s="254"/>
      <c r="B87" s="550" t="s">
        <v>156</v>
      </c>
      <c r="C87" s="551"/>
      <c r="D87" s="285">
        <v>0.01</v>
      </c>
      <c r="E87" s="285">
        <v>0</v>
      </c>
      <c r="F87" s="285">
        <v>0.01</v>
      </c>
      <c r="G87" s="285">
        <v>0.01</v>
      </c>
      <c r="H87" s="54"/>
      <c r="I87" s="285">
        <v>-0.01</v>
      </c>
      <c r="J87" s="285">
        <v>-0.32</v>
      </c>
      <c r="K87" s="285">
        <v>-0.44</v>
      </c>
      <c r="L87" s="56">
        <v>-0.15</v>
      </c>
      <c r="M87" s="54"/>
      <c r="N87" s="285">
        <v>-0.03</v>
      </c>
      <c r="O87" s="56">
        <v>0.26</v>
      </c>
      <c r="P87" s="56">
        <v>0.55000000000000004</v>
      </c>
      <c r="Q87" s="169">
        <f>'Earnings Model (adjusted)'!Q87-'Earnings Model'!Q87</f>
        <v>0</v>
      </c>
      <c r="R87" s="169">
        <f>'Earnings Model (adjusted)'!R87-'Earnings Model'!R87</f>
        <v>0</v>
      </c>
      <c r="S87" s="169">
        <f>'Earnings Model (adjusted)'!S87-'Earnings Model'!S87</f>
        <v>0</v>
      </c>
      <c r="T87" s="169">
        <f>'Earnings Model (adjusted)'!T87-'Earnings Model'!T87</f>
        <v>0</v>
      </c>
      <c r="U87" s="169">
        <f>'Earnings Model (adjusted)'!U87-'Earnings Model'!U87</f>
        <v>0</v>
      </c>
      <c r="V87" s="169">
        <f>'Earnings Model (adjusted)'!V87-'Earnings Model'!V87</f>
        <v>0</v>
      </c>
      <c r="W87" s="169">
        <f>'Earnings Model (adjusted)'!W87-'Earnings Model'!W87</f>
        <v>0</v>
      </c>
      <c r="X87" s="169">
        <f>'Earnings Model (adjusted)'!X87-'Earnings Model'!X87</f>
        <v>0</v>
      </c>
      <c r="Y87" s="169">
        <f>'Earnings Model (adjusted)'!Y87-'Earnings Model'!Y87</f>
        <v>0</v>
      </c>
      <c r="Z87" s="169">
        <f>'Earnings Model (adjusted)'!Z87-'Earnings Model'!Z87</f>
        <v>0</v>
      </c>
      <c r="AA87" s="169">
        <f>'Earnings Model (adjusted)'!AA87-'Earnings Model'!AA87</f>
        <v>0</v>
      </c>
      <c r="AB87" s="169">
        <f>'Earnings Model (adjusted)'!AB87-'Earnings Model'!AB87</f>
        <v>0</v>
      </c>
      <c r="AC87" s="169">
        <f>'Earnings Model (adjusted)'!AC87-'Earnings Model'!AC87</f>
        <v>0</v>
      </c>
      <c r="AD87" s="169">
        <f>'Earnings Model (adjusted)'!AD87-'Earnings Model'!AD87</f>
        <v>0</v>
      </c>
      <c r="AE87" s="169">
        <f>'Earnings Model (adjusted)'!AE87-'Earnings Model'!AE87</f>
        <v>0</v>
      </c>
      <c r="AF87" s="169">
        <f>'Earnings Model (adjusted)'!AF87-'Earnings Model'!AF87</f>
        <v>0</v>
      </c>
      <c r="AG87" s="169">
        <f>'Earnings Model (adjusted)'!AG87-'Earnings Model'!AG87</f>
        <v>0</v>
      </c>
      <c r="AH87" s="169">
        <f>'Earnings Model (adjusted)'!AH87-'Earnings Model'!AH87</f>
        <v>0</v>
      </c>
      <c r="AI87" s="169">
        <f>'Earnings Model (adjusted)'!AI87-'Earnings Model'!AI87</f>
        <v>0</v>
      </c>
      <c r="AJ87" s="169">
        <f>'Earnings Model (adjusted)'!AJ87-'Earnings Model'!AJ87</f>
        <v>0</v>
      </c>
      <c r="AK87" s="169">
        <f>'Earnings Model (adjusted)'!AK87-'Earnings Model'!AK87</f>
        <v>0</v>
      </c>
      <c r="AL87" s="169">
        <f>'Earnings Model (adjusted)'!AL87-'Earnings Model'!AL87</f>
        <v>0</v>
      </c>
      <c r="AM87" s="169">
        <f>'Earnings Model (adjusted)'!AM87-'Earnings Model'!AM87</f>
        <v>0</v>
      </c>
      <c r="AN87" s="169">
        <f>'Earnings Model (adjusted)'!AN87-'Earnings Model'!AN87</f>
        <v>0</v>
      </c>
      <c r="AO87" s="169">
        <f>'Earnings Model (adjusted)'!AO87-'Earnings Model'!AO87</f>
        <v>0</v>
      </c>
      <c r="AP87" s="169">
        <f>'Earnings Model (adjusted)'!AP87-'Earnings Model'!AP87</f>
        <v>0</v>
      </c>
      <c r="AQ87" s="169">
        <f>'Earnings Model (adjusted)'!AQ87-'Earnings Model'!AQ87</f>
        <v>0</v>
      </c>
    </row>
    <row r="88" spans="1:43" outlineLevel="1" x14ac:dyDescent="0.25">
      <c r="A88" s="254"/>
      <c r="B88" s="550" t="s">
        <v>155</v>
      </c>
      <c r="C88" s="551"/>
      <c r="D88" s="359">
        <v>0.01</v>
      </c>
      <c r="E88" s="359">
        <v>0.02</v>
      </c>
      <c r="F88" s="359">
        <v>0.03</v>
      </c>
      <c r="G88" s="359">
        <v>0.03</v>
      </c>
      <c r="H88" s="181"/>
      <c r="I88" s="359">
        <v>0.02</v>
      </c>
      <c r="J88" s="359">
        <v>0.01</v>
      </c>
      <c r="K88" s="359">
        <v>0.13</v>
      </c>
      <c r="L88" s="180">
        <v>7.0000000000000007E-2</v>
      </c>
      <c r="M88" s="181"/>
      <c r="N88" s="359">
        <v>-0.1</v>
      </c>
      <c r="O88" s="180">
        <v>7.0000000000000007E-2</v>
      </c>
      <c r="P88" s="180">
        <v>-0.09</v>
      </c>
      <c r="Q88" s="169">
        <f>'Earnings Model (adjusted)'!Q88-'Earnings Model'!Q88</f>
        <v>0</v>
      </c>
      <c r="R88" s="169">
        <f>'Earnings Model (adjusted)'!R88-'Earnings Model'!R88</f>
        <v>0</v>
      </c>
      <c r="S88" s="169">
        <f>'Earnings Model (adjusted)'!S88-'Earnings Model'!S88</f>
        <v>0</v>
      </c>
      <c r="T88" s="169">
        <f>'Earnings Model (adjusted)'!T88-'Earnings Model'!T88</f>
        <v>0</v>
      </c>
      <c r="U88" s="169">
        <f>'Earnings Model (adjusted)'!U88-'Earnings Model'!U88</f>
        <v>0</v>
      </c>
      <c r="V88" s="169">
        <f>'Earnings Model (adjusted)'!V88-'Earnings Model'!V88</f>
        <v>0</v>
      </c>
      <c r="W88" s="169">
        <f>'Earnings Model (adjusted)'!W88-'Earnings Model'!W88</f>
        <v>0</v>
      </c>
      <c r="X88" s="169">
        <f>'Earnings Model (adjusted)'!X88-'Earnings Model'!X88</f>
        <v>0</v>
      </c>
      <c r="Y88" s="169">
        <f>'Earnings Model (adjusted)'!Y88-'Earnings Model'!Y88</f>
        <v>0</v>
      </c>
      <c r="Z88" s="169">
        <f>'Earnings Model (adjusted)'!Z88-'Earnings Model'!Z88</f>
        <v>0</v>
      </c>
      <c r="AA88" s="169">
        <f>'Earnings Model (adjusted)'!AA88-'Earnings Model'!AA88</f>
        <v>0</v>
      </c>
      <c r="AB88" s="169">
        <f>'Earnings Model (adjusted)'!AB88-'Earnings Model'!AB88</f>
        <v>0</v>
      </c>
      <c r="AC88" s="169">
        <f>'Earnings Model (adjusted)'!AC88-'Earnings Model'!AC88</f>
        <v>0</v>
      </c>
      <c r="AD88" s="169">
        <f>'Earnings Model (adjusted)'!AD88-'Earnings Model'!AD88</f>
        <v>0</v>
      </c>
      <c r="AE88" s="169">
        <f>'Earnings Model (adjusted)'!AE88-'Earnings Model'!AE88</f>
        <v>0</v>
      </c>
      <c r="AF88" s="169">
        <f>'Earnings Model (adjusted)'!AF88-'Earnings Model'!AF88</f>
        <v>0</v>
      </c>
      <c r="AG88" s="169">
        <f>'Earnings Model (adjusted)'!AG88-'Earnings Model'!AG88</f>
        <v>0</v>
      </c>
      <c r="AH88" s="169">
        <f>'Earnings Model (adjusted)'!AH88-'Earnings Model'!AH88</f>
        <v>0</v>
      </c>
      <c r="AI88" s="169">
        <f>'Earnings Model (adjusted)'!AI88-'Earnings Model'!AI88</f>
        <v>0</v>
      </c>
      <c r="AJ88" s="169">
        <f>'Earnings Model (adjusted)'!AJ88-'Earnings Model'!AJ88</f>
        <v>0</v>
      </c>
      <c r="AK88" s="169">
        <f>'Earnings Model (adjusted)'!AK88-'Earnings Model'!AK88</f>
        <v>0</v>
      </c>
      <c r="AL88" s="169">
        <f>'Earnings Model (adjusted)'!AL88-'Earnings Model'!AL88</f>
        <v>0</v>
      </c>
      <c r="AM88" s="169">
        <f>'Earnings Model (adjusted)'!AM88-'Earnings Model'!AM88</f>
        <v>0</v>
      </c>
      <c r="AN88" s="169">
        <f>'Earnings Model (adjusted)'!AN88-'Earnings Model'!AN88</f>
        <v>0</v>
      </c>
      <c r="AO88" s="169">
        <f>'Earnings Model (adjusted)'!AO88-'Earnings Model'!AO88</f>
        <v>0</v>
      </c>
      <c r="AP88" s="169">
        <f>'Earnings Model (adjusted)'!AP88-'Earnings Model'!AP88</f>
        <v>0</v>
      </c>
      <c r="AQ88" s="169">
        <f>'Earnings Model (adjusted)'!AQ88-'Earnings Model'!AQ88</f>
        <v>0</v>
      </c>
    </row>
    <row r="89" spans="1:43" s="20" customFormat="1" outlineLevel="1" x14ac:dyDescent="0.25">
      <c r="A89" s="269"/>
      <c r="B89" s="552" t="s">
        <v>157</v>
      </c>
      <c r="C89" s="546"/>
      <c r="D89" s="360">
        <v>0.02</v>
      </c>
      <c r="E89" s="360">
        <v>0.02</v>
      </c>
      <c r="F89" s="361">
        <v>0.05</v>
      </c>
      <c r="G89" s="360">
        <v>0.03</v>
      </c>
      <c r="H89" s="182"/>
      <c r="I89" s="360">
        <v>0.01</v>
      </c>
      <c r="J89" s="360">
        <v>-0.31</v>
      </c>
      <c r="K89" s="360">
        <v>-0.37</v>
      </c>
      <c r="L89" s="366">
        <v>-0.1</v>
      </c>
      <c r="M89" s="182"/>
      <c r="N89" s="360">
        <v>0.08</v>
      </c>
      <c r="O89" s="360">
        <v>0.35</v>
      </c>
      <c r="P89" s="360">
        <v>0.41</v>
      </c>
      <c r="Q89" s="169">
        <f>'Earnings Model (adjusted)'!Q89-'Earnings Model'!Q89</f>
        <v>0</v>
      </c>
      <c r="R89" s="169">
        <f>'Earnings Model (adjusted)'!R89-'Earnings Model'!R89</f>
        <v>0</v>
      </c>
      <c r="S89" s="169">
        <f>'Earnings Model (adjusted)'!S89-'Earnings Model'!S89</f>
        <v>0</v>
      </c>
      <c r="T89" s="169">
        <f>'Earnings Model (adjusted)'!T89-'Earnings Model'!T89</f>
        <v>0</v>
      </c>
      <c r="U89" s="169">
        <f>'Earnings Model (adjusted)'!U89-'Earnings Model'!U89</f>
        <v>0</v>
      </c>
      <c r="V89" s="169">
        <f>'Earnings Model (adjusted)'!V89-'Earnings Model'!V89</f>
        <v>0</v>
      </c>
      <c r="W89" s="169">
        <f>'Earnings Model (adjusted)'!W89-'Earnings Model'!W89</f>
        <v>0</v>
      </c>
      <c r="X89" s="169">
        <f>'Earnings Model (adjusted)'!X89-'Earnings Model'!X89</f>
        <v>0</v>
      </c>
      <c r="Y89" s="169">
        <f>'Earnings Model (adjusted)'!Y89-'Earnings Model'!Y89</f>
        <v>0</v>
      </c>
      <c r="Z89" s="169">
        <f>'Earnings Model (adjusted)'!Z89-'Earnings Model'!Z89</f>
        <v>0</v>
      </c>
      <c r="AA89" s="169">
        <f>'Earnings Model (adjusted)'!AA89-'Earnings Model'!AA89</f>
        <v>0</v>
      </c>
      <c r="AB89" s="169">
        <f>'Earnings Model (adjusted)'!AB89-'Earnings Model'!AB89</f>
        <v>0</v>
      </c>
      <c r="AC89" s="169">
        <f>'Earnings Model (adjusted)'!AC89-'Earnings Model'!AC89</f>
        <v>0</v>
      </c>
      <c r="AD89" s="169">
        <f>'Earnings Model (adjusted)'!AD89-'Earnings Model'!AD89</f>
        <v>0</v>
      </c>
      <c r="AE89" s="169">
        <f>'Earnings Model (adjusted)'!AE89-'Earnings Model'!AE89</f>
        <v>0</v>
      </c>
      <c r="AF89" s="169">
        <f>'Earnings Model (adjusted)'!AF89-'Earnings Model'!AF89</f>
        <v>0</v>
      </c>
      <c r="AG89" s="169">
        <f>'Earnings Model (adjusted)'!AG89-'Earnings Model'!AG89</f>
        <v>0</v>
      </c>
      <c r="AH89" s="169">
        <f>'Earnings Model (adjusted)'!AH89-'Earnings Model'!AH89</f>
        <v>0</v>
      </c>
      <c r="AI89" s="169">
        <f>'Earnings Model (adjusted)'!AI89-'Earnings Model'!AI89</f>
        <v>0</v>
      </c>
      <c r="AJ89" s="169">
        <f>'Earnings Model (adjusted)'!AJ89-'Earnings Model'!AJ89</f>
        <v>0</v>
      </c>
      <c r="AK89" s="169">
        <f>'Earnings Model (adjusted)'!AK89-'Earnings Model'!AK89</f>
        <v>0</v>
      </c>
      <c r="AL89" s="169">
        <f>'Earnings Model (adjusted)'!AL89-'Earnings Model'!AL89</f>
        <v>0</v>
      </c>
      <c r="AM89" s="169">
        <f>'Earnings Model (adjusted)'!AM89-'Earnings Model'!AM89</f>
        <v>0</v>
      </c>
      <c r="AN89" s="169">
        <f>'Earnings Model (adjusted)'!AN89-'Earnings Model'!AN89</f>
        <v>0</v>
      </c>
      <c r="AO89" s="169">
        <f>'Earnings Model (adjusted)'!AO89-'Earnings Model'!AO89</f>
        <v>0</v>
      </c>
      <c r="AP89" s="169">
        <f>'Earnings Model (adjusted)'!AP89-'Earnings Model'!AP89</f>
        <v>0</v>
      </c>
      <c r="AQ89" s="169">
        <f>'Earnings Model (adjusted)'!AQ89-'Earnings Model'!AQ89</f>
        <v>0</v>
      </c>
    </row>
    <row r="90" spans="1:43" ht="17.25" outlineLevel="1" x14ac:dyDescent="0.4">
      <c r="A90" s="254"/>
      <c r="B90" s="166" t="s">
        <v>187</v>
      </c>
      <c r="C90" s="551"/>
      <c r="D90" s="61">
        <v>348</v>
      </c>
      <c r="E90" s="61">
        <v>586</v>
      </c>
      <c r="F90" s="61">
        <v>544</v>
      </c>
      <c r="G90" s="61">
        <v>59</v>
      </c>
      <c r="H90" s="18"/>
      <c r="I90" s="61">
        <v>135</v>
      </c>
      <c r="J90" s="61">
        <v>9</v>
      </c>
      <c r="K90" s="61">
        <v>38</v>
      </c>
      <c r="L90" s="61">
        <v>125</v>
      </c>
      <c r="M90" s="18"/>
      <c r="N90" s="61">
        <v>125</v>
      </c>
      <c r="O90" s="61">
        <v>125</v>
      </c>
      <c r="P90" s="61">
        <v>125</v>
      </c>
      <c r="Q90" s="169">
        <f>'Earnings Model (adjusted)'!Q90-'Earnings Model'!Q90</f>
        <v>0</v>
      </c>
      <c r="R90" s="169">
        <f>'Earnings Model (adjusted)'!R90-'Earnings Model'!R90</f>
        <v>0</v>
      </c>
      <c r="S90" s="169">
        <f>'Earnings Model (adjusted)'!S90-'Earnings Model'!S90</f>
        <v>0</v>
      </c>
      <c r="T90" s="169">
        <f>'Earnings Model (adjusted)'!T90-'Earnings Model'!T90</f>
        <v>0</v>
      </c>
      <c r="U90" s="169">
        <f>'Earnings Model (adjusted)'!U90-'Earnings Model'!U90</f>
        <v>0</v>
      </c>
      <c r="V90" s="169">
        <f>'Earnings Model (adjusted)'!V90-'Earnings Model'!V90</f>
        <v>0</v>
      </c>
      <c r="W90" s="169">
        <f>'Earnings Model (adjusted)'!W90-'Earnings Model'!W90</f>
        <v>0</v>
      </c>
      <c r="X90" s="169">
        <f>'Earnings Model (adjusted)'!X90-'Earnings Model'!X90</f>
        <v>0</v>
      </c>
      <c r="Y90" s="169">
        <f>'Earnings Model (adjusted)'!Y90-'Earnings Model'!Y90</f>
        <v>0</v>
      </c>
      <c r="Z90" s="169">
        <f>'Earnings Model (adjusted)'!Z90-'Earnings Model'!Z90</f>
        <v>0</v>
      </c>
      <c r="AA90" s="169">
        <f>'Earnings Model (adjusted)'!AA90-'Earnings Model'!AA90</f>
        <v>0</v>
      </c>
      <c r="AB90" s="169">
        <f>'Earnings Model (adjusted)'!AB90-'Earnings Model'!AB90</f>
        <v>0</v>
      </c>
      <c r="AC90" s="169">
        <f>'Earnings Model (adjusted)'!AC90-'Earnings Model'!AC90</f>
        <v>0</v>
      </c>
      <c r="AD90" s="169">
        <f>'Earnings Model (adjusted)'!AD90-'Earnings Model'!AD90</f>
        <v>0</v>
      </c>
      <c r="AE90" s="169">
        <f>'Earnings Model (adjusted)'!AE90-'Earnings Model'!AE90</f>
        <v>0</v>
      </c>
      <c r="AF90" s="169">
        <f>'Earnings Model (adjusted)'!AF90-'Earnings Model'!AF90</f>
        <v>0</v>
      </c>
      <c r="AG90" s="169">
        <f>'Earnings Model (adjusted)'!AG90-'Earnings Model'!AG90</f>
        <v>0</v>
      </c>
      <c r="AH90" s="169">
        <f>'Earnings Model (adjusted)'!AH90-'Earnings Model'!AH90</f>
        <v>0</v>
      </c>
      <c r="AI90" s="169">
        <f>'Earnings Model (adjusted)'!AI90-'Earnings Model'!AI90</f>
        <v>0</v>
      </c>
      <c r="AJ90" s="169">
        <f>'Earnings Model (adjusted)'!AJ90-'Earnings Model'!AJ90</f>
        <v>0</v>
      </c>
      <c r="AK90" s="169">
        <f>'Earnings Model (adjusted)'!AK90-'Earnings Model'!AK90</f>
        <v>0</v>
      </c>
      <c r="AL90" s="169">
        <f>'Earnings Model (adjusted)'!AL90-'Earnings Model'!AL90</f>
        <v>0</v>
      </c>
      <c r="AM90" s="169">
        <f>'Earnings Model (adjusted)'!AM90-'Earnings Model'!AM90</f>
        <v>0</v>
      </c>
      <c r="AN90" s="169">
        <f>'Earnings Model (adjusted)'!AN90-'Earnings Model'!AN90</f>
        <v>0</v>
      </c>
      <c r="AO90" s="169">
        <f>'Earnings Model (adjusted)'!AO90-'Earnings Model'!AO90</f>
        <v>0</v>
      </c>
      <c r="AP90" s="169">
        <f>'Earnings Model (adjusted)'!AP90-'Earnings Model'!AP90</f>
        <v>0</v>
      </c>
      <c r="AQ90" s="169">
        <f>'Earnings Model (adjusted)'!AQ90-'Earnings Model'!AQ90</f>
        <v>0</v>
      </c>
    </row>
    <row r="91" spans="1:43" s="20" customFormat="1" outlineLevel="1" x14ac:dyDescent="0.25">
      <c r="A91" s="269"/>
      <c r="B91" s="585" t="s">
        <v>292</v>
      </c>
      <c r="C91" s="586"/>
      <c r="D91" s="171">
        <v>1278.0999999999999</v>
      </c>
      <c r="E91" s="171">
        <v>1309.4000000000001</v>
      </c>
      <c r="F91" s="259">
        <v>1352.8</v>
      </c>
      <c r="G91" s="171">
        <v>1315.9</v>
      </c>
      <c r="H91" s="239">
        <f>SUM(D91:G91)</f>
        <v>5256.2000000000007</v>
      </c>
      <c r="I91" s="171">
        <v>1309.7</v>
      </c>
      <c r="J91" s="171">
        <v>902.4</v>
      </c>
      <c r="K91" s="259">
        <v>875.5</v>
      </c>
      <c r="L91" s="171">
        <v>1298.3</v>
      </c>
      <c r="M91" s="239">
        <f>SUM(I91:L91)</f>
        <v>4385.8999999999996</v>
      </c>
      <c r="N91" s="171">
        <v>1441.7</v>
      </c>
      <c r="O91" s="171">
        <v>1384.7</v>
      </c>
      <c r="P91" s="171">
        <v>1433.3</v>
      </c>
      <c r="Q91" s="169">
        <f>'Earnings Model (adjusted)'!Q91-'Earnings Model'!Q91</f>
        <v>0</v>
      </c>
      <c r="R91" s="169">
        <f>'Earnings Model (adjusted)'!R91-'Earnings Model'!R91</f>
        <v>0</v>
      </c>
      <c r="S91" s="169">
        <f>'Earnings Model (adjusted)'!S91-'Earnings Model'!S91</f>
        <v>0</v>
      </c>
      <c r="T91" s="169">
        <f>'Earnings Model (adjusted)'!T91-'Earnings Model'!T91</f>
        <v>0</v>
      </c>
      <c r="U91" s="169">
        <f>'Earnings Model (adjusted)'!U91-'Earnings Model'!U91</f>
        <v>0</v>
      </c>
      <c r="V91" s="169">
        <f>'Earnings Model (adjusted)'!V91-'Earnings Model'!V91</f>
        <v>0</v>
      </c>
      <c r="W91" s="169">
        <f>'Earnings Model (adjusted)'!W91-'Earnings Model'!W91</f>
        <v>0</v>
      </c>
      <c r="X91" s="169">
        <f>'Earnings Model (adjusted)'!X91-'Earnings Model'!X91</f>
        <v>0</v>
      </c>
      <c r="Y91" s="169">
        <f>'Earnings Model (adjusted)'!Y91-'Earnings Model'!Y91</f>
        <v>0</v>
      </c>
      <c r="Z91" s="169">
        <f>'Earnings Model (adjusted)'!Z91-'Earnings Model'!Z91</f>
        <v>0</v>
      </c>
      <c r="AA91" s="169">
        <f>'Earnings Model (adjusted)'!AA91-'Earnings Model'!AA91</f>
        <v>0</v>
      </c>
      <c r="AB91" s="169">
        <f>'Earnings Model (adjusted)'!AB91-'Earnings Model'!AB91</f>
        <v>0</v>
      </c>
      <c r="AC91" s="169">
        <f>'Earnings Model (adjusted)'!AC91-'Earnings Model'!AC91</f>
        <v>0</v>
      </c>
      <c r="AD91" s="169">
        <f>'Earnings Model (adjusted)'!AD91-'Earnings Model'!AD91</f>
        <v>0</v>
      </c>
      <c r="AE91" s="169">
        <f>'Earnings Model (adjusted)'!AE91-'Earnings Model'!AE91</f>
        <v>0</v>
      </c>
      <c r="AF91" s="169">
        <f>'Earnings Model (adjusted)'!AF91-'Earnings Model'!AF91</f>
        <v>0</v>
      </c>
      <c r="AG91" s="169">
        <f>'Earnings Model (adjusted)'!AG91-'Earnings Model'!AG91</f>
        <v>0</v>
      </c>
      <c r="AH91" s="169">
        <f>'Earnings Model (adjusted)'!AH91-'Earnings Model'!AH91</f>
        <v>0</v>
      </c>
      <c r="AI91" s="169">
        <f>'Earnings Model (adjusted)'!AI91-'Earnings Model'!AI91</f>
        <v>0</v>
      </c>
      <c r="AJ91" s="169">
        <f>'Earnings Model (adjusted)'!AJ91-'Earnings Model'!AJ91</f>
        <v>0</v>
      </c>
      <c r="AK91" s="169">
        <f>'Earnings Model (adjusted)'!AK91-'Earnings Model'!AK91</f>
        <v>0</v>
      </c>
      <c r="AL91" s="169">
        <f>'Earnings Model (adjusted)'!AL91-'Earnings Model'!AL91</f>
        <v>0</v>
      </c>
      <c r="AM91" s="169">
        <f>'Earnings Model (adjusted)'!AM91-'Earnings Model'!AM91</f>
        <v>0</v>
      </c>
      <c r="AN91" s="169">
        <f>'Earnings Model (adjusted)'!AN91-'Earnings Model'!AN91</f>
        <v>0</v>
      </c>
      <c r="AO91" s="169">
        <f>'Earnings Model (adjusted)'!AO91-'Earnings Model'!AO91</f>
        <v>0</v>
      </c>
      <c r="AP91" s="169">
        <f>'Earnings Model (adjusted)'!AP91-'Earnings Model'!AP91</f>
        <v>0</v>
      </c>
      <c r="AQ91" s="169">
        <f>'Earnings Model (adjusted)'!AQ91-'Earnings Model'!AQ91</f>
        <v>0</v>
      </c>
    </row>
    <row r="92" spans="1:43" s="20" customFormat="1" outlineLevel="1" x14ac:dyDescent="0.25">
      <c r="A92" s="269"/>
      <c r="B92" s="193" t="s">
        <v>163</v>
      </c>
      <c r="C92" s="546"/>
      <c r="D92" s="197">
        <f t="shared" ref="D92:G92" si="62">+D91/D83</f>
        <v>0.21889022092824112</v>
      </c>
      <c r="E92" s="197">
        <f t="shared" si="62"/>
        <v>0.22272495322333732</v>
      </c>
      <c r="F92" s="286">
        <f t="shared" si="62"/>
        <v>0.23960325894438539</v>
      </c>
      <c r="G92" s="197">
        <f t="shared" si="62"/>
        <v>0.22455631399317408</v>
      </c>
      <c r="H92" s="183"/>
      <c r="I92" s="197">
        <f t="shared" ref="I92:L92" si="63">+I91/I83</f>
        <v>0.21615778181218023</v>
      </c>
      <c r="J92" s="197">
        <f t="shared" si="63"/>
        <v>0.14704252892292652</v>
      </c>
      <c r="K92" s="197">
        <f t="shared" si="63"/>
        <v>0.13999040614007036</v>
      </c>
      <c r="L92" s="197">
        <f t="shared" si="63"/>
        <v>0.19888174019607843</v>
      </c>
      <c r="M92" s="183"/>
      <c r="N92" s="197">
        <f t="shared" ref="N92:P92" si="64">+N91/N83</f>
        <v>0.21476240131088933</v>
      </c>
      <c r="O92" s="197">
        <f t="shared" si="64"/>
        <v>0.2025599765944997</v>
      </c>
      <c r="P92" s="197">
        <f t="shared" si="64"/>
        <v>0.20437758448595464</v>
      </c>
      <c r="Q92" s="169">
        <f>'Earnings Model (adjusted)'!Q92-'Earnings Model'!Q92</f>
        <v>0</v>
      </c>
      <c r="R92" s="169">
        <f>'Earnings Model (adjusted)'!R92-'Earnings Model'!R92</f>
        <v>0</v>
      </c>
      <c r="S92" s="169">
        <f>'Earnings Model (adjusted)'!S92-'Earnings Model'!S92</f>
        <v>0</v>
      </c>
      <c r="T92" s="169">
        <f>'Earnings Model (adjusted)'!T92-'Earnings Model'!T92</f>
        <v>0</v>
      </c>
      <c r="U92" s="169">
        <f>'Earnings Model (adjusted)'!U92-'Earnings Model'!U92</f>
        <v>0</v>
      </c>
      <c r="V92" s="169">
        <f>'Earnings Model (adjusted)'!V92-'Earnings Model'!V92</f>
        <v>0</v>
      </c>
      <c r="W92" s="169">
        <f>'Earnings Model (adjusted)'!W92-'Earnings Model'!W92</f>
        <v>0</v>
      </c>
      <c r="X92" s="169">
        <f>'Earnings Model (adjusted)'!X92-'Earnings Model'!X92</f>
        <v>0</v>
      </c>
      <c r="Y92" s="169">
        <f>'Earnings Model (adjusted)'!Y92-'Earnings Model'!Y92</f>
        <v>0</v>
      </c>
      <c r="Z92" s="169">
        <f>'Earnings Model (adjusted)'!Z92-'Earnings Model'!Z92</f>
        <v>0</v>
      </c>
      <c r="AA92" s="169">
        <f>'Earnings Model (adjusted)'!AA92-'Earnings Model'!AA92</f>
        <v>0</v>
      </c>
      <c r="AB92" s="169">
        <f>'Earnings Model (adjusted)'!AB92-'Earnings Model'!AB92</f>
        <v>0</v>
      </c>
      <c r="AC92" s="169">
        <f>'Earnings Model (adjusted)'!AC92-'Earnings Model'!AC92</f>
        <v>0</v>
      </c>
      <c r="AD92" s="169">
        <f>'Earnings Model (adjusted)'!AD92-'Earnings Model'!AD92</f>
        <v>0</v>
      </c>
      <c r="AE92" s="169">
        <f>'Earnings Model (adjusted)'!AE92-'Earnings Model'!AE92</f>
        <v>0</v>
      </c>
      <c r="AF92" s="169">
        <f>'Earnings Model (adjusted)'!AF92-'Earnings Model'!AF92</f>
        <v>0</v>
      </c>
      <c r="AG92" s="169">
        <f>'Earnings Model (adjusted)'!AG92-'Earnings Model'!AG92</f>
        <v>0</v>
      </c>
      <c r="AH92" s="169">
        <f>'Earnings Model (adjusted)'!AH92-'Earnings Model'!AH92</f>
        <v>0</v>
      </c>
      <c r="AI92" s="169">
        <f>'Earnings Model (adjusted)'!AI92-'Earnings Model'!AI92</f>
        <v>0</v>
      </c>
      <c r="AJ92" s="169">
        <f>'Earnings Model (adjusted)'!AJ92-'Earnings Model'!AJ92</f>
        <v>0</v>
      </c>
      <c r="AK92" s="169">
        <f>'Earnings Model (adjusted)'!AK92-'Earnings Model'!AK92</f>
        <v>0</v>
      </c>
      <c r="AL92" s="169">
        <f>'Earnings Model (adjusted)'!AL92-'Earnings Model'!AL92</f>
        <v>0</v>
      </c>
      <c r="AM92" s="169">
        <f>'Earnings Model (adjusted)'!AM92-'Earnings Model'!AM92</f>
        <v>0</v>
      </c>
      <c r="AN92" s="169">
        <f>'Earnings Model (adjusted)'!AN92-'Earnings Model'!AN92</f>
        <v>0</v>
      </c>
      <c r="AO92" s="169">
        <f>'Earnings Model (adjusted)'!AO92-'Earnings Model'!AO92</f>
        <v>0</v>
      </c>
      <c r="AP92" s="169">
        <f>'Earnings Model (adjusted)'!AP92-'Earnings Model'!AP92</f>
        <v>0</v>
      </c>
      <c r="AQ92" s="169">
        <f>'Earnings Model (adjusted)'!AQ92-'Earnings Model'!AQ92</f>
        <v>0</v>
      </c>
    </row>
    <row r="93" spans="1:43" s="186" customFormat="1" outlineLevel="1" x14ac:dyDescent="0.25">
      <c r="A93" s="272"/>
      <c r="B93" s="193" t="s">
        <v>161</v>
      </c>
      <c r="C93" s="194"/>
      <c r="D93" s="189">
        <f>ROUND((+D91-D90-(D85*D86)),0)</f>
        <v>0</v>
      </c>
      <c r="E93" s="195">
        <f>ROUND((+E91-E90-(E85*E86)),0)</f>
        <v>0</v>
      </c>
      <c r="F93" s="275">
        <f>ROUND((+F91-F90-(F85*F86)),0)</f>
        <v>0</v>
      </c>
      <c r="G93" s="195">
        <f>ROUND((+G91-G90-(G85*G86)),0)</f>
        <v>0</v>
      </c>
      <c r="H93" s="196"/>
      <c r="I93" s="195">
        <f>ROUND((+I91-I90-(I85*I86)),0)</f>
        <v>0</v>
      </c>
      <c r="J93" s="195">
        <f>ROUND((+J91-J90-(J85*J86)),0)</f>
        <v>0</v>
      </c>
      <c r="K93" s="195">
        <f>ROUND((+K91-K90-(K85*K86)),0)</f>
        <v>0</v>
      </c>
      <c r="L93" s="195">
        <f>ROUND((+L91-L90-(L85*L86)),0)</f>
        <v>0</v>
      </c>
      <c r="M93" s="196"/>
      <c r="N93" s="195">
        <f>ROUND((+N91-N90-(N85*N86)),0)</f>
        <v>0</v>
      </c>
      <c r="O93" s="195">
        <f>ROUND((+O91-O90-(O85*O86)),0)</f>
        <v>0</v>
      </c>
      <c r="P93" s="195">
        <f>ROUND((+P91-P90-(P85*P86)),0)</f>
        <v>0</v>
      </c>
      <c r="Q93" s="169">
        <f>'Earnings Model (adjusted)'!Q93-'Earnings Model'!Q93</f>
        <v>0</v>
      </c>
      <c r="R93" s="169">
        <f>'Earnings Model (adjusted)'!R93-'Earnings Model'!R93</f>
        <v>0</v>
      </c>
      <c r="S93" s="169">
        <f>'Earnings Model (adjusted)'!S93-'Earnings Model'!S93</f>
        <v>0</v>
      </c>
      <c r="T93" s="169">
        <f>'Earnings Model (adjusted)'!T93-'Earnings Model'!T93</f>
        <v>0</v>
      </c>
      <c r="U93" s="169">
        <f>'Earnings Model (adjusted)'!U93-'Earnings Model'!U93</f>
        <v>0</v>
      </c>
      <c r="V93" s="169">
        <f>'Earnings Model (adjusted)'!V93-'Earnings Model'!V93</f>
        <v>0</v>
      </c>
      <c r="W93" s="169">
        <f>'Earnings Model (adjusted)'!W93-'Earnings Model'!W93</f>
        <v>0</v>
      </c>
      <c r="X93" s="169">
        <f>'Earnings Model (adjusted)'!X93-'Earnings Model'!X93</f>
        <v>0</v>
      </c>
      <c r="Y93" s="169">
        <f>'Earnings Model (adjusted)'!Y93-'Earnings Model'!Y93</f>
        <v>0</v>
      </c>
      <c r="Z93" s="169">
        <f>'Earnings Model (adjusted)'!Z93-'Earnings Model'!Z93</f>
        <v>0</v>
      </c>
      <c r="AA93" s="169">
        <f>'Earnings Model (adjusted)'!AA93-'Earnings Model'!AA93</f>
        <v>0</v>
      </c>
      <c r="AB93" s="169">
        <f>'Earnings Model (adjusted)'!AB93-'Earnings Model'!AB93</f>
        <v>0</v>
      </c>
      <c r="AC93" s="169">
        <f>'Earnings Model (adjusted)'!AC93-'Earnings Model'!AC93</f>
        <v>0</v>
      </c>
      <c r="AD93" s="169">
        <f>'Earnings Model (adjusted)'!AD93-'Earnings Model'!AD93</f>
        <v>0</v>
      </c>
      <c r="AE93" s="169">
        <f>'Earnings Model (adjusted)'!AE93-'Earnings Model'!AE93</f>
        <v>0</v>
      </c>
      <c r="AF93" s="169">
        <f>'Earnings Model (adjusted)'!AF93-'Earnings Model'!AF93</f>
        <v>0</v>
      </c>
      <c r="AG93" s="169">
        <f>'Earnings Model (adjusted)'!AG93-'Earnings Model'!AG93</f>
        <v>0</v>
      </c>
      <c r="AH93" s="169">
        <f>'Earnings Model (adjusted)'!AH93-'Earnings Model'!AH93</f>
        <v>0</v>
      </c>
      <c r="AI93" s="169">
        <f>'Earnings Model (adjusted)'!AI93-'Earnings Model'!AI93</f>
        <v>0</v>
      </c>
      <c r="AJ93" s="169">
        <f>'Earnings Model (adjusted)'!AJ93-'Earnings Model'!AJ93</f>
        <v>0</v>
      </c>
      <c r="AK93" s="169">
        <f>'Earnings Model (adjusted)'!AK93-'Earnings Model'!AK93</f>
        <v>0</v>
      </c>
      <c r="AL93" s="169">
        <f>'Earnings Model (adjusted)'!AL93-'Earnings Model'!AL93</f>
        <v>0</v>
      </c>
      <c r="AM93" s="169">
        <f>'Earnings Model (adjusted)'!AM93-'Earnings Model'!AM93</f>
        <v>0</v>
      </c>
      <c r="AN93" s="169">
        <f>'Earnings Model (adjusted)'!AN93-'Earnings Model'!AN93</f>
        <v>0</v>
      </c>
      <c r="AO93" s="169">
        <f>'Earnings Model (adjusted)'!AO93-'Earnings Model'!AO93</f>
        <v>0</v>
      </c>
      <c r="AP93" s="169">
        <f>'Earnings Model (adjusted)'!AP93-'Earnings Model'!AP93</f>
        <v>0</v>
      </c>
      <c r="AQ93" s="169">
        <f>'Earnings Model (adjusted)'!AQ93-'Earnings Model'!AQ93</f>
        <v>0</v>
      </c>
    </row>
    <row r="94" spans="1:43" s="20" customFormat="1" outlineLevel="1" x14ac:dyDescent="0.25">
      <c r="A94" s="269"/>
      <c r="B94" s="597" t="s">
        <v>293</v>
      </c>
      <c r="C94" s="598"/>
      <c r="D94" s="284">
        <v>6373</v>
      </c>
      <c r="E94" s="284">
        <v>6586</v>
      </c>
      <c r="F94" s="284">
        <v>7127</v>
      </c>
      <c r="G94" s="284">
        <v>7329</v>
      </c>
      <c r="H94" s="480">
        <f>G94</f>
        <v>7329</v>
      </c>
      <c r="I94" s="284">
        <v>7533</v>
      </c>
      <c r="J94" s="284">
        <v>7642</v>
      </c>
      <c r="K94" s="284">
        <v>7691</v>
      </c>
      <c r="L94" s="284">
        <v>7778</v>
      </c>
      <c r="M94" s="480">
        <f>L94</f>
        <v>7778</v>
      </c>
      <c r="N94" s="284">
        <v>7917</v>
      </c>
      <c r="O94" s="198">
        <f>+N94+O95</f>
        <v>7987</v>
      </c>
      <c r="P94" s="198">
        <f t="shared" ref="P94" si="65">+O94+P95</f>
        <v>8107</v>
      </c>
      <c r="Q94" s="169">
        <f>'Earnings Model (adjusted)'!Q94-'Earnings Model'!Q94</f>
        <v>0</v>
      </c>
      <c r="R94" s="169">
        <f>'Earnings Model (adjusted)'!R94-'Earnings Model'!R94</f>
        <v>0</v>
      </c>
      <c r="S94" s="169">
        <f>'Earnings Model (adjusted)'!S94-'Earnings Model'!S94</f>
        <v>0</v>
      </c>
      <c r="T94" s="169">
        <f>'Earnings Model (adjusted)'!T94-'Earnings Model'!T94</f>
        <v>0</v>
      </c>
      <c r="U94" s="169">
        <f>'Earnings Model (adjusted)'!U94-'Earnings Model'!U94</f>
        <v>0</v>
      </c>
      <c r="V94" s="169">
        <f>'Earnings Model (adjusted)'!V94-'Earnings Model'!V94</f>
        <v>0</v>
      </c>
      <c r="W94" s="169">
        <f>'Earnings Model (adjusted)'!W94-'Earnings Model'!W94</f>
        <v>0</v>
      </c>
      <c r="X94" s="169">
        <f>'Earnings Model (adjusted)'!X94-'Earnings Model'!X94</f>
        <v>0</v>
      </c>
      <c r="Y94" s="169">
        <f>'Earnings Model (adjusted)'!Y94-'Earnings Model'!Y94</f>
        <v>0</v>
      </c>
      <c r="Z94" s="169">
        <f>'Earnings Model (adjusted)'!Z94-'Earnings Model'!Z94</f>
        <v>0</v>
      </c>
      <c r="AA94" s="169">
        <f>'Earnings Model (adjusted)'!AA94-'Earnings Model'!AA94</f>
        <v>0</v>
      </c>
      <c r="AB94" s="169">
        <f>'Earnings Model (adjusted)'!AB94-'Earnings Model'!AB94</f>
        <v>0</v>
      </c>
      <c r="AC94" s="169">
        <f>'Earnings Model (adjusted)'!AC94-'Earnings Model'!AC94</f>
        <v>0</v>
      </c>
      <c r="AD94" s="169">
        <f>'Earnings Model (adjusted)'!AD94-'Earnings Model'!AD94</f>
        <v>0</v>
      </c>
      <c r="AE94" s="169">
        <f>'Earnings Model (adjusted)'!AE94-'Earnings Model'!AE94</f>
        <v>0</v>
      </c>
      <c r="AF94" s="169">
        <f>'Earnings Model (adjusted)'!AF94-'Earnings Model'!AF94</f>
        <v>0</v>
      </c>
      <c r="AG94" s="169">
        <f>'Earnings Model (adjusted)'!AG94-'Earnings Model'!AG94</f>
        <v>0</v>
      </c>
      <c r="AH94" s="169">
        <f>'Earnings Model (adjusted)'!AH94-'Earnings Model'!AH94</f>
        <v>0</v>
      </c>
      <c r="AI94" s="169">
        <f>'Earnings Model (adjusted)'!AI94-'Earnings Model'!AI94</f>
        <v>0</v>
      </c>
      <c r="AJ94" s="169">
        <f>'Earnings Model (adjusted)'!AJ94-'Earnings Model'!AJ94</f>
        <v>0</v>
      </c>
      <c r="AK94" s="169">
        <f>'Earnings Model (adjusted)'!AK94-'Earnings Model'!AK94</f>
        <v>0</v>
      </c>
      <c r="AL94" s="169">
        <f>'Earnings Model (adjusted)'!AL94-'Earnings Model'!AL94</f>
        <v>0</v>
      </c>
      <c r="AM94" s="169">
        <f>'Earnings Model (adjusted)'!AM94-'Earnings Model'!AM94</f>
        <v>0</v>
      </c>
      <c r="AN94" s="169">
        <f>'Earnings Model (adjusted)'!AN94-'Earnings Model'!AN94</f>
        <v>0</v>
      </c>
      <c r="AO94" s="169">
        <f>'Earnings Model (adjusted)'!AO94-'Earnings Model'!AO94</f>
        <v>0</v>
      </c>
      <c r="AP94" s="169">
        <f>'Earnings Model (adjusted)'!AP94-'Earnings Model'!AP94</f>
        <v>0</v>
      </c>
      <c r="AQ94" s="169">
        <f>'Earnings Model (adjusted)'!AQ94-'Earnings Model'!AQ94</f>
        <v>0</v>
      </c>
    </row>
    <row r="95" spans="1:43" outlineLevel="1" x14ac:dyDescent="0.25">
      <c r="A95" s="254"/>
      <c r="B95" s="466" t="s">
        <v>162</v>
      </c>
      <c r="C95" s="556"/>
      <c r="D95" s="256">
        <f>+D94-6201</f>
        <v>172</v>
      </c>
      <c r="E95" s="256">
        <f>+E94-D94</f>
        <v>213</v>
      </c>
      <c r="F95" s="256">
        <f t="shared" ref="F95:G95" si="66">+F94-E94</f>
        <v>541</v>
      </c>
      <c r="G95" s="256">
        <f t="shared" si="66"/>
        <v>202</v>
      </c>
      <c r="H95" s="291">
        <f>+SUM(D95:G95)</f>
        <v>1128</v>
      </c>
      <c r="I95" s="256">
        <f>+I94-G94</f>
        <v>204</v>
      </c>
      <c r="J95" s="256">
        <f t="shared" ref="J95:L95" si="67">+J94-I94</f>
        <v>109</v>
      </c>
      <c r="K95" s="256">
        <f t="shared" si="67"/>
        <v>49</v>
      </c>
      <c r="L95" s="256">
        <f t="shared" si="67"/>
        <v>87</v>
      </c>
      <c r="M95" s="291">
        <f>+SUM(I95:L95)</f>
        <v>449</v>
      </c>
      <c r="N95" s="256">
        <v>139</v>
      </c>
      <c r="O95" s="256">
        <v>70</v>
      </c>
      <c r="P95" s="256">
        <v>120</v>
      </c>
      <c r="Q95" s="169">
        <f>'Earnings Model (adjusted)'!Q95-'Earnings Model'!Q95</f>
        <v>0</v>
      </c>
      <c r="R95" s="169">
        <f>'Earnings Model (adjusted)'!R95-'Earnings Model'!R95</f>
        <v>0</v>
      </c>
      <c r="S95" s="169">
        <f>'Earnings Model (adjusted)'!S95-'Earnings Model'!S95</f>
        <v>0</v>
      </c>
      <c r="T95" s="169">
        <f>'Earnings Model (adjusted)'!T95-'Earnings Model'!T95</f>
        <v>0</v>
      </c>
      <c r="U95" s="169">
        <f>'Earnings Model (adjusted)'!U95-'Earnings Model'!U95</f>
        <v>0</v>
      </c>
      <c r="V95" s="169">
        <f>'Earnings Model (adjusted)'!V95-'Earnings Model'!V95</f>
        <v>0</v>
      </c>
      <c r="W95" s="169">
        <f>'Earnings Model (adjusted)'!W95-'Earnings Model'!W95</f>
        <v>0</v>
      </c>
      <c r="X95" s="169">
        <f>'Earnings Model (adjusted)'!X95-'Earnings Model'!X95</f>
        <v>0</v>
      </c>
      <c r="Y95" s="169">
        <f>'Earnings Model (adjusted)'!Y95-'Earnings Model'!Y95</f>
        <v>0</v>
      </c>
      <c r="Z95" s="169">
        <f>'Earnings Model (adjusted)'!Z95-'Earnings Model'!Z95</f>
        <v>0</v>
      </c>
      <c r="AA95" s="169">
        <f>'Earnings Model (adjusted)'!AA95-'Earnings Model'!AA95</f>
        <v>0</v>
      </c>
      <c r="AB95" s="169">
        <f>'Earnings Model (adjusted)'!AB95-'Earnings Model'!AB95</f>
        <v>0</v>
      </c>
      <c r="AC95" s="169">
        <f>'Earnings Model (adjusted)'!AC95-'Earnings Model'!AC95</f>
        <v>0</v>
      </c>
      <c r="AD95" s="169">
        <f>'Earnings Model (adjusted)'!AD95-'Earnings Model'!AD95</f>
        <v>0</v>
      </c>
      <c r="AE95" s="169">
        <f>'Earnings Model (adjusted)'!AE95-'Earnings Model'!AE95</f>
        <v>0</v>
      </c>
      <c r="AF95" s="169">
        <f>'Earnings Model (adjusted)'!AF95-'Earnings Model'!AF95</f>
        <v>0</v>
      </c>
      <c r="AG95" s="169">
        <f>'Earnings Model (adjusted)'!AG95-'Earnings Model'!AG95</f>
        <v>0</v>
      </c>
      <c r="AH95" s="169">
        <f>'Earnings Model (adjusted)'!AH95-'Earnings Model'!AH95</f>
        <v>0</v>
      </c>
      <c r="AI95" s="169">
        <f>'Earnings Model (adjusted)'!AI95-'Earnings Model'!AI95</f>
        <v>0</v>
      </c>
      <c r="AJ95" s="169">
        <f>'Earnings Model (adjusted)'!AJ95-'Earnings Model'!AJ95</f>
        <v>0</v>
      </c>
      <c r="AK95" s="169">
        <f>'Earnings Model (adjusted)'!AK95-'Earnings Model'!AK95</f>
        <v>0</v>
      </c>
      <c r="AL95" s="169">
        <f>'Earnings Model (adjusted)'!AL95-'Earnings Model'!AL95</f>
        <v>0</v>
      </c>
      <c r="AM95" s="169">
        <f>'Earnings Model (adjusted)'!AM95-'Earnings Model'!AM95</f>
        <v>0</v>
      </c>
      <c r="AN95" s="169">
        <f>'Earnings Model (adjusted)'!AN95-'Earnings Model'!AN95</f>
        <v>0</v>
      </c>
      <c r="AO95" s="169">
        <f>'Earnings Model (adjusted)'!AO95-'Earnings Model'!AO95</f>
        <v>0</v>
      </c>
      <c r="AP95" s="169">
        <f>'Earnings Model (adjusted)'!AP95-'Earnings Model'!AP95</f>
        <v>0</v>
      </c>
      <c r="AQ95" s="169">
        <f>'Earnings Model (adjusted)'!AQ95-'Earnings Model'!AQ95</f>
        <v>0</v>
      </c>
    </row>
    <row r="96" spans="1:43" outlineLevel="1" x14ac:dyDescent="0.25">
      <c r="A96" s="254"/>
      <c r="B96" s="550" t="s">
        <v>165</v>
      </c>
      <c r="C96" s="540"/>
      <c r="D96" s="34">
        <f>AVERAGE(D94,6201)</f>
        <v>6287</v>
      </c>
      <c r="E96" s="34">
        <f>AVERAGE(E94,D94)</f>
        <v>6479.5</v>
      </c>
      <c r="F96" s="34">
        <f t="shared" ref="F96:G96" si="68">AVERAGE(F94,E94)</f>
        <v>6856.5</v>
      </c>
      <c r="G96" s="34">
        <f t="shared" si="68"/>
        <v>7228</v>
      </c>
      <c r="H96" s="50"/>
      <c r="I96" s="34">
        <f>AVERAGE(I94,G94)</f>
        <v>7431</v>
      </c>
      <c r="J96" s="34">
        <f>AVERAGE(J94,I94)</f>
        <v>7587.5</v>
      </c>
      <c r="K96" s="34">
        <f t="shared" ref="K96:L96" si="69">AVERAGE(K94,J94)</f>
        <v>7666.5</v>
      </c>
      <c r="L96" s="34">
        <f t="shared" si="69"/>
        <v>7734.5</v>
      </c>
      <c r="M96" s="18"/>
      <c r="N96" s="34">
        <f>AVERAGE(N94,L94)</f>
        <v>7847.5</v>
      </c>
      <c r="O96" s="34">
        <f>AVERAGE(O94,N94)</f>
        <v>7952</v>
      </c>
      <c r="P96" s="34">
        <f t="shared" ref="P96" si="70">AVERAGE(P94,O94)</f>
        <v>8047</v>
      </c>
      <c r="Q96" s="169">
        <f>'Earnings Model (adjusted)'!Q96-'Earnings Model'!Q96</f>
        <v>0</v>
      </c>
      <c r="R96" s="169">
        <f>'Earnings Model (adjusted)'!R96-'Earnings Model'!R96</f>
        <v>0</v>
      </c>
      <c r="S96" s="169">
        <f>'Earnings Model (adjusted)'!S96-'Earnings Model'!S96</f>
        <v>0</v>
      </c>
      <c r="T96" s="169">
        <f>'Earnings Model (adjusted)'!T96-'Earnings Model'!T96</f>
        <v>0</v>
      </c>
      <c r="U96" s="169">
        <f>'Earnings Model (adjusted)'!U96-'Earnings Model'!U96</f>
        <v>0</v>
      </c>
      <c r="V96" s="169">
        <f>'Earnings Model (adjusted)'!V96-'Earnings Model'!V96</f>
        <v>0</v>
      </c>
      <c r="W96" s="169">
        <f>'Earnings Model (adjusted)'!W96-'Earnings Model'!W96</f>
        <v>0</v>
      </c>
      <c r="X96" s="169">
        <f>'Earnings Model (adjusted)'!X96-'Earnings Model'!X96</f>
        <v>0</v>
      </c>
      <c r="Y96" s="169">
        <f>'Earnings Model (adjusted)'!Y96-'Earnings Model'!Y96</f>
        <v>0</v>
      </c>
      <c r="Z96" s="169">
        <f>'Earnings Model (adjusted)'!Z96-'Earnings Model'!Z96</f>
        <v>0</v>
      </c>
      <c r="AA96" s="169">
        <f>'Earnings Model (adjusted)'!AA96-'Earnings Model'!AA96</f>
        <v>0</v>
      </c>
      <c r="AB96" s="169">
        <f>'Earnings Model (adjusted)'!AB96-'Earnings Model'!AB96</f>
        <v>0</v>
      </c>
      <c r="AC96" s="169">
        <f>'Earnings Model (adjusted)'!AC96-'Earnings Model'!AC96</f>
        <v>0</v>
      </c>
      <c r="AD96" s="169">
        <f>'Earnings Model (adjusted)'!AD96-'Earnings Model'!AD96</f>
        <v>0</v>
      </c>
      <c r="AE96" s="169">
        <f>'Earnings Model (adjusted)'!AE96-'Earnings Model'!AE96</f>
        <v>0</v>
      </c>
      <c r="AF96" s="169">
        <f>'Earnings Model (adjusted)'!AF96-'Earnings Model'!AF96</f>
        <v>0</v>
      </c>
      <c r="AG96" s="169">
        <f>'Earnings Model (adjusted)'!AG96-'Earnings Model'!AG96</f>
        <v>0</v>
      </c>
      <c r="AH96" s="169">
        <f>'Earnings Model (adjusted)'!AH96-'Earnings Model'!AH96</f>
        <v>0</v>
      </c>
      <c r="AI96" s="169">
        <f>'Earnings Model (adjusted)'!AI96-'Earnings Model'!AI96</f>
        <v>0</v>
      </c>
      <c r="AJ96" s="169">
        <f>'Earnings Model (adjusted)'!AJ96-'Earnings Model'!AJ96</f>
        <v>0</v>
      </c>
      <c r="AK96" s="169">
        <f>'Earnings Model (adjusted)'!AK96-'Earnings Model'!AK96</f>
        <v>0</v>
      </c>
      <c r="AL96" s="169">
        <f>'Earnings Model (adjusted)'!AL96-'Earnings Model'!AL96</f>
        <v>0</v>
      </c>
      <c r="AM96" s="169">
        <f>'Earnings Model (adjusted)'!AM96-'Earnings Model'!AM96</f>
        <v>0</v>
      </c>
      <c r="AN96" s="169">
        <f>'Earnings Model (adjusted)'!AN96-'Earnings Model'!AN96</f>
        <v>0</v>
      </c>
      <c r="AO96" s="169">
        <f>'Earnings Model (adjusted)'!AO96-'Earnings Model'!AO96</f>
        <v>0</v>
      </c>
      <c r="AP96" s="169">
        <f>'Earnings Model (adjusted)'!AP96-'Earnings Model'!AP96</f>
        <v>0</v>
      </c>
      <c r="AQ96" s="169">
        <f>'Earnings Model (adjusted)'!AQ96-'Earnings Model'!AQ96</f>
        <v>0</v>
      </c>
    </row>
    <row r="97" spans="1:43" outlineLevel="1" x14ac:dyDescent="0.25">
      <c r="A97" s="254"/>
      <c r="B97" s="550" t="s">
        <v>164</v>
      </c>
      <c r="C97" s="540"/>
      <c r="D97" s="107">
        <f>+D98/D96</f>
        <v>3.5390488309209482E-2</v>
      </c>
      <c r="E97" s="278">
        <f>+E98/E96</f>
        <v>3.3197005941816495E-2</v>
      </c>
      <c r="F97" s="278">
        <f>+F98/F96</f>
        <v>3.335521038430686E-2</v>
      </c>
      <c r="G97" s="278">
        <f>+G98/G96</f>
        <v>3.468456004427227E-2</v>
      </c>
      <c r="H97" s="50"/>
      <c r="I97" s="278">
        <f t="shared" ref="I97:P97" si="71">+I98/I96</f>
        <v>3.4275333064190554E-2</v>
      </c>
      <c r="J97" s="278">
        <f t="shared" si="71"/>
        <v>2.97331136738056E-2</v>
      </c>
      <c r="K97" s="278">
        <f t="shared" si="71"/>
        <v>8.4784451835909474E-3</v>
      </c>
      <c r="L97" s="278">
        <f t="shared" si="71"/>
        <v>2.4397181459693579E-2</v>
      </c>
      <c r="M97" s="18"/>
      <c r="N97" s="278">
        <f t="shared" si="71"/>
        <v>2.5179993628544121E-2</v>
      </c>
      <c r="O97" s="278">
        <f t="shared" si="71"/>
        <v>2.5251509054325959E-2</v>
      </c>
      <c r="P97" s="278">
        <f t="shared" si="71"/>
        <v>2.6307940847520812E-2</v>
      </c>
      <c r="Q97" s="169">
        <f>'Earnings Model (adjusted)'!Q97-'Earnings Model'!Q97</f>
        <v>0</v>
      </c>
      <c r="R97" s="169">
        <f>'Earnings Model (adjusted)'!R97-'Earnings Model'!R97</f>
        <v>0</v>
      </c>
      <c r="S97" s="169">
        <f>'Earnings Model (adjusted)'!S97-'Earnings Model'!S97</f>
        <v>0</v>
      </c>
      <c r="T97" s="169">
        <f>'Earnings Model (adjusted)'!T97-'Earnings Model'!T97</f>
        <v>0</v>
      </c>
      <c r="U97" s="169">
        <f>'Earnings Model (adjusted)'!U97-'Earnings Model'!U97</f>
        <v>0</v>
      </c>
      <c r="V97" s="169">
        <f>'Earnings Model (adjusted)'!V97-'Earnings Model'!V97</f>
        <v>0</v>
      </c>
      <c r="W97" s="169">
        <f>'Earnings Model (adjusted)'!W97-'Earnings Model'!W97</f>
        <v>0</v>
      </c>
      <c r="X97" s="169">
        <f>'Earnings Model (adjusted)'!X97-'Earnings Model'!X97</f>
        <v>0</v>
      </c>
      <c r="Y97" s="169">
        <f>'Earnings Model (adjusted)'!Y97-'Earnings Model'!Y97</f>
        <v>0</v>
      </c>
      <c r="Z97" s="169">
        <f>'Earnings Model (adjusted)'!Z97-'Earnings Model'!Z97</f>
        <v>0</v>
      </c>
      <c r="AA97" s="169">
        <f>'Earnings Model (adjusted)'!AA97-'Earnings Model'!AA97</f>
        <v>0</v>
      </c>
      <c r="AB97" s="169">
        <f>'Earnings Model (adjusted)'!AB97-'Earnings Model'!AB97</f>
        <v>0</v>
      </c>
      <c r="AC97" s="169">
        <f>'Earnings Model (adjusted)'!AC97-'Earnings Model'!AC97</f>
        <v>0</v>
      </c>
      <c r="AD97" s="169">
        <f>'Earnings Model (adjusted)'!AD97-'Earnings Model'!AD97</f>
        <v>0</v>
      </c>
      <c r="AE97" s="169">
        <f>'Earnings Model (adjusted)'!AE97-'Earnings Model'!AE97</f>
        <v>0</v>
      </c>
      <c r="AF97" s="169">
        <f>'Earnings Model (adjusted)'!AF97-'Earnings Model'!AF97</f>
        <v>0</v>
      </c>
      <c r="AG97" s="169">
        <f>'Earnings Model (adjusted)'!AG97-'Earnings Model'!AG97</f>
        <v>0</v>
      </c>
      <c r="AH97" s="169">
        <f>'Earnings Model (adjusted)'!AH97-'Earnings Model'!AH97</f>
        <v>0</v>
      </c>
      <c r="AI97" s="169">
        <f>'Earnings Model (adjusted)'!AI97-'Earnings Model'!AI97</f>
        <v>0</v>
      </c>
      <c r="AJ97" s="169">
        <f>'Earnings Model (adjusted)'!AJ97-'Earnings Model'!AJ97</f>
        <v>0</v>
      </c>
      <c r="AK97" s="169">
        <f>'Earnings Model (adjusted)'!AK97-'Earnings Model'!AK97</f>
        <v>0</v>
      </c>
      <c r="AL97" s="169">
        <f>'Earnings Model (adjusted)'!AL97-'Earnings Model'!AL97</f>
        <v>0</v>
      </c>
      <c r="AM97" s="169">
        <f>'Earnings Model (adjusted)'!AM97-'Earnings Model'!AM97</f>
        <v>0</v>
      </c>
      <c r="AN97" s="169">
        <f>'Earnings Model (adjusted)'!AN97-'Earnings Model'!AN97</f>
        <v>0</v>
      </c>
      <c r="AO97" s="169">
        <f>'Earnings Model (adjusted)'!AO97-'Earnings Model'!AO97</f>
        <v>0</v>
      </c>
      <c r="AP97" s="169">
        <f>'Earnings Model (adjusted)'!AP97-'Earnings Model'!AP97</f>
        <v>0</v>
      </c>
      <c r="AQ97" s="169">
        <f>'Earnings Model (adjusted)'!AQ97-'Earnings Model'!AQ97</f>
        <v>0</v>
      </c>
    </row>
    <row r="98" spans="1:43" s="20" customFormat="1" outlineLevel="1" x14ac:dyDescent="0.25">
      <c r="A98" s="269"/>
      <c r="B98" s="599" t="s">
        <v>294</v>
      </c>
      <c r="C98" s="600"/>
      <c r="D98" s="279">
        <v>222.5</v>
      </c>
      <c r="E98" s="279">
        <v>215.1</v>
      </c>
      <c r="F98" s="279">
        <v>228.7</v>
      </c>
      <c r="G98" s="279">
        <v>250.7</v>
      </c>
      <c r="H98" s="204">
        <f>SUM(D98:G98)</f>
        <v>917</v>
      </c>
      <c r="I98" s="279">
        <v>254.7</v>
      </c>
      <c r="J98" s="279">
        <v>225.6</v>
      </c>
      <c r="K98" s="279">
        <v>65</v>
      </c>
      <c r="L98" s="203">
        <v>188.7</v>
      </c>
      <c r="M98" s="204">
        <f>SUM(I98:L98)</f>
        <v>734</v>
      </c>
      <c r="N98" s="203">
        <v>197.6</v>
      </c>
      <c r="O98" s="203">
        <v>200.8</v>
      </c>
      <c r="P98" s="203">
        <v>211.7</v>
      </c>
      <c r="Q98" s="169">
        <f>'Earnings Model (adjusted)'!Q98-'Earnings Model'!Q98</f>
        <v>0</v>
      </c>
      <c r="R98" s="169">
        <f>'Earnings Model (adjusted)'!R98-'Earnings Model'!R98</f>
        <v>0</v>
      </c>
      <c r="S98" s="169">
        <f>'Earnings Model (adjusted)'!S98-'Earnings Model'!S98</f>
        <v>0</v>
      </c>
      <c r="T98" s="169">
        <f>'Earnings Model (adjusted)'!T98-'Earnings Model'!T98</f>
        <v>0</v>
      </c>
      <c r="U98" s="169">
        <f>'Earnings Model (adjusted)'!U98-'Earnings Model'!U98</f>
        <v>0</v>
      </c>
      <c r="V98" s="169">
        <f>'Earnings Model (adjusted)'!V98-'Earnings Model'!V98</f>
        <v>0</v>
      </c>
      <c r="W98" s="169">
        <f>'Earnings Model (adjusted)'!W98-'Earnings Model'!W98</f>
        <v>0</v>
      </c>
      <c r="X98" s="169">
        <f>'Earnings Model (adjusted)'!X98-'Earnings Model'!X98</f>
        <v>0</v>
      </c>
      <c r="Y98" s="169">
        <f>'Earnings Model (adjusted)'!Y98-'Earnings Model'!Y98</f>
        <v>0</v>
      </c>
      <c r="Z98" s="169">
        <f>'Earnings Model (adjusted)'!Z98-'Earnings Model'!Z98</f>
        <v>0</v>
      </c>
      <c r="AA98" s="169">
        <f>'Earnings Model (adjusted)'!AA98-'Earnings Model'!AA98</f>
        <v>0</v>
      </c>
      <c r="AB98" s="169">
        <f>'Earnings Model (adjusted)'!AB98-'Earnings Model'!AB98</f>
        <v>0</v>
      </c>
      <c r="AC98" s="169">
        <f>'Earnings Model (adjusted)'!AC98-'Earnings Model'!AC98</f>
        <v>0</v>
      </c>
      <c r="AD98" s="169">
        <f>'Earnings Model (adjusted)'!AD98-'Earnings Model'!AD98</f>
        <v>0</v>
      </c>
      <c r="AE98" s="169">
        <f>'Earnings Model (adjusted)'!AE98-'Earnings Model'!AE98</f>
        <v>0</v>
      </c>
      <c r="AF98" s="169">
        <f>'Earnings Model (adjusted)'!AF98-'Earnings Model'!AF98</f>
        <v>0</v>
      </c>
      <c r="AG98" s="169">
        <f>'Earnings Model (adjusted)'!AG98-'Earnings Model'!AG98</f>
        <v>0</v>
      </c>
      <c r="AH98" s="169">
        <f>'Earnings Model (adjusted)'!AH98-'Earnings Model'!AH98</f>
        <v>0</v>
      </c>
      <c r="AI98" s="169">
        <f>'Earnings Model (adjusted)'!AI98-'Earnings Model'!AI98</f>
        <v>0</v>
      </c>
      <c r="AJ98" s="169">
        <f>'Earnings Model (adjusted)'!AJ98-'Earnings Model'!AJ98</f>
        <v>0</v>
      </c>
      <c r="AK98" s="169">
        <f>'Earnings Model (adjusted)'!AK98-'Earnings Model'!AK98</f>
        <v>0</v>
      </c>
      <c r="AL98" s="169">
        <f>'Earnings Model (adjusted)'!AL98-'Earnings Model'!AL98</f>
        <v>0</v>
      </c>
      <c r="AM98" s="169">
        <f>'Earnings Model (adjusted)'!AM98-'Earnings Model'!AM98</f>
        <v>0</v>
      </c>
      <c r="AN98" s="169">
        <f>'Earnings Model (adjusted)'!AN98-'Earnings Model'!AN98</f>
        <v>0</v>
      </c>
      <c r="AO98" s="169">
        <f>'Earnings Model (adjusted)'!AO98-'Earnings Model'!AO98</f>
        <v>0</v>
      </c>
      <c r="AP98" s="169">
        <f>'Earnings Model (adjusted)'!AP98-'Earnings Model'!AP98</f>
        <v>0</v>
      </c>
      <c r="AQ98" s="169">
        <f>'Earnings Model (adjusted)'!AQ98-'Earnings Model'!AQ98</f>
        <v>0</v>
      </c>
    </row>
    <row r="99" spans="1:43" s="20" customFormat="1" outlineLevel="1" x14ac:dyDescent="0.25">
      <c r="A99" s="269"/>
      <c r="B99" s="585" t="s">
        <v>295</v>
      </c>
      <c r="C99" s="586"/>
      <c r="D99" s="259">
        <v>3.4</v>
      </c>
      <c r="E99" s="259">
        <v>4.9000000000000004</v>
      </c>
      <c r="F99" s="259">
        <v>3.8</v>
      </c>
      <c r="G99" s="259">
        <v>5.5</v>
      </c>
      <c r="H99" s="239">
        <f>SUM(D99:G99)</f>
        <v>17.600000000000001</v>
      </c>
      <c r="I99" s="259">
        <v>6.7</v>
      </c>
      <c r="J99" s="259">
        <v>6.6</v>
      </c>
      <c r="K99" s="259">
        <v>9.1</v>
      </c>
      <c r="L99" s="171">
        <v>5.3</v>
      </c>
      <c r="M99" s="239">
        <f>SUM(I99:L99)</f>
        <v>27.7</v>
      </c>
      <c r="N99" s="171">
        <v>15</v>
      </c>
      <c r="O99" s="171">
        <v>25.4</v>
      </c>
      <c r="P99" s="171">
        <v>13.4</v>
      </c>
      <c r="Q99" s="169">
        <f>'Earnings Model (adjusted)'!Q99-'Earnings Model'!Q99</f>
        <v>0</v>
      </c>
      <c r="R99" s="169">
        <f>'Earnings Model (adjusted)'!R99-'Earnings Model'!R99</f>
        <v>0</v>
      </c>
      <c r="S99" s="169">
        <f>'Earnings Model (adjusted)'!S99-'Earnings Model'!S99</f>
        <v>0</v>
      </c>
      <c r="T99" s="169">
        <f>'Earnings Model (adjusted)'!T99-'Earnings Model'!T99</f>
        <v>0</v>
      </c>
      <c r="U99" s="169">
        <f>'Earnings Model (adjusted)'!U99-'Earnings Model'!U99</f>
        <v>0</v>
      </c>
      <c r="V99" s="169">
        <f>'Earnings Model (adjusted)'!V99-'Earnings Model'!V99</f>
        <v>0</v>
      </c>
      <c r="W99" s="169">
        <f>'Earnings Model (adjusted)'!W99-'Earnings Model'!W99</f>
        <v>0</v>
      </c>
      <c r="X99" s="169">
        <f>'Earnings Model (adjusted)'!X99-'Earnings Model'!X99</f>
        <v>0</v>
      </c>
      <c r="Y99" s="169">
        <f>'Earnings Model (adjusted)'!Y99-'Earnings Model'!Y99</f>
        <v>0</v>
      </c>
      <c r="Z99" s="169">
        <f>'Earnings Model (adjusted)'!Z99-'Earnings Model'!Z99</f>
        <v>0</v>
      </c>
      <c r="AA99" s="169">
        <f>'Earnings Model (adjusted)'!AA99-'Earnings Model'!AA99</f>
        <v>0</v>
      </c>
      <c r="AB99" s="169">
        <f>'Earnings Model (adjusted)'!AB99-'Earnings Model'!AB99</f>
        <v>0</v>
      </c>
      <c r="AC99" s="169">
        <f>'Earnings Model (adjusted)'!AC99-'Earnings Model'!AC99</f>
        <v>0</v>
      </c>
      <c r="AD99" s="169">
        <f>'Earnings Model (adjusted)'!AD99-'Earnings Model'!AD99</f>
        <v>0</v>
      </c>
      <c r="AE99" s="169">
        <f>'Earnings Model (adjusted)'!AE99-'Earnings Model'!AE99</f>
        <v>0</v>
      </c>
      <c r="AF99" s="169">
        <f>'Earnings Model (adjusted)'!AF99-'Earnings Model'!AF99</f>
        <v>0</v>
      </c>
      <c r="AG99" s="169">
        <f>'Earnings Model (adjusted)'!AG99-'Earnings Model'!AG99</f>
        <v>0</v>
      </c>
      <c r="AH99" s="169">
        <f>'Earnings Model (adjusted)'!AH99-'Earnings Model'!AH99</f>
        <v>0</v>
      </c>
      <c r="AI99" s="169">
        <f>'Earnings Model (adjusted)'!AI99-'Earnings Model'!AI99</f>
        <v>0</v>
      </c>
      <c r="AJ99" s="169">
        <f>'Earnings Model (adjusted)'!AJ99-'Earnings Model'!AJ99</f>
        <v>0</v>
      </c>
      <c r="AK99" s="169">
        <f>'Earnings Model (adjusted)'!AK99-'Earnings Model'!AK99</f>
        <v>0</v>
      </c>
      <c r="AL99" s="169">
        <f>'Earnings Model (adjusted)'!AL99-'Earnings Model'!AL99</f>
        <v>0</v>
      </c>
      <c r="AM99" s="169">
        <f>'Earnings Model (adjusted)'!AM99-'Earnings Model'!AM99</f>
        <v>0</v>
      </c>
      <c r="AN99" s="169">
        <f>'Earnings Model (adjusted)'!AN99-'Earnings Model'!AN99</f>
        <v>0</v>
      </c>
      <c r="AO99" s="169">
        <f>'Earnings Model (adjusted)'!AO99-'Earnings Model'!AO99</f>
        <v>0</v>
      </c>
      <c r="AP99" s="169">
        <f>'Earnings Model (adjusted)'!AP99-'Earnings Model'!AP99</f>
        <v>0</v>
      </c>
      <c r="AQ99" s="169">
        <f>'Earnings Model (adjusted)'!AQ99-'Earnings Model'!AQ99</f>
        <v>0</v>
      </c>
    </row>
    <row r="100" spans="1:43" outlineLevel="1" x14ac:dyDescent="0.25">
      <c r="A100" s="254"/>
      <c r="B100" s="200" t="s">
        <v>169</v>
      </c>
      <c r="C100" s="201"/>
      <c r="D100" s="289"/>
      <c r="E100" s="289"/>
      <c r="F100" s="289"/>
      <c r="G100" s="289"/>
      <c r="H100" s="179"/>
      <c r="I100" s="289">
        <f>I99/D99-1</f>
        <v>0.97058823529411775</v>
      </c>
      <c r="J100" s="289">
        <f t="shared" ref="J100:L100" si="72">J99/E99-1</f>
        <v>0.3469387755102038</v>
      </c>
      <c r="K100" s="289">
        <f t="shared" si="72"/>
        <v>1.3947368421052633</v>
      </c>
      <c r="L100" s="289">
        <f t="shared" si="72"/>
        <v>-3.6363636363636376E-2</v>
      </c>
      <c r="M100" s="179"/>
      <c r="N100" s="289">
        <f>N99/I99-1</f>
        <v>1.2388059701492535</v>
      </c>
      <c r="O100" s="289">
        <f t="shared" ref="O100:P100" si="73">O99/J99-1</f>
        <v>2.8484848484848486</v>
      </c>
      <c r="P100" s="289">
        <f t="shared" si="73"/>
        <v>0.47252747252747263</v>
      </c>
      <c r="Q100" s="169">
        <f>'Earnings Model (adjusted)'!Q100-'Earnings Model'!Q100</f>
        <v>0</v>
      </c>
      <c r="R100" s="169">
        <f>'Earnings Model (adjusted)'!R100-'Earnings Model'!R100</f>
        <v>0</v>
      </c>
      <c r="S100" s="169">
        <f>'Earnings Model (adjusted)'!S100-'Earnings Model'!S100</f>
        <v>0</v>
      </c>
      <c r="T100" s="169">
        <f>'Earnings Model (adjusted)'!T100-'Earnings Model'!T100</f>
        <v>0</v>
      </c>
      <c r="U100" s="169">
        <f>'Earnings Model (adjusted)'!U100-'Earnings Model'!U100</f>
        <v>0</v>
      </c>
      <c r="V100" s="169">
        <f>'Earnings Model (adjusted)'!V100-'Earnings Model'!V100</f>
        <v>0</v>
      </c>
      <c r="W100" s="169">
        <f>'Earnings Model (adjusted)'!W100-'Earnings Model'!W100</f>
        <v>0</v>
      </c>
      <c r="X100" s="169">
        <f>'Earnings Model (adjusted)'!X100-'Earnings Model'!X100</f>
        <v>0</v>
      </c>
      <c r="Y100" s="169">
        <f>'Earnings Model (adjusted)'!Y100-'Earnings Model'!Y100</f>
        <v>0</v>
      </c>
      <c r="Z100" s="169">
        <f>'Earnings Model (adjusted)'!Z100-'Earnings Model'!Z100</f>
        <v>0</v>
      </c>
      <c r="AA100" s="169">
        <f>'Earnings Model (adjusted)'!AA100-'Earnings Model'!AA100</f>
        <v>0</v>
      </c>
      <c r="AB100" s="169">
        <f>'Earnings Model (adjusted)'!AB100-'Earnings Model'!AB100</f>
        <v>0</v>
      </c>
      <c r="AC100" s="169">
        <f>'Earnings Model (adjusted)'!AC100-'Earnings Model'!AC100</f>
        <v>0</v>
      </c>
      <c r="AD100" s="169">
        <f>'Earnings Model (adjusted)'!AD100-'Earnings Model'!AD100</f>
        <v>0</v>
      </c>
      <c r="AE100" s="169">
        <f>'Earnings Model (adjusted)'!AE100-'Earnings Model'!AE100</f>
        <v>0</v>
      </c>
      <c r="AF100" s="169">
        <f>'Earnings Model (adjusted)'!AF100-'Earnings Model'!AF100</f>
        <v>0</v>
      </c>
      <c r="AG100" s="169">
        <f>'Earnings Model (adjusted)'!AG100-'Earnings Model'!AG100</f>
        <v>0</v>
      </c>
      <c r="AH100" s="169">
        <f>'Earnings Model (adjusted)'!AH100-'Earnings Model'!AH100</f>
        <v>0</v>
      </c>
      <c r="AI100" s="169">
        <f>'Earnings Model (adjusted)'!AI100-'Earnings Model'!AI100</f>
        <v>0</v>
      </c>
      <c r="AJ100" s="169">
        <f>'Earnings Model (adjusted)'!AJ100-'Earnings Model'!AJ100</f>
        <v>0</v>
      </c>
      <c r="AK100" s="169">
        <f>'Earnings Model (adjusted)'!AK100-'Earnings Model'!AK100</f>
        <v>0</v>
      </c>
      <c r="AL100" s="169">
        <f>'Earnings Model (adjusted)'!AL100-'Earnings Model'!AL100</f>
        <v>0</v>
      </c>
      <c r="AM100" s="169">
        <f>'Earnings Model (adjusted)'!AM100-'Earnings Model'!AM100</f>
        <v>0</v>
      </c>
      <c r="AN100" s="169">
        <f>'Earnings Model (adjusted)'!AN100-'Earnings Model'!AN100</f>
        <v>0</v>
      </c>
      <c r="AO100" s="169">
        <f>'Earnings Model (adjusted)'!AO100-'Earnings Model'!AO100</f>
        <v>0</v>
      </c>
      <c r="AP100" s="169">
        <f>'Earnings Model (adjusted)'!AP100-'Earnings Model'!AP100</f>
        <v>0</v>
      </c>
      <c r="AQ100" s="169">
        <f>'Earnings Model (adjusted)'!AQ100-'Earnings Model'!AQ100</f>
        <v>0</v>
      </c>
    </row>
    <row r="101" spans="1:43" outlineLevel="1" x14ac:dyDescent="0.25">
      <c r="A101" s="254"/>
      <c r="B101" s="550" t="s">
        <v>296</v>
      </c>
      <c r="C101" s="551"/>
      <c r="D101" s="256">
        <f t="shared" ref="D101:G102" si="74">+D94+D83</f>
        <v>12212</v>
      </c>
      <c r="E101" s="256">
        <f t="shared" si="74"/>
        <v>12465</v>
      </c>
      <c r="F101" s="256">
        <f t="shared" si="74"/>
        <v>12773</v>
      </c>
      <c r="G101" s="256">
        <f t="shared" si="74"/>
        <v>13189</v>
      </c>
      <c r="H101" s="18"/>
      <c r="I101" s="256">
        <f>+I94+I83</f>
        <v>13592</v>
      </c>
      <c r="J101" s="256">
        <f t="shared" ref="J101:L102" si="75">+J94+J83</f>
        <v>13779</v>
      </c>
      <c r="K101" s="256">
        <f t="shared" si="75"/>
        <v>13945</v>
      </c>
      <c r="L101" s="34">
        <f t="shared" si="75"/>
        <v>14306</v>
      </c>
      <c r="M101" s="18"/>
      <c r="N101" s="34">
        <f>+N94+N83</f>
        <v>14630</v>
      </c>
      <c r="O101" s="34">
        <f t="shared" ref="O101:P102" si="76">+O94+O83</f>
        <v>14823</v>
      </c>
      <c r="P101" s="34">
        <f t="shared" si="76"/>
        <v>15120</v>
      </c>
      <c r="Q101" s="169">
        <f>'Earnings Model (adjusted)'!Q101-'Earnings Model'!Q101</f>
        <v>0</v>
      </c>
      <c r="R101" s="169">
        <f>'Earnings Model (adjusted)'!R101-'Earnings Model'!R101</f>
        <v>0</v>
      </c>
      <c r="S101" s="169">
        <f>'Earnings Model (adjusted)'!S101-'Earnings Model'!S101</f>
        <v>0</v>
      </c>
      <c r="T101" s="169">
        <f>'Earnings Model (adjusted)'!T101-'Earnings Model'!T101</f>
        <v>0</v>
      </c>
      <c r="U101" s="169">
        <f>'Earnings Model (adjusted)'!U101-'Earnings Model'!U101</f>
        <v>0</v>
      </c>
      <c r="V101" s="169">
        <f>'Earnings Model (adjusted)'!V101-'Earnings Model'!V101</f>
        <v>0</v>
      </c>
      <c r="W101" s="169">
        <f>'Earnings Model (adjusted)'!W101-'Earnings Model'!W101</f>
        <v>0</v>
      </c>
      <c r="X101" s="169">
        <f>'Earnings Model (adjusted)'!X101-'Earnings Model'!X101</f>
        <v>0</v>
      </c>
      <c r="Y101" s="169">
        <f>'Earnings Model (adjusted)'!Y101-'Earnings Model'!Y101</f>
        <v>0</v>
      </c>
      <c r="Z101" s="169">
        <f>'Earnings Model (adjusted)'!Z101-'Earnings Model'!Z101</f>
        <v>0</v>
      </c>
      <c r="AA101" s="169">
        <f>'Earnings Model (adjusted)'!AA101-'Earnings Model'!AA101</f>
        <v>0</v>
      </c>
      <c r="AB101" s="169">
        <f>'Earnings Model (adjusted)'!AB101-'Earnings Model'!AB101</f>
        <v>0</v>
      </c>
      <c r="AC101" s="169">
        <f>'Earnings Model (adjusted)'!AC101-'Earnings Model'!AC101</f>
        <v>0</v>
      </c>
      <c r="AD101" s="169">
        <f>'Earnings Model (adjusted)'!AD101-'Earnings Model'!AD101</f>
        <v>0</v>
      </c>
      <c r="AE101" s="169">
        <f>'Earnings Model (adjusted)'!AE101-'Earnings Model'!AE101</f>
        <v>0</v>
      </c>
      <c r="AF101" s="169">
        <f>'Earnings Model (adjusted)'!AF101-'Earnings Model'!AF101</f>
        <v>0</v>
      </c>
      <c r="AG101" s="169">
        <f>'Earnings Model (adjusted)'!AG101-'Earnings Model'!AG101</f>
        <v>0</v>
      </c>
      <c r="AH101" s="169">
        <f>'Earnings Model (adjusted)'!AH101-'Earnings Model'!AH101</f>
        <v>0</v>
      </c>
      <c r="AI101" s="169">
        <f>'Earnings Model (adjusted)'!AI101-'Earnings Model'!AI101</f>
        <v>0</v>
      </c>
      <c r="AJ101" s="169">
        <f>'Earnings Model (adjusted)'!AJ101-'Earnings Model'!AJ101</f>
        <v>0</v>
      </c>
      <c r="AK101" s="169">
        <f>'Earnings Model (adjusted)'!AK101-'Earnings Model'!AK101</f>
        <v>0</v>
      </c>
      <c r="AL101" s="169">
        <f>'Earnings Model (adjusted)'!AL101-'Earnings Model'!AL101</f>
        <v>0</v>
      </c>
      <c r="AM101" s="169">
        <f>'Earnings Model (adjusted)'!AM101-'Earnings Model'!AM101</f>
        <v>0</v>
      </c>
      <c r="AN101" s="169">
        <f>'Earnings Model (adjusted)'!AN101-'Earnings Model'!AN101</f>
        <v>0</v>
      </c>
      <c r="AO101" s="169">
        <f>'Earnings Model (adjusted)'!AO101-'Earnings Model'!AO101</f>
        <v>0</v>
      </c>
      <c r="AP101" s="169">
        <f>'Earnings Model (adjusted)'!AP101-'Earnings Model'!AP101</f>
        <v>0</v>
      </c>
      <c r="AQ101" s="169">
        <f>'Earnings Model (adjusted)'!AQ101-'Earnings Model'!AQ101</f>
        <v>0</v>
      </c>
    </row>
    <row r="102" spans="1:43" outlineLevel="1" x14ac:dyDescent="0.25">
      <c r="A102" s="254"/>
      <c r="B102" s="550" t="s">
        <v>297</v>
      </c>
      <c r="C102" s="551"/>
      <c r="D102" s="256">
        <f t="shared" si="74"/>
        <v>360</v>
      </c>
      <c r="E102" s="256">
        <f t="shared" si="74"/>
        <v>253</v>
      </c>
      <c r="F102" s="256">
        <f t="shared" si="74"/>
        <v>308</v>
      </c>
      <c r="G102" s="256">
        <f t="shared" si="74"/>
        <v>416</v>
      </c>
      <c r="H102" s="50">
        <f>+H95+H84</f>
        <v>1337</v>
      </c>
      <c r="I102" s="256">
        <f>+I95+I84</f>
        <v>403</v>
      </c>
      <c r="J102" s="256">
        <f t="shared" si="75"/>
        <v>187</v>
      </c>
      <c r="K102" s="256">
        <f t="shared" si="75"/>
        <v>166</v>
      </c>
      <c r="L102" s="34">
        <f t="shared" si="75"/>
        <v>361</v>
      </c>
      <c r="M102" s="50">
        <f>+M95+M84</f>
        <v>1117</v>
      </c>
      <c r="N102" s="34">
        <f>+N95+N84</f>
        <v>324</v>
      </c>
      <c r="O102" s="34">
        <f t="shared" si="76"/>
        <v>193</v>
      </c>
      <c r="P102" s="34">
        <f t="shared" si="76"/>
        <v>297</v>
      </c>
      <c r="Q102" s="169">
        <f>'Earnings Model (adjusted)'!Q102-'Earnings Model'!Q102</f>
        <v>0</v>
      </c>
      <c r="R102" s="169">
        <f>'Earnings Model (adjusted)'!R102-'Earnings Model'!R102</f>
        <v>0</v>
      </c>
      <c r="S102" s="169">
        <f>'Earnings Model (adjusted)'!S102-'Earnings Model'!S102</f>
        <v>0</v>
      </c>
      <c r="T102" s="169">
        <f>'Earnings Model (adjusted)'!T102-'Earnings Model'!T102</f>
        <v>0</v>
      </c>
      <c r="U102" s="169">
        <f>'Earnings Model (adjusted)'!U102-'Earnings Model'!U102</f>
        <v>0</v>
      </c>
      <c r="V102" s="169">
        <f>'Earnings Model (adjusted)'!V102-'Earnings Model'!V102</f>
        <v>0</v>
      </c>
      <c r="W102" s="169">
        <f>'Earnings Model (adjusted)'!W102-'Earnings Model'!W102</f>
        <v>0</v>
      </c>
      <c r="X102" s="169">
        <f>'Earnings Model (adjusted)'!X102-'Earnings Model'!X102</f>
        <v>0</v>
      </c>
      <c r="Y102" s="169">
        <f>'Earnings Model (adjusted)'!Y102-'Earnings Model'!Y102</f>
        <v>0</v>
      </c>
      <c r="Z102" s="169">
        <f>'Earnings Model (adjusted)'!Z102-'Earnings Model'!Z102</f>
        <v>0</v>
      </c>
      <c r="AA102" s="169">
        <f>'Earnings Model (adjusted)'!AA102-'Earnings Model'!AA102</f>
        <v>0</v>
      </c>
      <c r="AB102" s="169">
        <f>'Earnings Model (adjusted)'!AB102-'Earnings Model'!AB102</f>
        <v>0</v>
      </c>
      <c r="AC102" s="169">
        <f>'Earnings Model (adjusted)'!AC102-'Earnings Model'!AC102</f>
        <v>0</v>
      </c>
      <c r="AD102" s="169">
        <f>'Earnings Model (adjusted)'!AD102-'Earnings Model'!AD102</f>
        <v>0</v>
      </c>
      <c r="AE102" s="169">
        <f>'Earnings Model (adjusted)'!AE102-'Earnings Model'!AE102</f>
        <v>0</v>
      </c>
      <c r="AF102" s="169">
        <f>'Earnings Model (adjusted)'!AF102-'Earnings Model'!AF102</f>
        <v>0</v>
      </c>
      <c r="AG102" s="169">
        <f>'Earnings Model (adjusted)'!AG102-'Earnings Model'!AG102</f>
        <v>0</v>
      </c>
      <c r="AH102" s="169">
        <f>'Earnings Model (adjusted)'!AH102-'Earnings Model'!AH102</f>
        <v>0</v>
      </c>
      <c r="AI102" s="169">
        <f>'Earnings Model (adjusted)'!AI102-'Earnings Model'!AI102</f>
        <v>0</v>
      </c>
      <c r="AJ102" s="169">
        <f>'Earnings Model (adjusted)'!AJ102-'Earnings Model'!AJ102</f>
        <v>0</v>
      </c>
      <c r="AK102" s="169">
        <f>'Earnings Model (adjusted)'!AK102-'Earnings Model'!AK102</f>
        <v>0</v>
      </c>
      <c r="AL102" s="169">
        <f>'Earnings Model (adjusted)'!AL102-'Earnings Model'!AL102</f>
        <v>0</v>
      </c>
      <c r="AM102" s="169">
        <f>'Earnings Model (adjusted)'!AM102-'Earnings Model'!AM102</f>
        <v>0</v>
      </c>
      <c r="AN102" s="169">
        <f>'Earnings Model (adjusted)'!AN102-'Earnings Model'!AN102</f>
        <v>0</v>
      </c>
      <c r="AO102" s="169">
        <f>'Earnings Model (adjusted)'!AO102-'Earnings Model'!AO102</f>
        <v>0</v>
      </c>
      <c r="AP102" s="169">
        <f>'Earnings Model (adjusted)'!AP102-'Earnings Model'!AP102</f>
        <v>0</v>
      </c>
      <c r="AQ102" s="169">
        <f>'Earnings Model (adjusted)'!AQ102-'Earnings Model'!AQ102</f>
        <v>0</v>
      </c>
    </row>
    <row r="103" spans="1:43" outlineLevel="1" x14ac:dyDescent="0.25">
      <c r="A103" s="254"/>
      <c r="B103" s="601" t="s">
        <v>298</v>
      </c>
      <c r="C103" s="602"/>
      <c r="D103" s="279">
        <f t="shared" ref="D103:G103" si="77">+D99+D98+D91</f>
        <v>1504</v>
      </c>
      <c r="E103" s="279">
        <f>+E99+E98+E91</f>
        <v>1529.4</v>
      </c>
      <c r="F103" s="279">
        <f t="shared" si="77"/>
        <v>1585.3</v>
      </c>
      <c r="G103" s="279">
        <f t="shared" si="77"/>
        <v>1572.1000000000001</v>
      </c>
      <c r="H103" s="204">
        <f>SUM(D103:G103)</f>
        <v>6190.8</v>
      </c>
      <c r="I103" s="279">
        <f>+I99+I98+I91</f>
        <v>1571.1</v>
      </c>
      <c r="J103" s="279">
        <f t="shared" ref="J103:L103" si="78">+J99+J98+J91</f>
        <v>1134.5999999999999</v>
      </c>
      <c r="K103" s="279">
        <f t="shared" si="78"/>
        <v>949.6</v>
      </c>
      <c r="L103" s="203">
        <f t="shared" si="78"/>
        <v>1492.3</v>
      </c>
      <c r="M103" s="204">
        <f>SUM(I103:L103)</f>
        <v>5147.5999999999995</v>
      </c>
      <c r="N103" s="203">
        <f>+N99+N98+N91</f>
        <v>1654.3</v>
      </c>
      <c r="O103" s="203">
        <f t="shared" ref="O103:P103" si="79">+O99+O98+O91</f>
        <v>1610.9</v>
      </c>
      <c r="P103" s="203">
        <f t="shared" si="79"/>
        <v>1658.3999999999999</v>
      </c>
      <c r="Q103" s="169">
        <f>'Earnings Model (adjusted)'!Q103-'Earnings Model'!Q103</f>
        <v>0</v>
      </c>
      <c r="R103" s="169">
        <f>'Earnings Model (adjusted)'!R103-'Earnings Model'!R103</f>
        <v>0</v>
      </c>
      <c r="S103" s="169">
        <f>'Earnings Model (adjusted)'!S103-'Earnings Model'!S103</f>
        <v>0</v>
      </c>
      <c r="T103" s="169">
        <f>'Earnings Model (adjusted)'!T103-'Earnings Model'!T103</f>
        <v>0</v>
      </c>
      <c r="U103" s="169">
        <f>'Earnings Model (adjusted)'!U103-'Earnings Model'!U103</f>
        <v>0</v>
      </c>
      <c r="V103" s="169">
        <f>'Earnings Model (adjusted)'!V103-'Earnings Model'!V103</f>
        <v>0</v>
      </c>
      <c r="W103" s="169">
        <f>'Earnings Model (adjusted)'!W103-'Earnings Model'!W103</f>
        <v>0</v>
      </c>
      <c r="X103" s="169">
        <f>'Earnings Model (adjusted)'!X103-'Earnings Model'!X103</f>
        <v>0</v>
      </c>
      <c r="Y103" s="169">
        <f>'Earnings Model (adjusted)'!Y103-'Earnings Model'!Y103</f>
        <v>0</v>
      </c>
      <c r="Z103" s="169">
        <f>'Earnings Model (adjusted)'!Z103-'Earnings Model'!Z103</f>
        <v>0</v>
      </c>
      <c r="AA103" s="169">
        <f>'Earnings Model (adjusted)'!AA103-'Earnings Model'!AA103</f>
        <v>0</v>
      </c>
      <c r="AB103" s="169">
        <f>'Earnings Model (adjusted)'!AB103-'Earnings Model'!AB103</f>
        <v>0</v>
      </c>
      <c r="AC103" s="169">
        <f>'Earnings Model (adjusted)'!AC103-'Earnings Model'!AC103</f>
        <v>0</v>
      </c>
      <c r="AD103" s="169">
        <f>'Earnings Model (adjusted)'!AD103-'Earnings Model'!AD103</f>
        <v>0</v>
      </c>
      <c r="AE103" s="169">
        <f>'Earnings Model (adjusted)'!AE103-'Earnings Model'!AE103</f>
        <v>0</v>
      </c>
      <c r="AF103" s="169">
        <f>'Earnings Model (adjusted)'!AF103-'Earnings Model'!AF103</f>
        <v>0</v>
      </c>
      <c r="AG103" s="169">
        <f>'Earnings Model (adjusted)'!AG103-'Earnings Model'!AG103</f>
        <v>0</v>
      </c>
      <c r="AH103" s="169">
        <f>'Earnings Model (adjusted)'!AH103-'Earnings Model'!AH103</f>
        <v>0</v>
      </c>
      <c r="AI103" s="169">
        <f>'Earnings Model (adjusted)'!AI103-'Earnings Model'!AI103</f>
        <v>0</v>
      </c>
      <c r="AJ103" s="169">
        <f>'Earnings Model (adjusted)'!AJ103-'Earnings Model'!AJ103</f>
        <v>0</v>
      </c>
      <c r="AK103" s="169">
        <f>'Earnings Model (adjusted)'!AK103-'Earnings Model'!AK103</f>
        <v>0</v>
      </c>
      <c r="AL103" s="169">
        <f>'Earnings Model (adjusted)'!AL103-'Earnings Model'!AL103</f>
        <v>0</v>
      </c>
      <c r="AM103" s="169">
        <f>'Earnings Model (adjusted)'!AM103-'Earnings Model'!AM103</f>
        <v>0</v>
      </c>
      <c r="AN103" s="169">
        <f>'Earnings Model (adjusted)'!AN103-'Earnings Model'!AN103</f>
        <v>0</v>
      </c>
      <c r="AO103" s="169">
        <f>'Earnings Model (adjusted)'!AO103-'Earnings Model'!AO103</f>
        <v>0</v>
      </c>
      <c r="AP103" s="169">
        <f>'Earnings Model (adjusted)'!AP103-'Earnings Model'!AP103</f>
        <v>0</v>
      </c>
      <c r="AQ103" s="169">
        <f>'Earnings Model (adjusted)'!AQ103-'Earnings Model'!AQ103</f>
        <v>0</v>
      </c>
    </row>
    <row r="104" spans="1:43" outlineLevel="1" x14ac:dyDescent="0.25">
      <c r="A104" s="254"/>
      <c r="B104" s="605" t="s">
        <v>262</v>
      </c>
      <c r="C104" s="606"/>
      <c r="D104" s="261">
        <v>462.7</v>
      </c>
      <c r="E104" s="261">
        <v>470.2</v>
      </c>
      <c r="F104" s="261">
        <v>476.1</v>
      </c>
      <c r="G104" s="261">
        <v>486.1</v>
      </c>
      <c r="H104" s="209">
        <f>SUM(D104:G104)</f>
        <v>1895.1</v>
      </c>
      <c r="I104" s="261">
        <v>488.5</v>
      </c>
      <c r="J104" s="261">
        <v>387.7</v>
      </c>
      <c r="K104" s="261">
        <v>337.7</v>
      </c>
      <c r="L104" s="169">
        <v>468</v>
      </c>
      <c r="M104" s="209">
        <f>SUM(I104:L104)</f>
        <v>1681.9</v>
      </c>
      <c r="N104" s="169">
        <v>520.4</v>
      </c>
      <c r="O104" s="169">
        <v>513.5</v>
      </c>
      <c r="P104" s="169">
        <v>501.7</v>
      </c>
      <c r="Q104" s="169">
        <f>'Earnings Model (adjusted)'!Q104-'Earnings Model'!Q104</f>
        <v>0</v>
      </c>
      <c r="R104" s="169">
        <f>'Earnings Model (adjusted)'!R104-'Earnings Model'!R104</f>
        <v>0</v>
      </c>
      <c r="S104" s="169">
        <f>'Earnings Model (adjusted)'!S104-'Earnings Model'!S104</f>
        <v>0</v>
      </c>
      <c r="T104" s="169">
        <f>'Earnings Model (adjusted)'!T104-'Earnings Model'!T104</f>
        <v>0</v>
      </c>
      <c r="U104" s="169">
        <f>'Earnings Model (adjusted)'!U104-'Earnings Model'!U104</f>
        <v>0</v>
      </c>
      <c r="V104" s="169">
        <f>'Earnings Model (adjusted)'!V104-'Earnings Model'!V104</f>
        <v>0</v>
      </c>
      <c r="W104" s="169">
        <f>'Earnings Model (adjusted)'!W104-'Earnings Model'!W104</f>
        <v>0</v>
      </c>
      <c r="X104" s="169">
        <f>'Earnings Model (adjusted)'!X104-'Earnings Model'!X104</f>
        <v>0</v>
      </c>
      <c r="Y104" s="169">
        <f>'Earnings Model (adjusted)'!Y104-'Earnings Model'!Y104</f>
        <v>0</v>
      </c>
      <c r="Z104" s="169">
        <f>'Earnings Model (adjusted)'!Z104-'Earnings Model'!Z104</f>
        <v>0</v>
      </c>
      <c r="AA104" s="169">
        <f>'Earnings Model (adjusted)'!AA104-'Earnings Model'!AA104</f>
        <v>0</v>
      </c>
      <c r="AB104" s="169">
        <f>'Earnings Model (adjusted)'!AB104-'Earnings Model'!AB104</f>
        <v>0</v>
      </c>
      <c r="AC104" s="169">
        <f>'Earnings Model (adjusted)'!AC104-'Earnings Model'!AC104</f>
        <v>0</v>
      </c>
      <c r="AD104" s="169">
        <f>'Earnings Model (adjusted)'!AD104-'Earnings Model'!AD104</f>
        <v>0</v>
      </c>
      <c r="AE104" s="169">
        <f>'Earnings Model (adjusted)'!AE104-'Earnings Model'!AE104</f>
        <v>0</v>
      </c>
      <c r="AF104" s="169">
        <f>'Earnings Model (adjusted)'!AF104-'Earnings Model'!AF104</f>
        <v>0</v>
      </c>
      <c r="AG104" s="169">
        <f>'Earnings Model (adjusted)'!AG104-'Earnings Model'!AG104</f>
        <v>0</v>
      </c>
      <c r="AH104" s="169">
        <f>'Earnings Model (adjusted)'!AH104-'Earnings Model'!AH104</f>
        <v>0</v>
      </c>
      <c r="AI104" s="169">
        <f>'Earnings Model (adjusted)'!AI104-'Earnings Model'!AI104</f>
        <v>0</v>
      </c>
      <c r="AJ104" s="169">
        <f>'Earnings Model (adjusted)'!AJ104-'Earnings Model'!AJ104</f>
        <v>0</v>
      </c>
      <c r="AK104" s="169">
        <f>'Earnings Model (adjusted)'!AK104-'Earnings Model'!AK104</f>
        <v>0</v>
      </c>
      <c r="AL104" s="169">
        <f>'Earnings Model (adjusted)'!AL104-'Earnings Model'!AL104</f>
        <v>0</v>
      </c>
      <c r="AM104" s="169">
        <f>'Earnings Model (adjusted)'!AM104-'Earnings Model'!AM104</f>
        <v>0</v>
      </c>
      <c r="AN104" s="169">
        <f>'Earnings Model (adjusted)'!AN104-'Earnings Model'!AN104</f>
        <v>0</v>
      </c>
      <c r="AO104" s="169">
        <f>'Earnings Model (adjusted)'!AO104-'Earnings Model'!AO104</f>
        <v>0</v>
      </c>
      <c r="AP104" s="169">
        <f>'Earnings Model (adjusted)'!AP104-'Earnings Model'!AP104</f>
        <v>0</v>
      </c>
      <c r="AQ104" s="169">
        <f>'Earnings Model (adjusted)'!AQ104-'Earnings Model'!AQ104</f>
        <v>0</v>
      </c>
    </row>
    <row r="105" spans="1:43" s="469" customFormat="1" outlineLevel="1" x14ac:dyDescent="0.25">
      <c r="A105" s="470"/>
      <c r="B105" s="467" t="s">
        <v>341</v>
      </c>
      <c r="C105" s="468"/>
      <c r="D105" s="415">
        <f>D104/D103</f>
        <v>0.30764627659574467</v>
      </c>
      <c r="E105" s="415">
        <f t="shared" ref="E105:P105" si="80">E104/E103</f>
        <v>0.30744082646789589</v>
      </c>
      <c r="F105" s="415">
        <f t="shared" si="80"/>
        <v>0.30032170567085098</v>
      </c>
      <c r="G105" s="415">
        <f t="shared" si="80"/>
        <v>0.30920424909356908</v>
      </c>
      <c r="H105" s="476">
        <f>H104/H103</f>
        <v>0.30611552626477995</v>
      </c>
      <c r="I105" s="415">
        <f t="shared" si="80"/>
        <v>0.31092864871745912</v>
      </c>
      <c r="J105" s="415">
        <f t="shared" si="80"/>
        <v>0.34170632822139962</v>
      </c>
      <c r="K105" s="415">
        <f t="shared" si="80"/>
        <v>0.35562342038753159</v>
      </c>
      <c r="L105" s="475">
        <f t="shared" si="80"/>
        <v>0.31360986396837098</v>
      </c>
      <c r="M105" s="476">
        <f>M104/M103</f>
        <v>0.32673478902789654</v>
      </c>
      <c r="N105" s="475">
        <f t="shared" si="80"/>
        <v>0.31457414011968809</v>
      </c>
      <c r="O105" s="415">
        <f t="shared" si="80"/>
        <v>0.31876590725681292</v>
      </c>
      <c r="P105" s="415">
        <f t="shared" si="80"/>
        <v>0.30252050168837435</v>
      </c>
      <c r="Q105" s="169">
        <f>'Earnings Model (adjusted)'!Q105-'Earnings Model'!Q105</f>
        <v>0</v>
      </c>
      <c r="R105" s="169">
        <f>'Earnings Model (adjusted)'!R105-'Earnings Model'!R105</f>
        <v>0</v>
      </c>
      <c r="S105" s="169">
        <f>'Earnings Model (adjusted)'!S105-'Earnings Model'!S105</f>
        <v>0</v>
      </c>
      <c r="T105" s="169">
        <f>'Earnings Model (adjusted)'!T105-'Earnings Model'!T105</f>
        <v>0</v>
      </c>
      <c r="U105" s="169">
        <f>'Earnings Model (adjusted)'!U105-'Earnings Model'!U105</f>
        <v>0</v>
      </c>
      <c r="V105" s="169">
        <f>'Earnings Model (adjusted)'!V105-'Earnings Model'!V105</f>
        <v>0</v>
      </c>
      <c r="W105" s="169">
        <f>'Earnings Model (adjusted)'!W105-'Earnings Model'!W105</f>
        <v>0</v>
      </c>
      <c r="X105" s="169">
        <f>'Earnings Model (adjusted)'!X105-'Earnings Model'!X105</f>
        <v>0</v>
      </c>
      <c r="Y105" s="169">
        <f>'Earnings Model (adjusted)'!Y105-'Earnings Model'!Y105</f>
        <v>0</v>
      </c>
      <c r="Z105" s="169">
        <f>'Earnings Model (adjusted)'!Z105-'Earnings Model'!Z105</f>
        <v>0</v>
      </c>
      <c r="AA105" s="169">
        <f>'Earnings Model (adjusted)'!AA105-'Earnings Model'!AA105</f>
        <v>0</v>
      </c>
      <c r="AB105" s="169">
        <f>'Earnings Model (adjusted)'!AB105-'Earnings Model'!AB105</f>
        <v>0</v>
      </c>
      <c r="AC105" s="169">
        <f>'Earnings Model (adjusted)'!AC105-'Earnings Model'!AC105</f>
        <v>0</v>
      </c>
      <c r="AD105" s="169">
        <f>'Earnings Model (adjusted)'!AD105-'Earnings Model'!AD105</f>
        <v>0</v>
      </c>
      <c r="AE105" s="169">
        <f>'Earnings Model (adjusted)'!AE105-'Earnings Model'!AE105</f>
        <v>0</v>
      </c>
      <c r="AF105" s="169">
        <f>'Earnings Model (adjusted)'!AF105-'Earnings Model'!AF105</f>
        <v>0</v>
      </c>
      <c r="AG105" s="169">
        <f>'Earnings Model (adjusted)'!AG105-'Earnings Model'!AG105</f>
        <v>0</v>
      </c>
      <c r="AH105" s="169">
        <f>'Earnings Model (adjusted)'!AH105-'Earnings Model'!AH105</f>
        <v>0</v>
      </c>
      <c r="AI105" s="169">
        <f>'Earnings Model (adjusted)'!AI105-'Earnings Model'!AI105</f>
        <v>0</v>
      </c>
      <c r="AJ105" s="169">
        <f>'Earnings Model (adjusted)'!AJ105-'Earnings Model'!AJ105</f>
        <v>0</v>
      </c>
      <c r="AK105" s="169">
        <f>'Earnings Model (adjusted)'!AK105-'Earnings Model'!AK105</f>
        <v>0</v>
      </c>
      <c r="AL105" s="169">
        <f>'Earnings Model (adjusted)'!AL105-'Earnings Model'!AL105</f>
        <v>0</v>
      </c>
      <c r="AM105" s="169">
        <f>'Earnings Model (adjusted)'!AM105-'Earnings Model'!AM105</f>
        <v>0</v>
      </c>
      <c r="AN105" s="169">
        <f>'Earnings Model (adjusted)'!AN105-'Earnings Model'!AN105</f>
        <v>0</v>
      </c>
      <c r="AO105" s="169">
        <f>'Earnings Model (adjusted)'!AO105-'Earnings Model'!AO105</f>
        <v>0</v>
      </c>
      <c r="AP105" s="169">
        <f>'Earnings Model (adjusted)'!AP105-'Earnings Model'!AP105</f>
        <v>0</v>
      </c>
      <c r="AQ105" s="169">
        <f>'Earnings Model (adjusted)'!AQ105-'Earnings Model'!AQ105</f>
        <v>0</v>
      </c>
    </row>
    <row r="106" spans="1:43" outlineLevel="1" x14ac:dyDescent="0.25">
      <c r="A106" s="254"/>
      <c r="B106" s="550" t="s">
        <v>141</v>
      </c>
      <c r="C106" s="36"/>
      <c r="D106" s="261">
        <v>603.70000000000005</v>
      </c>
      <c r="E106" s="261">
        <v>618.4</v>
      </c>
      <c r="F106" s="261">
        <v>609.20000000000005</v>
      </c>
      <c r="G106" s="261">
        <v>597.29999999999995</v>
      </c>
      <c r="H106" s="170">
        <f>SUM(D106:G106)</f>
        <v>2428.6</v>
      </c>
      <c r="I106" s="261">
        <v>607.1</v>
      </c>
      <c r="J106" s="261">
        <v>562.79999999999995</v>
      </c>
      <c r="K106" s="261">
        <v>483.4</v>
      </c>
      <c r="L106" s="169">
        <v>622.79999999999995</v>
      </c>
      <c r="M106" s="170">
        <f>SUM(I106:L106)</f>
        <v>2276.1000000000004</v>
      </c>
      <c r="N106" s="169">
        <v>628.5</v>
      </c>
      <c r="O106" s="169">
        <v>620.20000000000005</v>
      </c>
      <c r="P106" s="169">
        <v>620.1</v>
      </c>
      <c r="Q106" s="169">
        <f>'Earnings Model (adjusted)'!Q106-'Earnings Model'!Q106</f>
        <v>0</v>
      </c>
      <c r="R106" s="169">
        <f>'Earnings Model (adjusted)'!R106-'Earnings Model'!R106</f>
        <v>0</v>
      </c>
      <c r="S106" s="169">
        <f>'Earnings Model (adjusted)'!S106-'Earnings Model'!S106</f>
        <v>0</v>
      </c>
      <c r="T106" s="169">
        <f>'Earnings Model (adjusted)'!T106-'Earnings Model'!T106</f>
        <v>0</v>
      </c>
      <c r="U106" s="169">
        <f>'Earnings Model (adjusted)'!U106-'Earnings Model'!U106</f>
        <v>0</v>
      </c>
      <c r="V106" s="169">
        <f>'Earnings Model (adjusted)'!V106-'Earnings Model'!V106</f>
        <v>0</v>
      </c>
      <c r="W106" s="169">
        <f>'Earnings Model (adjusted)'!W106-'Earnings Model'!W106</f>
        <v>0</v>
      </c>
      <c r="X106" s="169">
        <f>'Earnings Model (adjusted)'!X106-'Earnings Model'!X106</f>
        <v>0</v>
      </c>
      <c r="Y106" s="169">
        <f>'Earnings Model (adjusted)'!Y106-'Earnings Model'!Y106</f>
        <v>0</v>
      </c>
      <c r="Z106" s="169">
        <f>'Earnings Model (adjusted)'!Z106-'Earnings Model'!Z106</f>
        <v>0</v>
      </c>
      <c r="AA106" s="169">
        <f>'Earnings Model (adjusted)'!AA106-'Earnings Model'!AA106</f>
        <v>0</v>
      </c>
      <c r="AB106" s="169">
        <f>'Earnings Model (adjusted)'!AB106-'Earnings Model'!AB106</f>
        <v>0</v>
      </c>
      <c r="AC106" s="169">
        <f>'Earnings Model (adjusted)'!AC106-'Earnings Model'!AC106</f>
        <v>0</v>
      </c>
      <c r="AD106" s="169">
        <f>'Earnings Model (adjusted)'!AD106-'Earnings Model'!AD106</f>
        <v>0</v>
      </c>
      <c r="AE106" s="169">
        <f>'Earnings Model (adjusted)'!AE106-'Earnings Model'!AE106</f>
        <v>0</v>
      </c>
      <c r="AF106" s="169">
        <f>'Earnings Model (adjusted)'!AF106-'Earnings Model'!AF106</f>
        <v>0</v>
      </c>
      <c r="AG106" s="169">
        <f>'Earnings Model (adjusted)'!AG106-'Earnings Model'!AG106</f>
        <v>0</v>
      </c>
      <c r="AH106" s="169">
        <f>'Earnings Model (adjusted)'!AH106-'Earnings Model'!AH106</f>
        <v>0</v>
      </c>
      <c r="AI106" s="169">
        <f>'Earnings Model (adjusted)'!AI106-'Earnings Model'!AI106</f>
        <v>0</v>
      </c>
      <c r="AJ106" s="169">
        <f>'Earnings Model (adjusted)'!AJ106-'Earnings Model'!AJ106</f>
        <v>0</v>
      </c>
      <c r="AK106" s="169">
        <f>'Earnings Model (adjusted)'!AK106-'Earnings Model'!AK106</f>
        <v>0</v>
      </c>
      <c r="AL106" s="169">
        <f>'Earnings Model (adjusted)'!AL106-'Earnings Model'!AL106</f>
        <v>0</v>
      </c>
      <c r="AM106" s="169">
        <f>'Earnings Model (adjusted)'!AM106-'Earnings Model'!AM106</f>
        <v>0</v>
      </c>
      <c r="AN106" s="169">
        <f>'Earnings Model (adjusted)'!AN106-'Earnings Model'!AN106</f>
        <v>0</v>
      </c>
      <c r="AO106" s="169">
        <f>'Earnings Model (adjusted)'!AO106-'Earnings Model'!AO106</f>
        <v>0</v>
      </c>
      <c r="AP106" s="169">
        <f>'Earnings Model (adjusted)'!AP106-'Earnings Model'!AP106</f>
        <v>0</v>
      </c>
      <c r="AQ106" s="169">
        <f>'Earnings Model (adjusted)'!AQ106-'Earnings Model'!AQ106</f>
        <v>0</v>
      </c>
    </row>
    <row r="107" spans="1:43" s="473" customFormat="1" outlineLevel="1" x14ac:dyDescent="0.25">
      <c r="A107" s="471"/>
      <c r="B107" s="467" t="s">
        <v>340</v>
      </c>
      <c r="C107" s="478"/>
      <c r="D107" s="475">
        <f>D106/D91</f>
        <v>0.47234175729598632</v>
      </c>
      <c r="E107" s="475">
        <f t="shared" ref="E107:G107" si="81">E106/E91</f>
        <v>0.4722773789521918</v>
      </c>
      <c r="F107" s="475">
        <f t="shared" si="81"/>
        <v>0.45032525133057366</v>
      </c>
      <c r="G107" s="475">
        <f t="shared" si="81"/>
        <v>0.45390987157078799</v>
      </c>
      <c r="H107" s="476">
        <f>H106/H91</f>
        <v>0.46204482325634483</v>
      </c>
      <c r="I107" s="475">
        <f t="shared" ref="I107:L107" si="82">I106/I91</f>
        <v>0.46354126899289916</v>
      </c>
      <c r="J107" s="475">
        <f t="shared" si="82"/>
        <v>0.62367021276595747</v>
      </c>
      <c r="K107" s="475">
        <f t="shared" si="82"/>
        <v>0.5521416333523701</v>
      </c>
      <c r="L107" s="475">
        <f t="shared" si="82"/>
        <v>0.47970422860663942</v>
      </c>
      <c r="M107" s="476">
        <f>M106/M91</f>
        <v>0.51895848058551275</v>
      </c>
      <c r="N107" s="475">
        <f>N106/N91</f>
        <v>0.43594367760282998</v>
      </c>
      <c r="O107" s="475">
        <f t="shared" ref="O107:P107" si="83">O106/O91</f>
        <v>0.44789485087022463</v>
      </c>
      <c r="P107" s="475">
        <f t="shared" si="83"/>
        <v>0.4326379683248448</v>
      </c>
      <c r="Q107" s="169">
        <f>'Earnings Model (adjusted)'!Q107-'Earnings Model'!Q107</f>
        <v>0</v>
      </c>
      <c r="R107" s="169">
        <f>'Earnings Model (adjusted)'!R107-'Earnings Model'!R107</f>
        <v>0</v>
      </c>
      <c r="S107" s="169">
        <f>'Earnings Model (adjusted)'!S107-'Earnings Model'!S107</f>
        <v>0</v>
      </c>
      <c r="T107" s="169">
        <f>'Earnings Model (adjusted)'!T107-'Earnings Model'!T107</f>
        <v>0</v>
      </c>
      <c r="U107" s="169">
        <f>'Earnings Model (adjusted)'!U107-'Earnings Model'!U107</f>
        <v>0</v>
      </c>
      <c r="V107" s="169">
        <f>'Earnings Model (adjusted)'!V107-'Earnings Model'!V107</f>
        <v>0</v>
      </c>
      <c r="W107" s="169">
        <f>'Earnings Model (adjusted)'!W107-'Earnings Model'!W107</f>
        <v>0</v>
      </c>
      <c r="X107" s="169">
        <f>'Earnings Model (adjusted)'!X107-'Earnings Model'!X107</f>
        <v>0</v>
      </c>
      <c r="Y107" s="169">
        <f>'Earnings Model (adjusted)'!Y107-'Earnings Model'!Y107</f>
        <v>0</v>
      </c>
      <c r="Z107" s="169">
        <f>'Earnings Model (adjusted)'!Z107-'Earnings Model'!Z107</f>
        <v>0</v>
      </c>
      <c r="AA107" s="169">
        <f>'Earnings Model (adjusted)'!AA107-'Earnings Model'!AA107</f>
        <v>0</v>
      </c>
      <c r="AB107" s="169">
        <f>'Earnings Model (adjusted)'!AB107-'Earnings Model'!AB107</f>
        <v>0</v>
      </c>
      <c r="AC107" s="169">
        <f>'Earnings Model (adjusted)'!AC107-'Earnings Model'!AC107</f>
        <v>0</v>
      </c>
      <c r="AD107" s="169">
        <f>'Earnings Model (adjusted)'!AD107-'Earnings Model'!AD107</f>
        <v>0</v>
      </c>
      <c r="AE107" s="169">
        <f>'Earnings Model (adjusted)'!AE107-'Earnings Model'!AE107</f>
        <v>0</v>
      </c>
      <c r="AF107" s="169">
        <f>'Earnings Model (adjusted)'!AF107-'Earnings Model'!AF107</f>
        <v>0</v>
      </c>
      <c r="AG107" s="169">
        <f>'Earnings Model (adjusted)'!AG107-'Earnings Model'!AG107</f>
        <v>0</v>
      </c>
      <c r="AH107" s="169">
        <f>'Earnings Model (adjusted)'!AH107-'Earnings Model'!AH107</f>
        <v>0</v>
      </c>
      <c r="AI107" s="169">
        <f>'Earnings Model (adjusted)'!AI107-'Earnings Model'!AI107</f>
        <v>0</v>
      </c>
      <c r="AJ107" s="169">
        <f>'Earnings Model (adjusted)'!AJ107-'Earnings Model'!AJ107</f>
        <v>0</v>
      </c>
      <c r="AK107" s="169">
        <f>'Earnings Model (adjusted)'!AK107-'Earnings Model'!AK107</f>
        <v>0</v>
      </c>
      <c r="AL107" s="169">
        <f>'Earnings Model (adjusted)'!AL107-'Earnings Model'!AL107</f>
        <v>0</v>
      </c>
      <c r="AM107" s="169">
        <f>'Earnings Model (adjusted)'!AM107-'Earnings Model'!AM107</f>
        <v>0</v>
      </c>
      <c r="AN107" s="169">
        <f>'Earnings Model (adjusted)'!AN107-'Earnings Model'!AN107</f>
        <v>0</v>
      </c>
      <c r="AO107" s="169">
        <f>'Earnings Model (adjusted)'!AO107-'Earnings Model'!AO107</f>
        <v>0</v>
      </c>
      <c r="AP107" s="169">
        <f>'Earnings Model (adjusted)'!AP107-'Earnings Model'!AP107</f>
        <v>0</v>
      </c>
      <c r="AQ107" s="169">
        <f>'Earnings Model (adjusted)'!AQ107-'Earnings Model'!AQ107</f>
        <v>0</v>
      </c>
    </row>
    <row r="108" spans="1:43" outlineLevel="1" x14ac:dyDescent="0.25">
      <c r="A108" s="254"/>
      <c r="B108" s="550" t="s">
        <v>142</v>
      </c>
      <c r="C108" s="36"/>
      <c r="D108" s="261">
        <v>31.3</v>
      </c>
      <c r="E108" s="261">
        <v>26.3</v>
      </c>
      <c r="F108" s="261">
        <v>26.7</v>
      </c>
      <c r="G108" s="261">
        <v>31.9</v>
      </c>
      <c r="H108" s="170">
        <f>SUM(D108:G108)</f>
        <v>116.19999999999999</v>
      </c>
      <c r="I108" s="261">
        <v>35.9</v>
      </c>
      <c r="J108" s="261">
        <v>31.8</v>
      </c>
      <c r="K108" s="261">
        <v>37.5</v>
      </c>
      <c r="L108" s="169">
        <v>36.200000000000003</v>
      </c>
      <c r="M108" s="170">
        <f>SUM(I108:L108)</f>
        <v>141.4</v>
      </c>
      <c r="N108" s="169">
        <v>34.299999999999997</v>
      </c>
      <c r="O108" s="169">
        <v>29.3</v>
      </c>
      <c r="P108" s="169">
        <v>38.299999999999997</v>
      </c>
      <c r="Q108" s="169">
        <f>'Earnings Model (adjusted)'!Q108-'Earnings Model'!Q108</f>
        <v>0</v>
      </c>
      <c r="R108" s="169">
        <f>'Earnings Model (adjusted)'!R108-'Earnings Model'!R108</f>
        <v>0</v>
      </c>
      <c r="S108" s="169">
        <f>'Earnings Model (adjusted)'!S108-'Earnings Model'!S108</f>
        <v>0</v>
      </c>
      <c r="T108" s="169">
        <f>'Earnings Model (adjusted)'!T108-'Earnings Model'!T108</f>
        <v>0</v>
      </c>
      <c r="U108" s="169">
        <f>'Earnings Model (adjusted)'!U108-'Earnings Model'!U108</f>
        <v>0</v>
      </c>
      <c r="V108" s="169">
        <f>'Earnings Model (adjusted)'!V108-'Earnings Model'!V108</f>
        <v>0</v>
      </c>
      <c r="W108" s="169">
        <f>'Earnings Model (adjusted)'!W108-'Earnings Model'!W108</f>
        <v>0</v>
      </c>
      <c r="X108" s="169">
        <f>'Earnings Model (adjusted)'!X108-'Earnings Model'!X108</f>
        <v>0</v>
      </c>
      <c r="Y108" s="169">
        <f>'Earnings Model (adjusted)'!Y108-'Earnings Model'!Y108</f>
        <v>0</v>
      </c>
      <c r="Z108" s="169">
        <f>'Earnings Model (adjusted)'!Z108-'Earnings Model'!Z108</f>
        <v>0</v>
      </c>
      <c r="AA108" s="169">
        <f>'Earnings Model (adjusted)'!AA108-'Earnings Model'!AA108</f>
        <v>0</v>
      </c>
      <c r="AB108" s="169">
        <f>'Earnings Model (adjusted)'!AB108-'Earnings Model'!AB108</f>
        <v>0</v>
      </c>
      <c r="AC108" s="169">
        <f>'Earnings Model (adjusted)'!AC108-'Earnings Model'!AC108</f>
        <v>0</v>
      </c>
      <c r="AD108" s="169">
        <f>'Earnings Model (adjusted)'!AD108-'Earnings Model'!AD108</f>
        <v>0</v>
      </c>
      <c r="AE108" s="169">
        <f>'Earnings Model (adjusted)'!AE108-'Earnings Model'!AE108</f>
        <v>0</v>
      </c>
      <c r="AF108" s="169">
        <f>'Earnings Model (adjusted)'!AF108-'Earnings Model'!AF108</f>
        <v>0</v>
      </c>
      <c r="AG108" s="169">
        <f>'Earnings Model (adjusted)'!AG108-'Earnings Model'!AG108</f>
        <v>0</v>
      </c>
      <c r="AH108" s="169">
        <f>'Earnings Model (adjusted)'!AH108-'Earnings Model'!AH108</f>
        <v>0</v>
      </c>
      <c r="AI108" s="169">
        <f>'Earnings Model (adjusted)'!AI108-'Earnings Model'!AI108</f>
        <v>0</v>
      </c>
      <c r="AJ108" s="169">
        <f>'Earnings Model (adjusted)'!AJ108-'Earnings Model'!AJ108</f>
        <v>0</v>
      </c>
      <c r="AK108" s="169">
        <f>'Earnings Model (adjusted)'!AK108-'Earnings Model'!AK108</f>
        <v>0</v>
      </c>
      <c r="AL108" s="169">
        <f>'Earnings Model (adjusted)'!AL108-'Earnings Model'!AL108</f>
        <v>0</v>
      </c>
      <c r="AM108" s="169">
        <f>'Earnings Model (adjusted)'!AM108-'Earnings Model'!AM108</f>
        <v>0</v>
      </c>
      <c r="AN108" s="169">
        <f>'Earnings Model (adjusted)'!AN108-'Earnings Model'!AN108</f>
        <v>0</v>
      </c>
      <c r="AO108" s="169">
        <f>'Earnings Model (adjusted)'!AO108-'Earnings Model'!AO108</f>
        <v>0</v>
      </c>
      <c r="AP108" s="169">
        <f>'Earnings Model (adjusted)'!AP108-'Earnings Model'!AP108</f>
        <v>0</v>
      </c>
      <c r="AQ108" s="169">
        <f>'Earnings Model (adjusted)'!AQ108-'Earnings Model'!AQ108</f>
        <v>0</v>
      </c>
    </row>
    <row r="109" spans="1:43" s="473" customFormat="1" outlineLevel="1" x14ac:dyDescent="0.25">
      <c r="A109" s="471"/>
      <c r="B109" s="467" t="s">
        <v>342</v>
      </c>
      <c r="C109" s="478"/>
      <c r="D109" s="475">
        <f>D108/D103</f>
        <v>2.0811170212765958E-2</v>
      </c>
      <c r="E109" s="475">
        <f t="shared" ref="E109:P109" si="84">E108/E103</f>
        <v>1.7196286125277887E-2</v>
      </c>
      <c r="F109" s="475">
        <f t="shared" si="84"/>
        <v>1.6842238062196431E-2</v>
      </c>
      <c r="G109" s="475">
        <f t="shared" si="84"/>
        <v>2.0291330068061827E-2</v>
      </c>
      <c r="H109" s="476">
        <f t="shared" si="84"/>
        <v>1.8769787426503842E-2</v>
      </c>
      <c r="I109" s="475">
        <f t="shared" si="84"/>
        <v>2.2850232321303544E-2</v>
      </c>
      <c r="J109" s="475">
        <f t="shared" si="84"/>
        <v>2.8027498677948178E-2</v>
      </c>
      <c r="K109" s="475">
        <f t="shared" si="84"/>
        <v>3.9490311710193765E-2</v>
      </c>
      <c r="L109" s="475">
        <f t="shared" si="84"/>
        <v>2.4257856999262885E-2</v>
      </c>
      <c r="M109" s="476">
        <f t="shared" si="84"/>
        <v>2.7469111819100167E-2</v>
      </c>
      <c r="N109" s="475">
        <f t="shared" si="84"/>
        <v>2.0733845130871061E-2</v>
      </c>
      <c r="O109" s="475">
        <f t="shared" si="84"/>
        <v>1.8188590229064498E-2</v>
      </c>
      <c r="P109" s="475">
        <f t="shared" si="84"/>
        <v>2.3094548962855763E-2</v>
      </c>
      <c r="Q109" s="169">
        <f>'Earnings Model (adjusted)'!Q109-'Earnings Model'!Q109</f>
        <v>0</v>
      </c>
      <c r="R109" s="169">
        <f>'Earnings Model (adjusted)'!R109-'Earnings Model'!R109</f>
        <v>0</v>
      </c>
      <c r="S109" s="169">
        <f>'Earnings Model (adjusted)'!S109-'Earnings Model'!S109</f>
        <v>0</v>
      </c>
      <c r="T109" s="169">
        <f>'Earnings Model (adjusted)'!T109-'Earnings Model'!T109</f>
        <v>0</v>
      </c>
      <c r="U109" s="169">
        <f>'Earnings Model (adjusted)'!U109-'Earnings Model'!U109</f>
        <v>0</v>
      </c>
      <c r="V109" s="169">
        <f>'Earnings Model (adjusted)'!V109-'Earnings Model'!V109</f>
        <v>0</v>
      </c>
      <c r="W109" s="169">
        <f>'Earnings Model (adjusted)'!W109-'Earnings Model'!W109</f>
        <v>0</v>
      </c>
      <c r="X109" s="169">
        <f>'Earnings Model (adjusted)'!X109-'Earnings Model'!X109</f>
        <v>0</v>
      </c>
      <c r="Y109" s="169">
        <f>'Earnings Model (adjusted)'!Y109-'Earnings Model'!Y109</f>
        <v>0</v>
      </c>
      <c r="Z109" s="169">
        <f>'Earnings Model (adjusted)'!Z109-'Earnings Model'!Z109</f>
        <v>0</v>
      </c>
      <c r="AA109" s="169">
        <f>'Earnings Model (adjusted)'!AA109-'Earnings Model'!AA109</f>
        <v>0</v>
      </c>
      <c r="AB109" s="169">
        <f>'Earnings Model (adjusted)'!AB109-'Earnings Model'!AB109</f>
        <v>0</v>
      </c>
      <c r="AC109" s="169">
        <f>'Earnings Model (adjusted)'!AC109-'Earnings Model'!AC109</f>
        <v>0</v>
      </c>
      <c r="AD109" s="169">
        <f>'Earnings Model (adjusted)'!AD109-'Earnings Model'!AD109</f>
        <v>0</v>
      </c>
      <c r="AE109" s="169">
        <f>'Earnings Model (adjusted)'!AE109-'Earnings Model'!AE109</f>
        <v>0</v>
      </c>
      <c r="AF109" s="169">
        <f>'Earnings Model (adjusted)'!AF109-'Earnings Model'!AF109</f>
        <v>0</v>
      </c>
      <c r="AG109" s="169">
        <f>'Earnings Model (adjusted)'!AG109-'Earnings Model'!AG109</f>
        <v>0</v>
      </c>
      <c r="AH109" s="169">
        <f>'Earnings Model (adjusted)'!AH109-'Earnings Model'!AH109</f>
        <v>0</v>
      </c>
      <c r="AI109" s="169">
        <f>'Earnings Model (adjusted)'!AI109-'Earnings Model'!AI109</f>
        <v>0</v>
      </c>
      <c r="AJ109" s="169">
        <f>'Earnings Model (adjusted)'!AJ109-'Earnings Model'!AJ109</f>
        <v>0</v>
      </c>
      <c r="AK109" s="169">
        <f>'Earnings Model (adjusted)'!AK109-'Earnings Model'!AK109</f>
        <v>0</v>
      </c>
      <c r="AL109" s="169">
        <f>'Earnings Model (adjusted)'!AL109-'Earnings Model'!AL109</f>
        <v>0</v>
      </c>
      <c r="AM109" s="169">
        <f>'Earnings Model (adjusted)'!AM109-'Earnings Model'!AM109</f>
        <v>0</v>
      </c>
      <c r="AN109" s="169">
        <f>'Earnings Model (adjusted)'!AN109-'Earnings Model'!AN109</f>
        <v>0</v>
      </c>
      <c r="AO109" s="169">
        <f>'Earnings Model (adjusted)'!AO109-'Earnings Model'!AO109</f>
        <v>0</v>
      </c>
      <c r="AP109" s="169">
        <f>'Earnings Model (adjusted)'!AP109-'Earnings Model'!AP109</f>
        <v>0</v>
      </c>
      <c r="AQ109" s="169">
        <f>'Earnings Model (adjusted)'!AQ109-'Earnings Model'!AQ109</f>
        <v>0</v>
      </c>
    </row>
    <row r="110" spans="1:43" outlineLevel="1" x14ac:dyDescent="0.25">
      <c r="A110" s="254"/>
      <c r="B110" s="550" t="s">
        <v>143</v>
      </c>
      <c r="C110" s="36"/>
      <c r="D110" s="287">
        <v>127</v>
      </c>
      <c r="E110" s="287">
        <v>130.4</v>
      </c>
      <c r="F110" s="287">
        <v>127.7</v>
      </c>
      <c r="G110" s="287">
        <v>126.5</v>
      </c>
      <c r="H110" s="59">
        <f>SUM(D110:G110)</f>
        <v>511.59999999999997</v>
      </c>
      <c r="I110" s="287">
        <v>126.6</v>
      </c>
      <c r="J110" s="287">
        <v>130</v>
      </c>
      <c r="K110" s="287">
        <v>128.5</v>
      </c>
      <c r="L110" s="205">
        <v>133.1</v>
      </c>
      <c r="M110" s="59">
        <f>SUM(I110:L110)</f>
        <v>518.20000000000005</v>
      </c>
      <c r="N110" s="205">
        <v>140</v>
      </c>
      <c r="O110" s="205">
        <v>143.4</v>
      </c>
      <c r="P110" s="205">
        <v>129.69999999999999</v>
      </c>
      <c r="Q110" s="169">
        <f>'Earnings Model (adjusted)'!Q110-'Earnings Model'!Q110</f>
        <v>0</v>
      </c>
      <c r="R110" s="169">
        <f>'Earnings Model (adjusted)'!R110-'Earnings Model'!R110</f>
        <v>0</v>
      </c>
      <c r="S110" s="169">
        <f>'Earnings Model (adjusted)'!S110-'Earnings Model'!S110</f>
        <v>0</v>
      </c>
      <c r="T110" s="169">
        <f>'Earnings Model (adjusted)'!T110-'Earnings Model'!T110</f>
        <v>0.11798820935879917</v>
      </c>
      <c r="U110" s="169">
        <f>'Earnings Model (adjusted)'!U110-'Earnings Model'!U110</f>
        <v>0.22468618135326324</v>
      </c>
      <c r="V110" s="169">
        <f>'Earnings Model (adjusted)'!V110-'Earnings Model'!V110</f>
        <v>0.27810589238146122</v>
      </c>
      <c r="W110" s="169">
        <f>'Earnings Model (adjusted)'!W110-'Earnings Model'!W110</f>
        <v>0.6207802830934952</v>
      </c>
      <c r="X110" s="169">
        <f>'Earnings Model (adjusted)'!X110-'Earnings Model'!X110</f>
        <v>0.32509948953804724</v>
      </c>
      <c r="Y110" s="169">
        <f>'Earnings Model (adjusted)'!Y110-'Earnings Model'!Y110</f>
        <v>0.4484542402139482</v>
      </c>
      <c r="Z110" s="169">
        <f>'Earnings Model (adjusted)'!Z110-'Earnings Model'!Z110</f>
        <v>0.56402932865327671</v>
      </c>
      <c r="AA110" s="169">
        <f>'Earnings Model (adjusted)'!AA110-'Earnings Model'!AA110</f>
        <v>0.59518439349173491</v>
      </c>
      <c r="AB110" s="169">
        <f>'Earnings Model (adjusted)'!AB110-'Earnings Model'!AB110</f>
        <v>1.9327674518971207</v>
      </c>
      <c r="AC110" s="169">
        <f>'Earnings Model (adjusted)'!AC110-'Earnings Model'!AC110</f>
        <v>0.62090066522347342</v>
      </c>
      <c r="AD110" s="169">
        <f>'Earnings Model (adjusted)'!AD110-'Earnings Model'!AD110</f>
        <v>0.7534976012945549</v>
      </c>
      <c r="AE110" s="169">
        <f>'Earnings Model (adjusted)'!AE110-'Earnings Model'!AE110</f>
        <v>0.87807356167013495</v>
      </c>
      <c r="AF110" s="169">
        <f>'Earnings Model (adjusted)'!AF110-'Earnings Model'!AF110</f>
        <v>0.88850840393635622</v>
      </c>
      <c r="AG110" s="169">
        <f>'Earnings Model (adjusted)'!AG110-'Earnings Model'!AG110</f>
        <v>3.1409802321245479</v>
      </c>
      <c r="AH110" s="169">
        <f>'Earnings Model (adjusted)'!AH110-'Earnings Model'!AH110</f>
        <v>0.86467100839146838</v>
      </c>
      <c r="AI110" s="169">
        <f>'Earnings Model (adjusted)'!AI110-'Earnings Model'!AI110</f>
        <v>1.0278094679917444</v>
      </c>
      <c r="AJ110" s="169">
        <f>'Earnings Model (adjusted)'!AJ110-'Earnings Model'!AJ110</f>
        <v>1.1811191878101113</v>
      </c>
      <c r="AK110" s="169">
        <f>'Earnings Model (adjusted)'!AK110-'Earnings Model'!AK110</f>
        <v>1.1776803895122328</v>
      </c>
      <c r="AL110" s="169">
        <f>'Earnings Model (adjusted)'!AL110-'Earnings Model'!AL110</f>
        <v>4.2512800537056137</v>
      </c>
      <c r="AM110" s="169">
        <f>'Earnings Model (adjusted)'!AM110-'Earnings Model'!AM110</f>
        <v>1.1380137242700812</v>
      </c>
      <c r="AN110" s="169">
        <f>'Earnings Model (adjusted)'!AN110-'Earnings Model'!AN110</f>
        <v>1.2997877790016048</v>
      </c>
      <c r="AO110" s="169">
        <f>'Earnings Model (adjusted)'!AO110-'Earnings Model'!AO110</f>
        <v>1.4516661924830032</v>
      </c>
      <c r="AP110" s="169">
        <f>'Earnings Model (adjusted)'!AP110-'Earnings Model'!AP110</f>
        <v>1.4363843255346751</v>
      </c>
      <c r="AQ110" s="169">
        <f>'Earnings Model (adjusted)'!AQ110-'Earnings Model'!AQ110</f>
        <v>5.3258520212895064</v>
      </c>
    </row>
    <row r="111" spans="1:43" outlineLevel="1" x14ac:dyDescent="0.25">
      <c r="A111" s="254"/>
      <c r="B111" s="550" t="s">
        <v>144</v>
      </c>
      <c r="C111" s="36"/>
      <c r="D111" s="261">
        <v>69.3</v>
      </c>
      <c r="E111" s="261">
        <v>80.2</v>
      </c>
      <c r="F111" s="261">
        <v>86</v>
      </c>
      <c r="G111" s="261">
        <v>82.4</v>
      </c>
      <c r="H111" s="170">
        <f>SUM(D111:G111)</f>
        <v>317.89999999999998</v>
      </c>
      <c r="I111" s="261">
        <v>67.2</v>
      </c>
      <c r="J111" s="261">
        <v>63.7</v>
      </c>
      <c r="K111" s="261">
        <v>66.099999999999994</v>
      </c>
      <c r="L111" s="169">
        <v>82.5</v>
      </c>
      <c r="M111" s="170">
        <f>SUM(I111:L111)</f>
        <v>279.5</v>
      </c>
      <c r="N111" s="169">
        <v>82.6</v>
      </c>
      <c r="O111" s="169">
        <v>79.8</v>
      </c>
      <c r="P111" s="169">
        <v>92.3</v>
      </c>
      <c r="Q111" s="169">
        <f>'Earnings Model (adjusted)'!Q111-'Earnings Model'!Q111</f>
        <v>0</v>
      </c>
      <c r="R111" s="169">
        <f>'Earnings Model (adjusted)'!R111-'Earnings Model'!R111</f>
        <v>0</v>
      </c>
      <c r="S111" s="169">
        <f>'Earnings Model (adjusted)'!S111-'Earnings Model'!S111</f>
        <v>0</v>
      </c>
      <c r="T111" s="169">
        <f>'Earnings Model (adjusted)'!T111-'Earnings Model'!T111</f>
        <v>0</v>
      </c>
      <c r="U111" s="169">
        <f>'Earnings Model (adjusted)'!U111-'Earnings Model'!U111</f>
        <v>0</v>
      </c>
      <c r="V111" s="169">
        <f>'Earnings Model (adjusted)'!V111-'Earnings Model'!V111</f>
        <v>0</v>
      </c>
      <c r="W111" s="169">
        <f>'Earnings Model (adjusted)'!W111-'Earnings Model'!W111</f>
        <v>0</v>
      </c>
      <c r="X111" s="169">
        <f>'Earnings Model (adjusted)'!X111-'Earnings Model'!X111</f>
        <v>0</v>
      </c>
      <c r="Y111" s="169">
        <f>'Earnings Model (adjusted)'!Y111-'Earnings Model'!Y111</f>
        <v>0</v>
      </c>
      <c r="Z111" s="169">
        <f>'Earnings Model (adjusted)'!Z111-'Earnings Model'!Z111</f>
        <v>0</v>
      </c>
      <c r="AA111" s="169">
        <f>'Earnings Model (adjusted)'!AA111-'Earnings Model'!AA111</f>
        <v>0</v>
      </c>
      <c r="AB111" s="169">
        <f>'Earnings Model (adjusted)'!AB111-'Earnings Model'!AB111</f>
        <v>0</v>
      </c>
      <c r="AC111" s="169">
        <f>'Earnings Model (adjusted)'!AC111-'Earnings Model'!AC111</f>
        <v>0</v>
      </c>
      <c r="AD111" s="169">
        <f>'Earnings Model (adjusted)'!AD111-'Earnings Model'!AD111</f>
        <v>0</v>
      </c>
      <c r="AE111" s="169">
        <f>'Earnings Model (adjusted)'!AE111-'Earnings Model'!AE111</f>
        <v>0</v>
      </c>
      <c r="AF111" s="169">
        <f>'Earnings Model (adjusted)'!AF111-'Earnings Model'!AF111</f>
        <v>0</v>
      </c>
      <c r="AG111" s="169">
        <f>'Earnings Model (adjusted)'!AG111-'Earnings Model'!AG111</f>
        <v>0</v>
      </c>
      <c r="AH111" s="169">
        <f>'Earnings Model (adjusted)'!AH111-'Earnings Model'!AH111</f>
        <v>0</v>
      </c>
      <c r="AI111" s="169">
        <f>'Earnings Model (adjusted)'!AI111-'Earnings Model'!AI111</f>
        <v>0</v>
      </c>
      <c r="AJ111" s="169">
        <f>'Earnings Model (adjusted)'!AJ111-'Earnings Model'!AJ111</f>
        <v>0</v>
      </c>
      <c r="AK111" s="169">
        <f>'Earnings Model (adjusted)'!AK111-'Earnings Model'!AK111</f>
        <v>0</v>
      </c>
      <c r="AL111" s="169">
        <f>'Earnings Model (adjusted)'!AL111-'Earnings Model'!AL111</f>
        <v>0</v>
      </c>
      <c r="AM111" s="169">
        <f>'Earnings Model (adjusted)'!AM111-'Earnings Model'!AM111</f>
        <v>0</v>
      </c>
      <c r="AN111" s="169">
        <f>'Earnings Model (adjusted)'!AN111-'Earnings Model'!AN111</f>
        <v>0</v>
      </c>
      <c r="AO111" s="169">
        <f>'Earnings Model (adjusted)'!AO111-'Earnings Model'!AO111</f>
        <v>0</v>
      </c>
      <c r="AP111" s="169">
        <f>'Earnings Model (adjusted)'!AP111-'Earnings Model'!AP111</f>
        <v>0</v>
      </c>
      <c r="AQ111" s="169">
        <f>'Earnings Model (adjusted)'!AQ111-'Earnings Model'!AQ111</f>
        <v>0</v>
      </c>
    </row>
    <row r="112" spans="1:43" s="473" customFormat="1" outlineLevel="1" x14ac:dyDescent="0.25">
      <c r="A112" s="471"/>
      <c r="B112" s="467" t="s">
        <v>343</v>
      </c>
      <c r="C112" s="478"/>
      <c r="D112" s="475">
        <f>D111/D103</f>
        <v>4.6077127659574467E-2</v>
      </c>
      <c r="E112" s="475">
        <f t="shared" ref="E112:P112" si="85">E111/E103</f>
        <v>5.2438864914345497E-2</v>
      </c>
      <c r="F112" s="475">
        <f t="shared" si="85"/>
        <v>5.4248407241531571E-2</v>
      </c>
      <c r="G112" s="475">
        <f t="shared" si="85"/>
        <v>5.2413968577062528E-2</v>
      </c>
      <c r="H112" s="476">
        <f t="shared" si="85"/>
        <v>5.1350390902629703E-2</v>
      </c>
      <c r="I112" s="475">
        <f t="shared" si="85"/>
        <v>4.277257972121444E-2</v>
      </c>
      <c r="J112" s="475">
        <f t="shared" si="85"/>
        <v>5.6143134144191795E-2</v>
      </c>
      <c r="K112" s="475">
        <f t="shared" si="85"/>
        <v>6.9608256107834873E-2</v>
      </c>
      <c r="L112" s="475">
        <f t="shared" si="85"/>
        <v>5.5283790122629503E-2</v>
      </c>
      <c r="M112" s="476">
        <f t="shared" si="85"/>
        <v>5.4297148185562208E-2</v>
      </c>
      <c r="N112" s="475">
        <f t="shared" si="85"/>
        <v>4.9930484192709908E-2</v>
      </c>
      <c r="O112" s="475">
        <f t="shared" si="85"/>
        <v>4.9537525606803648E-2</v>
      </c>
      <c r="P112" s="475">
        <f t="shared" si="85"/>
        <v>5.5656054027978775E-2</v>
      </c>
      <c r="Q112" s="169">
        <f>'Earnings Model (adjusted)'!Q112-'Earnings Model'!Q112</f>
        <v>0</v>
      </c>
      <c r="R112" s="169">
        <f>'Earnings Model (adjusted)'!R112-'Earnings Model'!R112</f>
        <v>0</v>
      </c>
      <c r="S112" s="169">
        <f>'Earnings Model (adjusted)'!S112-'Earnings Model'!S112</f>
        <v>0</v>
      </c>
      <c r="T112" s="169">
        <f>'Earnings Model (adjusted)'!T112-'Earnings Model'!T112</f>
        <v>0</v>
      </c>
      <c r="U112" s="169">
        <f>'Earnings Model (adjusted)'!U112-'Earnings Model'!U112</f>
        <v>0</v>
      </c>
      <c r="V112" s="169">
        <f>'Earnings Model (adjusted)'!V112-'Earnings Model'!V112</f>
        <v>0</v>
      </c>
      <c r="W112" s="169">
        <f>'Earnings Model (adjusted)'!W112-'Earnings Model'!W112</f>
        <v>0</v>
      </c>
      <c r="X112" s="169">
        <f>'Earnings Model (adjusted)'!X112-'Earnings Model'!X112</f>
        <v>0</v>
      </c>
      <c r="Y112" s="169">
        <f>'Earnings Model (adjusted)'!Y112-'Earnings Model'!Y112</f>
        <v>0</v>
      </c>
      <c r="Z112" s="169">
        <f>'Earnings Model (adjusted)'!Z112-'Earnings Model'!Z112</f>
        <v>0</v>
      </c>
      <c r="AA112" s="169">
        <f>'Earnings Model (adjusted)'!AA112-'Earnings Model'!AA112</f>
        <v>0</v>
      </c>
      <c r="AB112" s="169">
        <f>'Earnings Model (adjusted)'!AB112-'Earnings Model'!AB112</f>
        <v>0</v>
      </c>
      <c r="AC112" s="169">
        <f>'Earnings Model (adjusted)'!AC112-'Earnings Model'!AC112</f>
        <v>0</v>
      </c>
      <c r="AD112" s="169">
        <f>'Earnings Model (adjusted)'!AD112-'Earnings Model'!AD112</f>
        <v>0</v>
      </c>
      <c r="AE112" s="169">
        <f>'Earnings Model (adjusted)'!AE112-'Earnings Model'!AE112</f>
        <v>0</v>
      </c>
      <c r="AF112" s="169">
        <f>'Earnings Model (adjusted)'!AF112-'Earnings Model'!AF112</f>
        <v>0</v>
      </c>
      <c r="AG112" s="169">
        <f>'Earnings Model (adjusted)'!AG112-'Earnings Model'!AG112</f>
        <v>0</v>
      </c>
      <c r="AH112" s="169">
        <f>'Earnings Model (adjusted)'!AH112-'Earnings Model'!AH112</f>
        <v>0</v>
      </c>
      <c r="AI112" s="169">
        <f>'Earnings Model (adjusted)'!AI112-'Earnings Model'!AI112</f>
        <v>0</v>
      </c>
      <c r="AJ112" s="169">
        <f>'Earnings Model (adjusted)'!AJ112-'Earnings Model'!AJ112</f>
        <v>0</v>
      </c>
      <c r="AK112" s="169">
        <f>'Earnings Model (adjusted)'!AK112-'Earnings Model'!AK112</f>
        <v>0</v>
      </c>
      <c r="AL112" s="169">
        <f>'Earnings Model (adjusted)'!AL112-'Earnings Model'!AL112</f>
        <v>0</v>
      </c>
      <c r="AM112" s="169">
        <f>'Earnings Model (adjusted)'!AM112-'Earnings Model'!AM112</f>
        <v>0</v>
      </c>
      <c r="AN112" s="169">
        <f>'Earnings Model (adjusted)'!AN112-'Earnings Model'!AN112</f>
        <v>0</v>
      </c>
      <c r="AO112" s="169">
        <f>'Earnings Model (adjusted)'!AO112-'Earnings Model'!AO112</f>
        <v>0</v>
      </c>
      <c r="AP112" s="169">
        <f>'Earnings Model (adjusted)'!AP112-'Earnings Model'!AP112</f>
        <v>0</v>
      </c>
      <c r="AQ112" s="169">
        <f>'Earnings Model (adjusted)'!AQ112-'Earnings Model'!AQ112</f>
        <v>0</v>
      </c>
    </row>
    <row r="113" spans="1:43" ht="17.25" outlineLevel="1" x14ac:dyDescent="0.4">
      <c r="A113" s="254"/>
      <c r="B113" s="550" t="s">
        <v>152</v>
      </c>
      <c r="C113" s="36"/>
      <c r="D113" s="288">
        <v>6.4</v>
      </c>
      <c r="E113" s="288">
        <v>24.2</v>
      </c>
      <c r="F113" s="288">
        <v>16.600000000000001</v>
      </c>
      <c r="G113" s="288">
        <v>12</v>
      </c>
      <c r="H113" s="210">
        <f>SUM(D113:G113)</f>
        <v>59.2</v>
      </c>
      <c r="I113" s="288">
        <v>0.8</v>
      </c>
      <c r="J113" s="288">
        <v>-1.2</v>
      </c>
      <c r="K113" s="288">
        <v>-0.2</v>
      </c>
      <c r="L113" s="206">
        <v>-0.6</v>
      </c>
      <c r="M113" s="210">
        <f>SUM(I113:L113)</f>
        <v>-1.1999999999999997</v>
      </c>
      <c r="N113" s="206">
        <v>0</v>
      </c>
      <c r="O113" s="288">
        <v>0</v>
      </c>
      <c r="P113" s="288">
        <v>0</v>
      </c>
      <c r="Q113" s="169">
        <f>'Earnings Model (adjusted)'!Q113-'Earnings Model'!Q113</f>
        <v>0</v>
      </c>
      <c r="R113" s="169">
        <f>'Earnings Model (adjusted)'!R113-'Earnings Model'!R113</f>
        <v>0</v>
      </c>
      <c r="S113" s="169">
        <f>'Earnings Model (adjusted)'!S113-'Earnings Model'!S113</f>
        <v>0</v>
      </c>
      <c r="T113" s="169">
        <f>'Earnings Model (adjusted)'!T113-'Earnings Model'!T113</f>
        <v>0</v>
      </c>
      <c r="U113" s="169">
        <f>'Earnings Model (adjusted)'!U113-'Earnings Model'!U113</f>
        <v>0</v>
      </c>
      <c r="V113" s="169">
        <f>'Earnings Model (adjusted)'!V113-'Earnings Model'!V113</f>
        <v>0</v>
      </c>
      <c r="W113" s="169">
        <f>'Earnings Model (adjusted)'!W113-'Earnings Model'!W113</f>
        <v>0</v>
      </c>
      <c r="X113" s="169">
        <f>'Earnings Model (adjusted)'!X113-'Earnings Model'!X113</f>
        <v>0</v>
      </c>
      <c r="Y113" s="169">
        <f>'Earnings Model (adjusted)'!Y113-'Earnings Model'!Y113</f>
        <v>0</v>
      </c>
      <c r="Z113" s="169">
        <f>'Earnings Model (adjusted)'!Z113-'Earnings Model'!Z113</f>
        <v>0</v>
      </c>
      <c r="AA113" s="169">
        <f>'Earnings Model (adjusted)'!AA113-'Earnings Model'!AA113</f>
        <v>0</v>
      </c>
      <c r="AB113" s="169">
        <f>'Earnings Model (adjusted)'!AB113-'Earnings Model'!AB113</f>
        <v>0</v>
      </c>
      <c r="AC113" s="169">
        <f>'Earnings Model (adjusted)'!AC113-'Earnings Model'!AC113</f>
        <v>0</v>
      </c>
      <c r="AD113" s="169">
        <f>'Earnings Model (adjusted)'!AD113-'Earnings Model'!AD113</f>
        <v>0</v>
      </c>
      <c r="AE113" s="169">
        <f>'Earnings Model (adjusted)'!AE113-'Earnings Model'!AE113</f>
        <v>0</v>
      </c>
      <c r="AF113" s="169">
        <f>'Earnings Model (adjusted)'!AF113-'Earnings Model'!AF113</f>
        <v>0</v>
      </c>
      <c r="AG113" s="169">
        <f>'Earnings Model (adjusted)'!AG113-'Earnings Model'!AG113</f>
        <v>0</v>
      </c>
      <c r="AH113" s="169">
        <f>'Earnings Model (adjusted)'!AH113-'Earnings Model'!AH113</f>
        <v>0</v>
      </c>
      <c r="AI113" s="169">
        <f>'Earnings Model (adjusted)'!AI113-'Earnings Model'!AI113</f>
        <v>0</v>
      </c>
      <c r="AJ113" s="169">
        <f>'Earnings Model (adjusted)'!AJ113-'Earnings Model'!AJ113</f>
        <v>0</v>
      </c>
      <c r="AK113" s="169">
        <f>'Earnings Model (adjusted)'!AK113-'Earnings Model'!AK113</f>
        <v>0</v>
      </c>
      <c r="AL113" s="169">
        <f>'Earnings Model (adjusted)'!AL113-'Earnings Model'!AL113</f>
        <v>0</v>
      </c>
      <c r="AM113" s="169">
        <f>'Earnings Model (adjusted)'!AM113-'Earnings Model'!AM113</f>
        <v>0</v>
      </c>
      <c r="AN113" s="169">
        <f>'Earnings Model (adjusted)'!AN113-'Earnings Model'!AN113</f>
        <v>0</v>
      </c>
      <c r="AO113" s="169">
        <f>'Earnings Model (adjusted)'!AO113-'Earnings Model'!AO113</f>
        <v>0</v>
      </c>
      <c r="AP113" s="169">
        <f>'Earnings Model (adjusted)'!AP113-'Earnings Model'!AP113</f>
        <v>0</v>
      </c>
      <c r="AQ113" s="169">
        <f>'Earnings Model (adjusted)'!AQ113-'Earnings Model'!AQ113</f>
        <v>0</v>
      </c>
    </row>
    <row r="114" spans="1:43" outlineLevel="1" x14ac:dyDescent="0.25">
      <c r="A114" s="254"/>
      <c r="B114" s="167" t="s">
        <v>299</v>
      </c>
      <c r="C114" s="39"/>
      <c r="D114" s="259">
        <f>D104+D106+D108+D110+D111+D113</f>
        <v>1300.4000000000001</v>
      </c>
      <c r="E114" s="259">
        <f t="shared" ref="E114:G114" si="86">E104+E106+E108+E110+E111+E113</f>
        <v>1349.7</v>
      </c>
      <c r="F114" s="259">
        <f t="shared" si="86"/>
        <v>1342.3000000000002</v>
      </c>
      <c r="G114" s="259">
        <f t="shared" si="86"/>
        <v>1336.2000000000003</v>
      </c>
      <c r="H114" s="451">
        <f>H104+H106+H108+H110+H111+H113</f>
        <v>5328.5999999999995</v>
      </c>
      <c r="I114" s="259">
        <f>I104+I106+I108+I110+I111+I113</f>
        <v>1326.1</v>
      </c>
      <c r="J114" s="259">
        <f t="shared" ref="J114:L114" si="87">J104+J106+J108+J110+J111+J113</f>
        <v>1174.8</v>
      </c>
      <c r="K114" s="259">
        <f t="shared" si="87"/>
        <v>1052.9999999999998</v>
      </c>
      <c r="L114" s="259">
        <f t="shared" si="87"/>
        <v>1342</v>
      </c>
      <c r="M114" s="451">
        <f>M104+M106+M108+M110+M111+M113</f>
        <v>4895.9000000000005</v>
      </c>
      <c r="N114" s="259">
        <f>N104+N106+N108+N110+N111+N113</f>
        <v>1405.8</v>
      </c>
      <c r="O114" s="259">
        <f t="shared" ref="O114:P114" si="88">O104+O106+O108+O110+O111+O113</f>
        <v>1386.2</v>
      </c>
      <c r="P114" s="259">
        <f t="shared" si="88"/>
        <v>1382.1</v>
      </c>
      <c r="Q114" s="169">
        <f>'Earnings Model (adjusted)'!Q114-'Earnings Model'!Q114</f>
        <v>0</v>
      </c>
      <c r="R114" s="169">
        <f>'Earnings Model (adjusted)'!R114-'Earnings Model'!R114</f>
        <v>0</v>
      </c>
      <c r="S114" s="169">
        <f>'Earnings Model (adjusted)'!S114-'Earnings Model'!S114</f>
        <v>0</v>
      </c>
      <c r="T114" s="169">
        <f>'Earnings Model (adjusted)'!T114-'Earnings Model'!T114</f>
        <v>0.11798820935882759</v>
      </c>
      <c r="U114" s="169">
        <f>'Earnings Model (adjusted)'!U114-'Earnings Model'!U114</f>
        <v>0.22468618135326324</v>
      </c>
      <c r="V114" s="169">
        <f>'Earnings Model (adjusted)'!V114-'Earnings Model'!V114</f>
        <v>0.27810589238151806</v>
      </c>
      <c r="W114" s="169">
        <f>'Earnings Model (adjusted)'!W114-'Earnings Model'!W114</f>
        <v>0.62078028309406363</v>
      </c>
      <c r="X114" s="169">
        <f>'Earnings Model (adjusted)'!X114-'Earnings Model'!X114</f>
        <v>0.32509948953793355</v>
      </c>
      <c r="Y114" s="169">
        <f>'Earnings Model (adjusted)'!Y114-'Earnings Model'!Y114</f>
        <v>0.44845424021400504</v>
      </c>
      <c r="Z114" s="169">
        <f>'Earnings Model (adjusted)'!Z114-'Earnings Model'!Z114</f>
        <v>0.56402932865330513</v>
      </c>
      <c r="AA114" s="169">
        <f>'Earnings Model (adjusted)'!AA114-'Earnings Model'!AA114</f>
        <v>0.59518439349176333</v>
      </c>
      <c r="AB114" s="169">
        <f>'Earnings Model (adjusted)'!AB114-'Earnings Model'!AB114</f>
        <v>1.9327674518972344</v>
      </c>
      <c r="AC114" s="169">
        <f>'Earnings Model (adjusted)'!AC114-'Earnings Model'!AC114</f>
        <v>0.62090066522341658</v>
      </c>
      <c r="AD114" s="169">
        <f>'Earnings Model (adjusted)'!AD114-'Earnings Model'!AD114</f>
        <v>0.75349760129461174</v>
      </c>
      <c r="AE114" s="169">
        <f>'Earnings Model (adjusted)'!AE114-'Earnings Model'!AE114</f>
        <v>0.87807356167013495</v>
      </c>
      <c r="AF114" s="169">
        <f>'Earnings Model (adjusted)'!AF114-'Earnings Model'!AF114</f>
        <v>0.88850840393615726</v>
      </c>
      <c r="AG114" s="169">
        <f>'Earnings Model (adjusted)'!AG114-'Earnings Model'!AG114</f>
        <v>3.1409802321250027</v>
      </c>
      <c r="AH114" s="169">
        <f>'Earnings Model (adjusted)'!AH114-'Earnings Model'!AH114</f>
        <v>0.86467100839126942</v>
      </c>
      <c r="AI114" s="169">
        <f>'Earnings Model (adjusted)'!AI114-'Earnings Model'!AI114</f>
        <v>1.0278094679920287</v>
      </c>
      <c r="AJ114" s="169">
        <f>'Earnings Model (adjusted)'!AJ114-'Earnings Model'!AJ114</f>
        <v>1.1811191878100544</v>
      </c>
      <c r="AK114" s="169">
        <f>'Earnings Model (adjusted)'!AK114-'Earnings Model'!AK114</f>
        <v>1.1776803895122612</v>
      </c>
      <c r="AL114" s="169">
        <f>'Earnings Model (adjusted)'!AL114-'Earnings Model'!AL114</f>
        <v>4.2512800537060684</v>
      </c>
      <c r="AM114" s="169">
        <f>'Earnings Model (adjusted)'!AM114-'Earnings Model'!AM114</f>
        <v>1.1380137242704222</v>
      </c>
      <c r="AN114" s="169">
        <f>'Earnings Model (adjusted)'!AN114-'Earnings Model'!AN114</f>
        <v>1.2997877790016901</v>
      </c>
      <c r="AO114" s="169">
        <f>'Earnings Model (adjusted)'!AO114-'Earnings Model'!AO114</f>
        <v>1.4516661924826622</v>
      </c>
      <c r="AP114" s="169">
        <f>'Earnings Model (adjusted)'!AP114-'Earnings Model'!AP114</f>
        <v>1.4363843255346183</v>
      </c>
      <c r="AQ114" s="169">
        <f>'Earnings Model (adjusted)'!AQ114-'Earnings Model'!AQ114</f>
        <v>5.3258520212893927</v>
      </c>
    </row>
    <row r="115" spans="1:43" ht="17.25" outlineLevel="1" x14ac:dyDescent="0.4">
      <c r="A115" s="254"/>
      <c r="B115" s="550" t="s">
        <v>145</v>
      </c>
      <c r="C115" s="36"/>
      <c r="D115" s="288">
        <v>26.4</v>
      </c>
      <c r="E115" s="260">
        <v>22.1</v>
      </c>
      <c r="F115" s="260">
        <v>27.2</v>
      </c>
      <c r="G115" s="260">
        <v>26.8</v>
      </c>
      <c r="H115" s="481">
        <f>SUM(D115:G115)</f>
        <v>102.5</v>
      </c>
      <c r="I115" s="260">
        <v>30.9</v>
      </c>
      <c r="J115" s="260">
        <v>24.8</v>
      </c>
      <c r="K115" s="260">
        <v>17.399999999999999</v>
      </c>
      <c r="L115" s="260">
        <v>29.2</v>
      </c>
      <c r="M115" s="481">
        <f>SUM(I115:L115)</f>
        <v>102.3</v>
      </c>
      <c r="N115" s="260">
        <v>26.3</v>
      </c>
      <c r="O115" s="260">
        <v>26.8</v>
      </c>
      <c r="P115" s="260">
        <v>42</v>
      </c>
      <c r="Q115" s="169">
        <f>'Earnings Model (adjusted)'!Q115-'Earnings Model'!Q115</f>
        <v>0</v>
      </c>
      <c r="R115" s="169">
        <f>'Earnings Model (adjusted)'!R115-'Earnings Model'!R115</f>
        <v>0</v>
      </c>
      <c r="S115" s="169">
        <f>'Earnings Model (adjusted)'!S115-'Earnings Model'!S115</f>
        <v>0</v>
      </c>
      <c r="T115" s="169">
        <f>'Earnings Model (adjusted)'!T115-'Earnings Model'!T115</f>
        <v>0</v>
      </c>
      <c r="U115" s="169">
        <f>'Earnings Model (adjusted)'!U115-'Earnings Model'!U115</f>
        <v>0</v>
      </c>
      <c r="V115" s="169">
        <f>'Earnings Model (adjusted)'!V115-'Earnings Model'!V115</f>
        <v>0</v>
      </c>
      <c r="W115" s="169">
        <f>'Earnings Model (adjusted)'!W115-'Earnings Model'!W115</f>
        <v>0</v>
      </c>
      <c r="X115" s="169">
        <f>'Earnings Model (adjusted)'!X115-'Earnings Model'!X115</f>
        <v>0</v>
      </c>
      <c r="Y115" s="169">
        <f>'Earnings Model (adjusted)'!Y115-'Earnings Model'!Y115</f>
        <v>0</v>
      </c>
      <c r="Z115" s="169">
        <f>'Earnings Model (adjusted)'!Z115-'Earnings Model'!Z115</f>
        <v>0</v>
      </c>
      <c r="AA115" s="169">
        <f>'Earnings Model (adjusted)'!AA115-'Earnings Model'!AA115</f>
        <v>0</v>
      </c>
      <c r="AB115" s="169">
        <f>'Earnings Model (adjusted)'!AB115-'Earnings Model'!AB115</f>
        <v>0</v>
      </c>
      <c r="AC115" s="169">
        <f>'Earnings Model (adjusted)'!AC115-'Earnings Model'!AC115</f>
        <v>0</v>
      </c>
      <c r="AD115" s="169">
        <f>'Earnings Model (adjusted)'!AD115-'Earnings Model'!AD115</f>
        <v>0</v>
      </c>
      <c r="AE115" s="169">
        <f>'Earnings Model (adjusted)'!AE115-'Earnings Model'!AE115</f>
        <v>0</v>
      </c>
      <c r="AF115" s="169">
        <f>'Earnings Model (adjusted)'!AF115-'Earnings Model'!AF115</f>
        <v>0</v>
      </c>
      <c r="AG115" s="169">
        <f>'Earnings Model (adjusted)'!AG115-'Earnings Model'!AG115</f>
        <v>0</v>
      </c>
      <c r="AH115" s="169">
        <f>'Earnings Model (adjusted)'!AH115-'Earnings Model'!AH115</f>
        <v>0</v>
      </c>
      <c r="AI115" s="169">
        <f>'Earnings Model (adjusted)'!AI115-'Earnings Model'!AI115</f>
        <v>0</v>
      </c>
      <c r="AJ115" s="169">
        <f>'Earnings Model (adjusted)'!AJ115-'Earnings Model'!AJ115</f>
        <v>0</v>
      </c>
      <c r="AK115" s="169">
        <f>'Earnings Model (adjusted)'!AK115-'Earnings Model'!AK115</f>
        <v>0</v>
      </c>
      <c r="AL115" s="169">
        <f>'Earnings Model (adjusted)'!AL115-'Earnings Model'!AL115</f>
        <v>0</v>
      </c>
      <c r="AM115" s="169">
        <f>'Earnings Model (adjusted)'!AM115-'Earnings Model'!AM115</f>
        <v>0</v>
      </c>
      <c r="AN115" s="169">
        <f>'Earnings Model (adjusted)'!AN115-'Earnings Model'!AN115</f>
        <v>0</v>
      </c>
      <c r="AO115" s="169">
        <f>'Earnings Model (adjusted)'!AO115-'Earnings Model'!AO115</f>
        <v>0</v>
      </c>
      <c r="AP115" s="169">
        <f>'Earnings Model (adjusted)'!AP115-'Earnings Model'!AP115</f>
        <v>0</v>
      </c>
      <c r="AQ115" s="169">
        <f>'Earnings Model (adjusted)'!AQ115-'Earnings Model'!AQ115</f>
        <v>0</v>
      </c>
    </row>
    <row r="116" spans="1:43" outlineLevel="1" x14ac:dyDescent="0.25">
      <c r="A116" s="254"/>
      <c r="B116" s="167" t="s">
        <v>300</v>
      </c>
      <c r="C116" s="144"/>
      <c r="D116" s="365">
        <f>+D103-D114+D115</f>
        <v>229.99999999999991</v>
      </c>
      <c r="E116" s="365">
        <f t="shared" ref="E116:P116" si="89">+E103-E114+E115</f>
        <v>201.80000000000004</v>
      </c>
      <c r="F116" s="365">
        <f t="shared" si="89"/>
        <v>270.19999999999976</v>
      </c>
      <c r="G116" s="365">
        <f t="shared" si="89"/>
        <v>262.69999999999987</v>
      </c>
      <c r="H116" s="239">
        <f>SUM(D116:G116)</f>
        <v>964.69999999999959</v>
      </c>
      <c r="I116" s="365">
        <f t="shared" si="89"/>
        <v>275.89999999999998</v>
      </c>
      <c r="J116" s="365">
        <f t="shared" si="89"/>
        <v>-15.400000000000045</v>
      </c>
      <c r="K116" s="365">
        <f>+K103-K114+K115</f>
        <v>-85.999999999999744</v>
      </c>
      <c r="L116" s="207">
        <f t="shared" si="89"/>
        <v>179.49999999999994</v>
      </c>
      <c r="M116" s="239">
        <f>SUM(I116:L116)</f>
        <v>354.00000000000011</v>
      </c>
      <c r="N116" s="207">
        <f t="shared" si="89"/>
        <v>274.8</v>
      </c>
      <c r="O116" s="207">
        <f t="shared" si="89"/>
        <v>251.50000000000006</v>
      </c>
      <c r="P116" s="207">
        <f t="shared" si="89"/>
        <v>318.29999999999995</v>
      </c>
      <c r="Q116" s="169">
        <f>'Earnings Model (adjusted)'!Q116-'Earnings Model'!Q116</f>
        <v>0</v>
      </c>
      <c r="R116" s="169">
        <f>'Earnings Model (adjusted)'!R116-'Earnings Model'!R116</f>
        <v>0</v>
      </c>
      <c r="S116" s="169">
        <f>'Earnings Model (adjusted)'!S116-'Earnings Model'!S116</f>
        <v>0</v>
      </c>
      <c r="T116" s="169">
        <f>'Earnings Model (adjusted)'!T116-'Earnings Model'!T116</f>
        <v>-0.11798820935882759</v>
      </c>
      <c r="U116" s="169">
        <f>'Earnings Model (adjusted)'!U116-'Earnings Model'!U116</f>
        <v>-0.22468618135326324</v>
      </c>
      <c r="V116" s="169">
        <f>'Earnings Model (adjusted)'!V116-'Earnings Model'!V116</f>
        <v>-0.27810589238151806</v>
      </c>
      <c r="W116" s="169">
        <f>'Earnings Model (adjusted)'!W116-'Earnings Model'!W116</f>
        <v>-0.62078028309360889</v>
      </c>
      <c r="X116" s="169">
        <f>'Earnings Model (adjusted)'!X116-'Earnings Model'!X116</f>
        <v>-0.32509948953793355</v>
      </c>
      <c r="Y116" s="169">
        <f>'Earnings Model (adjusted)'!Y116-'Earnings Model'!Y116</f>
        <v>-0.44845424021400504</v>
      </c>
      <c r="Z116" s="169">
        <f>'Earnings Model (adjusted)'!Z116-'Earnings Model'!Z116</f>
        <v>-0.56402932865330513</v>
      </c>
      <c r="AA116" s="169">
        <f>'Earnings Model (adjusted)'!AA116-'Earnings Model'!AA116</f>
        <v>-0.59518439349176333</v>
      </c>
      <c r="AB116" s="169">
        <f>'Earnings Model (adjusted)'!AB116-'Earnings Model'!AB116</f>
        <v>-1.932767451897007</v>
      </c>
      <c r="AC116" s="169">
        <f>'Earnings Model (adjusted)'!AC116-'Earnings Model'!AC116</f>
        <v>-0.62090066522341658</v>
      </c>
      <c r="AD116" s="169">
        <f>'Earnings Model (adjusted)'!AD116-'Earnings Model'!AD116</f>
        <v>-0.75349760129461174</v>
      </c>
      <c r="AE116" s="169">
        <f>'Earnings Model (adjusted)'!AE116-'Earnings Model'!AE116</f>
        <v>-0.87807356167013495</v>
      </c>
      <c r="AF116" s="169">
        <f>'Earnings Model (adjusted)'!AF116-'Earnings Model'!AF116</f>
        <v>-0.88850840393615726</v>
      </c>
      <c r="AG116" s="169">
        <f>'Earnings Model (adjusted)'!AG116-'Earnings Model'!AG116</f>
        <v>-3.1409802321243205</v>
      </c>
      <c r="AH116" s="169">
        <f>'Earnings Model (adjusted)'!AH116-'Earnings Model'!AH116</f>
        <v>-0.86467100839126942</v>
      </c>
      <c r="AI116" s="169">
        <f>'Earnings Model (adjusted)'!AI116-'Earnings Model'!AI116</f>
        <v>-1.0278094679920287</v>
      </c>
      <c r="AJ116" s="169">
        <f>'Earnings Model (adjusted)'!AJ116-'Earnings Model'!AJ116</f>
        <v>-1.1811191878100544</v>
      </c>
      <c r="AK116" s="169">
        <f>'Earnings Model (adjusted)'!AK116-'Earnings Model'!AK116</f>
        <v>-1.1776803895122612</v>
      </c>
      <c r="AL116" s="169">
        <f>'Earnings Model (adjusted)'!AL116-'Earnings Model'!AL116</f>
        <v>-4.2512800537060684</v>
      </c>
      <c r="AM116" s="169">
        <f>'Earnings Model (adjusted)'!AM116-'Earnings Model'!AM116</f>
        <v>-1.1380137242704222</v>
      </c>
      <c r="AN116" s="169">
        <f>'Earnings Model (adjusted)'!AN116-'Earnings Model'!AN116</f>
        <v>-1.2997877790016901</v>
      </c>
      <c r="AO116" s="169">
        <f>'Earnings Model (adjusted)'!AO116-'Earnings Model'!AO116</f>
        <v>-1.4516661924826622</v>
      </c>
      <c r="AP116" s="169">
        <f>'Earnings Model (adjusted)'!AP116-'Earnings Model'!AP116</f>
        <v>-1.4363843255346183</v>
      </c>
      <c r="AQ116" s="169">
        <f>'Earnings Model (adjusted)'!AQ116-'Earnings Model'!AQ116</f>
        <v>-5.3258520212893927</v>
      </c>
    </row>
    <row r="117" spans="1:43" outlineLevel="1" x14ac:dyDescent="0.25">
      <c r="A117" s="254"/>
      <c r="B117" s="167" t="s">
        <v>301</v>
      </c>
      <c r="C117" s="144"/>
      <c r="D117" s="366">
        <f t="shared" ref="D117:G117" si="90">+D116/D103</f>
        <v>0.15292553191489355</v>
      </c>
      <c r="E117" s="366">
        <f t="shared" si="90"/>
        <v>0.1319471688243756</v>
      </c>
      <c r="F117" s="366">
        <f t="shared" si="90"/>
        <v>0.17044092600769556</v>
      </c>
      <c r="G117" s="366">
        <f t="shared" si="90"/>
        <v>0.16710132943196987</v>
      </c>
      <c r="H117" s="240">
        <f>H116/H103</f>
        <v>0.15582800284292814</v>
      </c>
      <c r="I117" s="366">
        <f t="shared" ref="I117:L117" si="91">+I116/I103</f>
        <v>0.17560944561135511</v>
      </c>
      <c r="J117" s="366">
        <f t="shared" si="91"/>
        <v>-1.3573065397496956E-2</v>
      </c>
      <c r="K117" s="366">
        <f t="shared" si="91"/>
        <v>-9.0564448188710761E-2</v>
      </c>
      <c r="L117" s="208">
        <f t="shared" si="91"/>
        <v>0.12028412517590294</v>
      </c>
      <c r="M117" s="240">
        <f>M116/M103</f>
        <v>6.8769912192089541E-2</v>
      </c>
      <c r="N117" s="208">
        <f t="shared" ref="N117:P117" si="92">+N116/N103</f>
        <v>0.16611255515928189</v>
      </c>
      <c r="O117" s="208">
        <f t="shared" si="92"/>
        <v>0.1561239058911168</v>
      </c>
      <c r="P117" s="208">
        <f t="shared" si="92"/>
        <v>0.19193198263386396</v>
      </c>
      <c r="Q117" s="169">
        <f>'Earnings Model (adjusted)'!Q117-'Earnings Model'!Q117</f>
        <v>0</v>
      </c>
      <c r="R117" s="169">
        <f>'Earnings Model (adjusted)'!R117-'Earnings Model'!R117</f>
        <v>0</v>
      </c>
      <c r="S117" s="169">
        <f>'Earnings Model (adjusted)'!S117-'Earnings Model'!S117</f>
        <v>0</v>
      </c>
      <c r="T117" s="169">
        <f>'Earnings Model (adjusted)'!T117-'Earnings Model'!T117</f>
        <v>-6.1980990955223803E-5</v>
      </c>
      <c r="U117" s="169">
        <f>'Earnings Model (adjusted)'!U117-'Earnings Model'!U117</f>
        <v>-1.1512991087928026E-4</v>
      </c>
      <c r="V117" s="169">
        <f>'Earnings Model (adjusted)'!V117-'Earnings Model'!V117</f>
        <v>-1.2764090707151343E-4</v>
      </c>
      <c r="W117" s="169">
        <f>'Earnings Model (adjusted)'!W117-'Earnings Model'!W117</f>
        <v>-7.7148247862285357E-5</v>
      </c>
      <c r="X117" s="169">
        <f>'Earnings Model (adjusted)'!X117-'Earnings Model'!X117</f>
        <v>-1.4068186775392788E-4</v>
      </c>
      <c r="Y117" s="169">
        <f>'Earnings Model (adjusted)'!Y117-'Earnings Model'!Y117</f>
        <v>-2.0550753875930861E-4</v>
      </c>
      <c r="Z117" s="169">
        <f>'Earnings Model (adjusted)'!Z117-'Earnings Model'!Z117</f>
        <v>-2.5518786415956729E-4</v>
      </c>
      <c r="AA117" s="169">
        <f>'Earnings Model (adjusted)'!AA117-'Earnings Model'!AA117</f>
        <v>-2.4350579657070326E-4</v>
      </c>
      <c r="AB117" s="169">
        <f>'Earnings Model (adjusted)'!AB117-'Earnings Model'!AB117</f>
        <v>-2.1128809627010692E-4</v>
      </c>
      <c r="AC117" s="169">
        <f>'Earnings Model (adjusted)'!AC117-'Earnings Model'!AC117</f>
        <v>-2.4515369438837809E-4</v>
      </c>
      <c r="AD117" s="169">
        <f>'Earnings Model (adjusted)'!AD117-'Earnings Model'!AD117</f>
        <v>-3.1216567785066762E-4</v>
      </c>
      <c r="AE117" s="169">
        <f>'Earnings Model (adjusted)'!AE117-'Earnings Model'!AE117</f>
        <v>-3.5668799093216408E-4</v>
      </c>
      <c r="AF117" s="169">
        <f>'Earnings Model (adjusted)'!AF117-'Earnings Model'!AF117</f>
        <v>-3.2376247744214659E-4</v>
      </c>
      <c r="AG117" s="169">
        <f>'Earnings Model (adjusted)'!AG117-'Earnings Model'!AG117</f>
        <v>-3.093788417316834E-4</v>
      </c>
      <c r="AH117" s="169">
        <f>'Earnings Model (adjusted)'!AH117-'Earnings Model'!AH117</f>
        <v>-3.0477683805998912E-4</v>
      </c>
      <c r="AI117" s="169">
        <f>'Earnings Model (adjusted)'!AI117-'Earnings Model'!AI117</f>
        <v>-3.8003011157755617E-4</v>
      </c>
      <c r="AJ117" s="169">
        <f>'Earnings Model (adjusted)'!AJ117-'Earnings Model'!AJ117</f>
        <v>-4.2895981961160734E-4</v>
      </c>
      <c r="AK117" s="169">
        <f>'Earnings Model (adjusted)'!AK117-'Earnings Model'!AK117</f>
        <v>-3.8390087838027775E-4</v>
      </c>
      <c r="AL117" s="169">
        <f>'Earnings Model (adjusted)'!AL117-'Earnings Model'!AL117</f>
        <v>-3.7414256811876823E-4</v>
      </c>
      <c r="AM117" s="169">
        <f>'Earnings Model (adjusted)'!AM117-'Earnings Model'!AM117</f>
        <v>-3.5871551796431977E-4</v>
      </c>
      <c r="AN117" s="169">
        <f>'Earnings Model (adjusted)'!AN117-'Earnings Model'!AN117</f>
        <v>-4.2999291478962309E-4</v>
      </c>
      <c r="AO117" s="169">
        <f>'Earnings Model (adjusted)'!AO117-'Earnings Model'!AO117</f>
        <v>-4.731289009448636E-4</v>
      </c>
      <c r="AP117" s="169">
        <f>'Earnings Model (adjusted)'!AP117-'Earnings Model'!AP117</f>
        <v>-4.2093647137561585E-4</v>
      </c>
      <c r="AQ117" s="169">
        <f>'Earnings Model (adjusted)'!AQ117-'Earnings Model'!AQ117</f>
        <v>-4.201570411656308E-4</v>
      </c>
    </row>
    <row r="118" spans="1:43" ht="18" x14ac:dyDescent="0.4">
      <c r="A118" s="254"/>
      <c r="B118" s="565" t="s">
        <v>173</v>
      </c>
      <c r="C118" s="566"/>
      <c r="D118" s="32" t="s">
        <v>119</v>
      </c>
      <c r="E118" s="32" t="s">
        <v>243</v>
      </c>
      <c r="F118" s="32" t="s">
        <v>247</v>
      </c>
      <c r="G118" s="32" t="s">
        <v>257</v>
      </c>
      <c r="H118" s="86" t="s">
        <v>258</v>
      </c>
      <c r="I118" s="32" t="s">
        <v>259</v>
      </c>
      <c r="J118" s="32" t="s">
        <v>260</v>
      </c>
      <c r="K118" s="32" t="s">
        <v>261</v>
      </c>
      <c r="L118" s="32" t="s">
        <v>322</v>
      </c>
      <c r="M118" s="86" t="s">
        <v>333</v>
      </c>
      <c r="N118" s="32" t="s">
        <v>339</v>
      </c>
      <c r="O118" s="32" t="s">
        <v>347</v>
      </c>
      <c r="P118" s="32" t="s">
        <v>349</v>
      </c>
      <c r="Q118" s="169" t="e">
        <f>'Earnings Model (adjusted)'!Q118-'Earnings Model'!Q118</f>
        <v>#VALUE!</v>
      </c>
      <c r="R118" s="169" t="e">
        <f>'Earnings Model (adjusted)'!R118-'Earnings Model'!R118</f>
        <v>#VALUE!</v>
      </c>
      <c r="S118" s="169" t="e">
        <f>'Earnings Model (adjusted)'!S118-'Earnings Model'!S118</f>
        <v>#VALUE!</v>
      </c>
      <c r="T118" s="169" t="e">
        <f>'Earnings Model (adjusted)'!T118-'Earnings Model'!T118</f>
        <v>#VALUE!</v>
      </c>
      <c r="U118" s="169" t="e">
        <f>'Earnings Model (adjusted)'!U118-'Earnings Model'!U118</f>
        <v>#VALUE!</v>
      </c>
      <c r="V118" s="169" t="e">
        <f>'Earnings Model (adjusted)'!V118-'Earnings Model'!V118</f>
        <v>#VALUE!</v>
      </c>
      <c r="W118" s="169" t="e">
        <f>'Earnings Model (adjusted)'!W118-'Earnings Model'!W118</f>
        <v>#VALUE!</v>
      </c>
      <c r="X118" s="169" t="e">
        <f>'Earnings Model (adjusted)'!X118-'Earnings Model'!X118</f>
        <v>#VALUE!</v>
      </c>
      <c r="Y118" s="169" t="e">
        <f>'Earnings Model (adjusted)'!Y118-'Earnings Model'!Y118</f>
        <v>#VALUE!</v>
      </c>
      <c r="Z118" s="169" t="e">
        <f>'Earnings Model (adjusted)'!Z118-'Earnings Model'!Z118</f>
        <v>#VALUE!</v>
      </c>
      <c r="AA118" s="169" t="e">
        <f>'Earnings Model (adjusted)'!AA118-'Earnings Model'!AA118</f>
        <v>#VALUE!</v>
      </c>
      <c r="AB118" s="169" t="e">
        <f>'Earnings Model (adjusted)'!AB118-'Earnings Model'!AB118</f>
        <v>#VALUE!</v>
      </c>
      <c r="AC118" s="169" t="e">
        <f>'Earnings Model (adjusted)'!AC118-'Earnings Model'!AC118</f>
        <v>#VALUE!</v>
      </c>
      <c r="AD118" s="169" t="e">
        <f>'Earnings Model (adjusted)'!AD118-'Earnings Model'!AD118</f>
        <v>#VALUE!</v>
      </c>
      <c r="AE118" s="169" t="e">
        <f>'Earnings Model (adjusted)'!AE118-'Earnings Model'!AE118</f>
        <v>#VALUE!</v>
      </c>
      <c r="AF118" s="169" t="e">
        <f>'Earnings Model (adjusted)'!AF118-'Earnings Model'!AF118</f>
        <v>#VALUE!</v>
      </c>
      <c r="AG118" s="169" t="e">
        <f>'Earnings Model (adjusted)'!AG118-'Earnings Model'!AG118</f>
        <v>#VALUE!</v>
      </c>
      <c r="AH118" s="169" t="e">
        <f>'Earnings Model (adjusted)'!AH118-'Earnings Model'!AH118</f>
        <v>#VALUE!</v>
      </c>
      <c r="AI118" s="169" t="e">
        <f>'Earnings Model (adjusted)'!AI118-'Earnings Model'!AI118</f>
        <v>#VALUE!</v>
      </c>
      <c r="AJ118" s="169" t="e">
        <f>'Earnings Model (adjusted)'!AJ118-'Earnings Model'!AJ118</f>
        <v>#VALUE!</v>
      </c>
      <c r="AK118" s="169" t="e">
        <f>'Earnings Model (adjusted)'!AK118-'Earnings Model'!AK118</f>
        <v>#VALUE!</v>
      </c>
      <c r="AL118" s="169" t="e">
        <f>'Earnings Model (adjusted)'!AL118-'Earnings Model'!AL118</f>
        <v>#VALUE!</v>
      </c>
      <c r="AM118" s="169" t="e">
        <f>'Earnings Model (adjusted)'!AM118-'Earnings Model'!AM118</f>
        <v>#VALUE!</v>
      </c>
      <c r="AN118" s="169" t="e">
        <f>'Earnings Model (adjusted)'!AN118-'Earnings Model'!AN118</f>
        <v>#VALUE!</v>
      </c>
      <c r="AO118" s="169" t="e">
        <f>'Earnings Model (adjusted)'!AO118-'Earnings Model'!AO118</f>
        <v>#VALUE!</v>
      </c>
      <c r="AP118" s="169" t="e">
        <f>'Earnings Model (adjusted)'!AP118-'Earnings Model'!AP118</f>
        <v>#VALUE!</v>
      </c>
      <c r="AQ118" s="169" t="e">
        <f>'Earnings Model (adjusted)'!AQ118-'Earnings Model'!AQ118</f>
        <v>#VALUE!</v>
      </c>
    </row>
    <row r="119" spans="1:43" s="20" customFormat="1" outlineLevel="1" x14ac:dyDescent="0.25">
      <c r="A119" s="269"/>
      <c r="B119" s="585" t="s">
        <v>302</v>
      </c>
      <c r="C119" s="586"/>
      <c r="D119" s="171">
        <v>504.6</v>
      </c>
      <c r="E119" s="171">
        <v>446.6</v>
      </c>
      <c r="F119" s="259">
        <v>533.29999999999995</v>
      </c>
      <c r="G119" s="171">
        <v>508.1</v>
      </c>
      <c r="H119" s="59">
        <f>SUM(D119:G119)</f>
        <v>1992.6</v>
      </c>
      <c r="I119" s="171">
        <v>494.6</v>
      </c>
      <c r="J119" s="171">
        <v>519.1</v>
      </c>
      <c r="K119" s="171">
        <v>447.3</v>
      </c>
      <c r="L119" s="171">
        <v>464</v>
      </c>
      <c r="M119" s="59">
        <f>SUM(I119:L119)</f>
        <v>1925</v>
      </c>
      <c r="N119" s="171">
        <v>371.4</v>
      </c>
      <c r="O119" s="171">
        <v>369.9</v>
      </c>
      <c r="P119" s="171">
        <v>414</v>
      </c>
      <c r="Q119" s="169">
        <f>'Earnings Model (adjusted)'!Q119-'Earnings Model'!Q119</f>
        <v>0</v>
      </c>
      <c r="R119" s="169">
        <f>'Earnings Model (adjusted)'!R119-'Earnings Model'!R119</f>
        <v>0</v>
      </c>
      <c r="S119" s="169">
        <f>'Earnings Model (adjusted)'!S119-'Earnings Model'!S119</f>
        <v>0</v>
      </c>
      <c r="T119" s="169">
        <f>'Earnings Model (adjusted)'!T119-'Earnings Model'!T119</f>
        <v>0</v>
      </c>
      <c r="U119" s="169">
        <f>'Earnings Model (adjusted)'!U119-'Earnings Model'!U119</f>
        <v>0</v>
      </c>
      <c r="V119" s="169">
        <f>'Earnings Model (adjusted)'!V119-'Earnings Model'!V119</f>
        <v>0</v>
      </c>
      <c r="W119" s="169">
        <f>'Earnings Model (adjusted)'!W119-'Earnings Model'!W119</f>
        <v>0</v>
      </c>
      <c r="X119" s="169">
        <f>'Earnings Model (adjusted)'!X119-'Earnings Model'!X119</f>
        <v>0</v>
      </c>
      <c r="Y119" s="169">
        <f>'Earnings Model (adjusted)'!Y119-'Earnings Model'!Y119</f>
        <v>0</v>
      </c>
      <c r="Z119" s="169">
        <f>'Earnings Model (adjusted)'!Z119-'Earnings Model'!Z119</f>
        <v>0</v>
      </c>
      <c r="AA119" s="169">
        <f>'Earnings Model (adjusted)'!AA119-'Earnings Model'!AA119</f>
        <v>0</v>
      </c>
      <c r="AB119" s="169">
        <f>'Earnings Model (adjusted)'!AB119-'Earnings Model'!AB119</f>
        <v>0</v>
      </c>
      <c r="AC119" s="169">
        <f>'Earnings Model (adjusted)'!AC119-'Earnings Model'!AC119</f>
        <v>0</v>
      </c>
      <c r="AD119" s="169">
        <f>'Earnings Model (adjusted)'!AD119-'Earnings Model'!AD119</f>
        <v>0</v>
      </c>
      <c r="AE119" s="169">
        <f>'Earnings Model (adjusted)'!AE119-'Earnings Model'!AE119</f>
        <v>0</v>
      </c>
      <c r="AF119" s="169">
        <f>'Earnings Model (adjusted)'!AF119-'Earnings Model'!AF119</f>
        <v>0</v>
      </c>
      <c r="AG119" s="169">
        <f>'Earnings Model (adjusted)'!AG119-'Earnings Model'!AG119</f>
        <v>0</v>
      </c>
      <c r="AH119" s="169">
        <f>'Earnings Model (adjusted)'!AH119-'Earnings Model'!AH119</f>
        <v>0</v>
      </c>
      <c r="AI119" s="169">
        <f>'Earnings Model (adjusted)'!AI119-'Earnings Model'!AI119</f>
        <v>0</v>
      </c>
      <c r="AJ119" s="169">
        <f>'Earnings Model (adjusted)'!AJ119-'Earnings Model'!AJ119</f>
        <v>0</v>
      </c>
      <c r="AK119" s="169">
        <f>'Earnings Model (adjusted)'!AK119-'Earnings Model'!AK119</f>
        <v>0</v>
      </c>
      <c r="AL119" s="169">
        <f>'Earnings Model (adjusted)'!AL119-'Earnings Model'!AL119</f>
        <v>0</v>
      </c>
      <c r="AM119" s="169">
        <f>'Earnings Model (adjusted)'!AM119-'Earnings Model'!AM119</f>
        <v>0</v>
      </c>
      <c r="AN119" s="169">
        <f>'Earnings Model (adjusted)'!AN119-'Earnings Model'!AN119</f>
        <v>0</v>
      </c>
      <c r="AO119" s="169">
        <f>'Earnings Model (adjusted)'!AO119-'Earnings Model'!AO119</f>
        <v>0</v>
      </c>
      <c r="AP119" s="169">
        <f>'Earnings Model (adjusted)'!AP119-'Earnings Model'!AP119</f>
        <v>0</v>
      </c>
      <c r="AQ119" s="169">
        <f>'Earnings Model (adjusted)'!AQ119-'Earnings Model'!AQ119</f>
        <v>0</v>
      </c>
    </row>
    <row r="120" spans="1:43" outlineLevel="1" x14ac:dyDescent="0.25">
      <c r="A120" s="254"/>
      <c r="B120" s="200" t="s">
        <v>180</v>
      </c>
      <c r="C120" s="201"/>
      <c r="D120" s="289"/>
      <c r="E120" s="289"/>
      <c r="F120" s="289"/>
      <c r="G120" s="289"/>
      <c r="H120" s="179"/>
      <c r="I120" s="289">
        <f>I119/D119-1</f>
        <v>-1.9817677368212494E-2</v>
      </c>
      <c r="J120" s="289">
        <f t="shared" ref="J120" si="93">J119/E119-1</f>
        <v>0.16233766233766223</v>
      </c>
      <c r="K120" s="289">
        <f>K119/F119-1</f>
        <v>-0.1612600787549221</v>
      </c>
      <c r="L120" s="289">
        <f>L119/G119-1</f>
        <v>-8.6793938201141563E-2</v>
      </c>
      <c r="M120" s="416">
        <f>M119/H119-1</f>
        <v>-3.3925524440429511E-2</v>
      </c>
      <c r="N120" s="289">
        <f>N119/I119-1</f>
        <v>-0.24909017387788124</v>
      </c>
      <c r="O120" s="289">
        <f t="shared" ref="O120" si="94">O119/J119-1</f>
        <v>-0.28742053554228475</v>
      </c>
      <c r="P120" s="289">
        <f>P119/K119-1</f>
        <v>-7.4446680080482941E-2</v>
      </c>
      <c r="Q120" s="169">
        <f>'Earnings Model (adjusted)'!Q120-'Earnings Model'!Q120</f>
        <v>0</v>
      </c>
      <c r="R120" s="169">
        <f>'Earnings Model (adjusted)'!R120-'Earnings Model'!R120</f>
        <v>0</v>
      </c>
      <c r="S120" s="169">
        <f>'Earnings Model (adjusted)'!S120-'Earnings Model'!S120</f>
        <v>0</v>
      </c>
      <c r="T120" s="169">
        <f>'Earnings Model (adjusted)'!T120-'Earnings Model'!T120</f>
        <v>0</v>
      </c>
      <c r="U120" s="169">
        <f>'Earnings Model (adjusted)'!U120-'Earnings Model'!U120</f>
        <v>0</v>
      </c>
      <c r="V120" s="169">
        <f>'Earnings Model (adjusted)'!V120-'Earnings Model'!V120</f>
        <v>0</v>
      </c>
      <c r="W120" s="169">
        <f>'Earnings Model (adjusted)'!W120-'Earnings Model'!W120</f>
        <v>0</v>
      </c>
      <c r="X120" s="169">
        <f>'Earnings Model (adjusted)'!X120-'Earnings Model'!X120</f>
        <v>0</v>
      </c>
      <c r="Y120" s="169">
        <f>'Earnings Model (adjusted)'!Y120-'Earnings Model'!Y120</f>
        <v>0</v>
      </c>
      <c r="Z120" s="169">
        <f>'Earnings Model (adjusted)'!Z120-'Earnings Model'!Z120</f>
        <v>0</v>
      </c>
      <c r="AA120" s="169">
        <f>'Earnings Model (adjusted)'!AA120-'Earnings Model'!AA120</f>
        <v>0</v>
      </c>
      <c r="AB120" s="169">
        <f>'Earnings Model (adjusted)'!AB120-'Earnings Model'!AB120</f>
        <v>0</v>
      </c>
      <c r="AC120" s="169">
        <f>'Earnings Model (adjusted)'!AC120-'Earnings Model'!AC120</f>
        <v>0</v>
      </c>
      <c r="AD120" s="169">
        <f>'Earnings Model (adjusted)'!AD120-'Earnings Model'!AD120</f>
        <v>0</v>
      </c>
      <c r="AE120" s="169">
        <f>'Earnings Model (adjusted)'!AE120-'Earnings Model'!AE120</f>
        <v>0</v>
      </c>
      <c r="AF120" s="169">
        <f>'Earnings Model (adjusted)'!AF120-'Earnings Model'!AF120</f>
        <v>0</v>
      </c>
      <c r="AG120" s="169">
        <f>'Earnings Model (adjusted)'!AG120-'Earnings Model'!AG120</f>
        <v>0</v>
      </c>
      <c r="AH120" s="169">
        <f>'Earnings Model (adjusted)'!AH120-'Earnings Model'!AH120</f>
        <v>0</v>
      </c>
      <c r="AI120" s="169">
        <f>'Earnings Model (adjusted)'!AI120-'Earnings Model'!AI120</f>
        <v>0</v>
      </c>
      <c r="AJ120" s="169">
        <f>'Earnings Model (adjusted)'!AJ120-'Earnings Model'!AJ120</f>
        <v>0</v>
      </c>
      <c r="AK120" s="169">
        <f>'Earnings Model (adjusted)'!AK120-'Earnings Model'!AK120</f>
        <v>0</v>
      </c>
      <c r="AL120" s="169">
        <f>'Earnings Model (adjusted)'!AL120-'Earnings Model'!AL120</f>
        <v>0</v>
      </c>
      <c r="AM120" s="169">
        <f>'Earnings Model (adjusted)'!AM120-'Earnings Model'!AM120</f>
        <v>0</v>
      </c>
      <c r="AN120" s="169">
        <f>'Earnings Model (adjusted)'!AN120-'Earnings Model'!AN120</f>
        <v>0</v>
      </c>
      <c r="AO120" s="169">
        <f>'Earnings Model (adjusted)'!AO120-'Earnings Model'!AO120</f>
        <v>0</v>
      </c>
      <c r="AP120" s="169">
        <f>'Earnings Model (adjusted)'!AP120-'Earnings Model'!AP120</f>
        <v>0</v>
      </c>
      <c r="AQ120" s="169">
        <f>'Earnings Model (adjusted)'!AQ120-'Earnings Model'!AQ120</f>
        <v>0</v>
      </c>
    </row>
    <row r="121" spans="1:43" outlineLevel="1" x14ac:dyDescent="0.25">
      <c r="A121" s="254"/>
      <c r="B121" s="605" t="s">
        <v>262</v>
      </c>
      <c r="C121" s="606"/>
      <c r="D121" s="169">
        <v>348.4</v>
      </c>
      <c r="E121" s="169">
        <v>305.39999999999998</v>
      </c>
      <c r="F121" s="169">
        <v>377.1</v>
      </c>
      <c r="G121" s="169">
        <v>359.1</v>
      </c>
      <c r="H121" s="209">
        <f>SUM(D121:G121)</f>
        <v>1390</v>
      </c>
      <c r="I121" s="169">
        <v>338.8</v>
      </c>
      <c r="J121" s="169">
        <v>351.6</v>
      </c>
      <c r="K121" s="169">
        <v>319.89999999999998</v>
      </c>
      <c r="L121" s="169">
        <v>327.8</v>
      </c>
      <c r="M121" s="209">
        <f>SUM(I121:L121)</f>
        <v>1338.1000000000001</v>
      </c>
      <c r="N121" s="169">
        <v>233.5</v>
      </c>
      <c r="O121" s="169">
        <v>231.9</v>
      </c>
      <c r="P121" s="169">
        <v>268.3</v>
      </c>
      <c r="Q121" s="169">
        <f>'Earnings Model (adjusted)'!Q121-'Earnings Model'!Q121</f>
        <v>0</v>
      </c>
      <c r="R121" s="169">
        <f>'Earnings Model (adjusted)'!R121-'Earnings Model'!R121</f>
        <v>0</v>
      </c>
      <c r="S121" s="169">
        <f>'Earnings Model (adjusted)'!S121-'Earnings Model'!S121</f>
        <v>0</v>
      </c>
      <c r="T121" s="169">
        <f>'Earnings Model (adjusted)'!T121-'Earnings Model'!T121</f>
        <v>0</v>
      </c>
      <c r="U121" s="169">
        <f>'Earnings Model (adjusted)'!U121-'Earnings Model'!U121</f>
        <v>0</v>
      </c>
      <c r="V121" s="169">
        <f>'Earnings Model (adjusted)'!V121-'Earnings Model'!V121</f>
        <v>0</v>
      </c>
      <c r="W121" s="169">
        <f>'Earnings Model (adjusted)'!W121-'Earnings Model'!W121</f>
        <v>0</v>
      </c>
      <c r="X121" s="169">
        <f>'Earnings Model (adjusted)'!X121-'Earnings Model'!X121</f>
        <v>0</v>
      </c>
      <c r="Y121" s="169">
        <f>'Earnings Model (adjusted)'!Y121-'Earnings Model'!Y121</f>
        <v>0</v>
      </c>
      <c r="Z121" s="169">
        <f>'Earnings Model (adjusted)'!Z121-'Earnings Model'!Z121</f>
        <v>0</v>
      </c>
      <c r="AA121" s="169">
        <f>'Earnings Model (adjusted)'!AA121-'Earnings Model'!AA121</f>
        <v>0</v>
      </c>
      <c r="AB121" s="169">
        <f>'Earnings Model (adjusted)'!AB121-'Earnings Model'!AB121</f>
        <v>0</v>
      </c>
      <c r="AC121" s="169">
        <f>'Earnings Model (adjusted)'!AC121-'Earnings Model'!AC121</f>
        <v>0</v>
      </c>
      <c r="AD121" s="169">
        <f>'Earnings Model (adjusted)'!AD121-'Earnings Model'!AD121</f>
        <v>0</v>
      </c>
      <c r="AE121" s="169">
        <f>'Earnings Model (adjusted)'!AE121-'Earnings Model'!AE121</f>
        <v>0</v>
      </c>
      <c r="AF121" s="169">
        <f>'Earnings Model (adjusted)'!AF121-'Earnings Model'!AF121</f>
        <v>0</v>
      </c>
      <c r="AG121" s="169">
        <f>'Earnings Model (adjusted)'!AG121-'Earnings Model'!AG121</f>
        <v>0</v>
      </c>
      <c r="AH121" s="169">
        <f>'Earnings Model (adjusted)'!AH121-'Earnings Model'!AH121</f>
        <v>0</v>
      </c>
      <c r="AI121" s="169">
        <f>'Earnings Model (adjusted)'!AI121-'Earnings Model'!AI121</f>
        <v>0</v>
      </c>
      <c r="AJ121" s="169">
        <f>'Earnings Model (adjusted)'!AJ121-'Earnings Model'!AJ121</f>
        <v>0</v>
      </c>
      <c r="AK121" s="169">
        <f>'Earnings Model (adjusted)'!AK121-'Earnings Model'!AK121</f>
        <v>0</v>
      </c>
      <c r="AL121" s="169">
        <f>'Earnings Model (adjusted)'!AL121-'Earnings Model'!AL121</f>
        <v>0</v>
      </c>
      <c r="AM121" s="169">
        <f>'Earnings Model (adjusted)'!AM121-'Earnings Model'!AM121</f>
        <v>0</v>
      </c>
      <c r="AN121" s="169">
        <f>'Earnings Model (adjusted)'!AN121-'Earnings Model'!AN121</f>
        <v>0</v>
      </c>
      <c r="AO121" s="169">
        <f>'Earnings Model (adjusted)'!AO121-'Earnings Model'!AO121</f>
        <v>0</v>
      </c>
      <c r="AP121" s="169">
        <f>'Earnings Model (adjusted)'!AP121-'Earnings Model'!AP121</f>
        <v>0</v>
      </c>
      <c r="AQ121" s="169">
        <f>'Earnings Model (adjusted)'!AQ121-'Earnings Model'!AQ121</f>
        <v>0</v>
      </c>
    </row>
    <row r="122" spans="1:43" s="469" customFormat="1" outlineLevel="1" x14ac:dyDescent="0.25">
      <c r="A122" s="470"/>
      <c r="B122" s="467" t="s">
        <v>341</v>
      </c>
      <c r="C122" s="468"/>
      <c r="D122" s="415">
        <f>D121/D119</f>
        <v>0.69044787950852149</v>
      </c>
      <c r="E122" s="415">
        <f t="shared" ref="E122:P122" si="95">E121/E119</f>
        <v>0.68383340797133896</v>
      </c>
      <c r="F122" s="415">
        <f t="shared" si="95"/>
        <v>0.70710669416838567</v>
      </c>
      <c r="G122" s="415">
        <f t="shared" si="95"/>
        <v>0.70675063963786655</v>
      </c>
      <c r="H122" s="476">
        <f t="shared" si="95"/>
        <v>0.69758104988457292</v>
      </c>
      <c r="I122" s="415">
        <f t="shared" si="95"/>
        <v>0.68499797816417307</v>
      </c>
      <c r="J122" s="415">
        <f t="shared" si="95"/>
        <v>0.6773261413985745</v>
      </c>
      <c r="K122" s="415">
        <f t="shared" si="95"/>
        <v>0.71517996870109535</v>
      </c>
      <c r="L122" s="475">
        <f t="shared" si="95"/>
        <v>0.70646551724137929</v>
      </c>
      <c r="M122" s="476">
        <f t="shared" si="95"/>
        <v>0.69511688311688313</v>
      </c>
      <c r="N122" s="475">
        <f t="shared" si="95"/>
        <v>0.62870220786214326</v>
      </c>
      <c r="O122" s="415">
        <f t="shared" si="95"/>
        <v>0.62692619626926205</v>
      </c>
      <c r="P122" s="415">
        <f t="shared" si="95"/>
        <v>0.6480676328502416</v>
      </c>
      <c r="Q122" s="169">
        <f>'Earnings Model (adjusted)'!Q122-'Earnings Model'!Q122</f>
        <v>0</v>
      </c>
      <c r="R122" s="169">
        <f>'Earnings Model (adjusted)'!R122-'Earnings Model'!R122</f>
        <v>0</v>
      </c>
      <c r="S122" s="169">
        <f>'Earnings Model (adjusted)'!S122-'Earnings Model'!S122</f>
        <v>0</v>
      </c>
      <c r="T122" s="169">
        <f>'Earnings Model (adjusted)'!T122-'Earnings Model'!T122</f>
        <v>0</v>
      </c>
      <c r="U122" s="169">
        <f>'Earnings Model (adjusted)'!U122-'Earnings Model'!U122</f>
        <v>0</v>
      </c>
      <c r="V122" s="169">
        <f>'Earnings Model (adjusted)'!V122-'Earnings Model'!V122</f>
        <v>0</v>
      </c>
      <c r="W122" s="169">
        <f>'Earnings Model (adjusted)'!W122-'Earnings Model'!W122</f>
        <v>0</v>
      </c>
      <c r="X122" s="169">
        <f>'Earnings Model (adjusted)'!X122-'Earnings Model'!X122</f>
        <v>0</v>
      </c>
      <c r="Y122" s="169">
        <f>'Earnings Model (adjusted)'!Y122-'Earnings Model'!Y122</f>
        <v>0</v>
      </c>
      <c r="Z122" s="169">
        <f>'Earnings Model (adjusted)'!Z122-'Earnings Model'!Z122</f>
        <v>0</v>
      </c>
      <c r="AA122" s="169">
        <f>'Earnings Model (adjusted)'!AA122-'Earnings Model'!AA122</f>
        <v>0</v>
      </c>
      <c r="AB122" s="169">
        <f>'Earnings Model (adjusted)'!AB122-'Earnings Model'!AB122</f>
        <v>0</v>
      </c>
      <c r="AC122" s="169">
        <f>'Earnings Model (adjusted)'!AC122-'Earnings Model'!AC122</f>
        <v>0</v>
      </c>
      <c r="AD122" s="169">
        <f>'Earnings Model (adjusted)'!AD122-'Earnings Model'!AD122</f>
        <v>0</v>
      </c>
      <c r="AE122" s="169">
        <f>'Earnings Model (adjusted)'!AE122-'Earnings Model'!AE122</f>
        <v>0</v>
      </c>
      <c r="AF122" s="169">
        <f>'Earnings Model (adjusted)'!AF122-'Earnings Model'!AF122</f>
        <v>0</v>
      </c>
      <c r="AG122" s="169">
        <f>'Earnings Model (adjusted)'!AG122-'Earnings Model'!AG122</f>
        <v>0</v>
      </c>
      <c r="AH122" s="169">
        <f>'Earnings Model (adjusted)'!AH122-'Earnings Model'!AH122</f>
        <v>0</v>
      </c>
      <c r="AI122" s="169">
        <f>'Earnings Model (adjusted)'!AI122-'Earnings Model'!AI122</f>
        <v>0</v>
      </c>
      <c r="AJ122" s="169">
        <f>'Earnings Model (adjusted)'!AJ122-'Earnings Model'!AJ122</f>
        <v>0</v>
      </c>
      <c r="AK122" s="169">
        <f>'Earnings Model (adjusted)'!AK122-'Earnings Model'!AK122</f>
        <v>0</v>
      </c>
      <c r="AL122" s="169">
        <f>'Earnings Model (adjusted)'!AL122-'Earnings Model'!AL122</f>
        <v>0</v>
      </c>
      <c r="AM122" s="169">
        <f>'Earnings Model (adjusted)'!AM122-'Earnings Model'!AM122</f>
        <v>0</v>
      </c>
      <c r="AN122" s="169">
        <f>'Earnings Model (adjusted)'!AN122-'Earnings Model'!AN122</f>
        <v>0</v>
      </c>
      <c r="AO122" s="169">
        <f>'Earnings Model (adjusted)'!AO122-'Earnings Model'!AO122</f>
        <v>0</v>
      </c>
      <c r="AP122" s="169">
        <f>'Earnings Model (adjusted)'!AP122-'Earnings Model'!AP122</f>
        <v>0</v>
      </c>
      <c r="AQ122" s="169">
        <f>'Earnings Model (adjusted)'!AQ122-'Earnings Model'!AQ122</f>
        <v>0</v>
      </c>
    </row>
    <row r="123" spans="1:43" outlineLevel="1" x14ac:dyDescent="0.25">
      <c r="A123" s="254"/>
      <c r="B123" s="550" t="s">
        <v>142</v>
      </c>
      <c r="C123" s="36"/>
      <c r="D123" s="169">
        <v>18.600000000000001</v>
      </c>
      <c r="E123" s="169">
        <v>17.100000000000001</v>
      </c>
      <c r="F123" s="169">
        <v>20.2</v>
      </c>
      <c r="G123" s="169">
        <v>20.3</v>
      </c>
      <c r="H123" s="170">
        <f>SUM(D123:G123)</f>
        <v>76.2</v>
      </c>
      <c r="I123" s="169">
        <v>20.6</v>
      </c>
      <c r="J123" s="169">
        <v>17.7</v>
      </c>
      <c r="K123" s="169">
        <v>51.4</v>
      </c>
      <c r="L123" s="169">
        <v>18.5</v>
      </c>
      <c r="M123" s="170">
        <f>SUM(I123:L123)</f>
        <v>108.19999999999999</v>
      </c>
      <c r="N123" s="169">
        <v>11.1</v>
      </c>
      <c r="O123" s="169">
        <v>13.1</v>
      </c>
      <c r="P123" s="169">
        <v>-9.9</v>
      </c>
      <c r="Q123" s="169">
        <f>'Earnings Model (adjusted)'!Q123-'Earnings Model'!Q123</f>
        <v>0</v>
      </c>
      <c r="R123" s="169">
        <f>'Earnings Model (adjusted)'!R123-'Earnings Model'!R123</f>
        <v>0</v>
      </c>
      <c r="S123" s="169">
        <f>'Earnings Model (adjusted)'!S123-'Earnings Model'!S123</f>
        <v>0</v>
      </c>
      <c r="T123" s="169">
        <f>'Earnings Model (adjusted)'!T123-'Earnings Model'!T123</f>
        <v>0</v>
      </c>
      <c r="U123" s="169">
        <f>'Earnings Model (adjusted)'!U123-'Earnings Model'!U123</f>
        <v>0</v>
      </c>
      <c r="V123" s="169">
        <f>'Earnings Model (adjusted)'!V123-'Earnings Model'!V123</f>
        <v>0</v>
      </c>
      <c r="W123" s="169">
        <f>'Earnings Model (adjusted)'!W123-'Earnings Model'!W123</f>
        <v>0</v>
      </c>
      <c r="X123" s="169">
        <f>'Earnings Model (adjusted)'!X123-'Earnings Model'!X123</f>
        <v>0</v>
      </c>
      <c r="Y123" s="169">
        <f>'Earnings Model (adjusted)'!Y123-'Earnings Model'!Y123</f>
        <v>0</v>
      </c>
      <c r="Z123" s="169">
        <f>'Earnings Model (adjusted)'!Z123-'Earnings Model'!Z123</f>
        <v>0</v>
      </c>
      <c r="AA123" s="169">
        <f>'Earnings Model (adjusted)'!AA123-'Earnings Model'!AA123</f>
        <v>0</v>
      </c>
      <c r="AB123" s="169">
        <f>'Earnings Model (adjusted)'!AB123-'Earnings Model'!AB123</f>
        <v>0</v>
      </c>
      <c r="AC123" s="169">
        <f>'Earnings Model (adjusted)'!AC123-'Earnings Model'!AC123</f>
        <v>0</v>
      </c>
      <c r="AD123" s="169">
        <f>'Earnings Model (adjusted)'!AD123-'Earnings Model'!AD123</f>
        <v>0</v>
      </c>
      <c r="AE123" s="169">
        <f>'Earnings Model (adjusted)'!AE123-'Earnings Model'!AE123</f>
        <v>0</v>
      </c>
      <c r="AF123" s="169">
        <f>'Earnings Model (adjusted)'!AF123-'Earnings Model'!AF123</f>
        <v>0</v>
      </c>
      <c r="AG123" s="169">
        <f>'Earnings Model (adjusted)'!AG123-'Earnings Model'!AG123</f>
        <v>0</v>
      </c>
      <c r="AH123" s="169">
        <f>'Earnings Model (adjusted)'!AH123-'Earnings Model'!AH123</f>
        <v>0</v>
      </c>
      <c r="AI123" s="169">
        <f>'Earnings Model (adjusted)'!AI123-'Earnings Model'!AI123</f>
        <v>0</v>
      </c>
      <c r="AJ123" s="169">
        <f>'Earnings Model (adjusted)'!AJ123-'Earnings Model'!AJ123</f>
        <v>0</v>
      </c>
      <c r="AK123" s="169">
        <f>'Earnings Model (adjusted)'!AK123-'Earnings Model'!AK123</f>
        <v>0</v>
      </c>
      <c r="AL123" s="169">
        <f>'Earnings Model (adjusted)'!AL123-'Earnings Model'!AL123</f>
        <v>0</v>
      </c>
      <c r="AM123" s="169">
        <f>'Earnings Model (adjusted)'!AM123-'Earnings Model'!AM123</f>
        <v>0</v>
      </c>
      <c r="AN123" s="169">
        <f>'Earnings Model (adjusted)'!AN123-'Earnings Model'!AN123</f>
        <v>0</v>
      </c>
      <c r="AO123" s="169">
        <f>'Earnings Model (adjusted)'!AO123-'Earnings Model'!AO123</f>
        <v>0</v>
      </c>
      <c r="AP123" s="169">
        <f>'Earnings Model (adjusted)'!AP123-'Earnings Model'!AP123</f>
        <v>0</v>
      </c>
      <c r="AQ123" s="169">
        <f>'Earnings Model (adjusted)'!AQ123-'Earnings Model'!AQ123</f>
        <v>0</v>
      </c>
    </row>
    <row r="124" spans="1:43" s="473" customFormat="1" outlineLevel="1" x14ac:dyDescent="0.25">
      <c r="A124" s="471"/>
      <c r="B124" s="467" t="s">
        <v>344</v>
      </c>
      <c r="C124" s="478"/>
      <c r="D124" s="475">
        <f>D123/D119</f>
        <v>3.6860879904875153E-2</v>
      </c>
      <c r="E124" s="475">
        <f t="shared" ref="E124:P124" si="96">E123/E119</f>
        <v>3.8289296909986566E-2</v>
      </c>
      <c r="F124" s="475">
        <f t="shared" si="96"/>
        <v>3.7877367335458469E-2</v>
      </c>
      <c r="G124" s="475">
        <f t="shared" si="96"/>
        <v>3.9952765203700058E-2</v>
      </c>
      <c r="H124" s="476">
        <f t="shared" si="96"/>
        <v>3.8241493526046375E-2</v>
      </c>
      <c r="I124" s="475">
        <f t="shared" si="96"/>
        <v>4.1649818034775576E-2</v>
      </c>
      <c r="J124" s="475">
        <f t="shared" si="96"/>
        <v>3.4097476401464072E-2</v>
      </c>
      <c r="K124" s="475">
        <f t="shared" si="96"/>
        <v>0.11491169237648111</v>
      </c>
      <c r="L124" s="475">
        <f t="shared" si="96"/>
        <v>3.9870689655172417E-2</v>
      </c>
      <c r="M124" s="476">
        <f t="shared" si="96"/>
        <v>5.62077922077922E-2</v>
      </c>
      <c r="N124" s="475">
        <f t="shared" si="96"/>
        <v>2.9886914378029081E-2</v>
      </c>
      <c r="O124" s="475">
        <f t="shared" si="96"/>
        <v>3.5414977020816439E-2</v>
      </c>
      <c r="P124" s="475">
        <f t="shared" si="96"/>
        <v>-2.391304347826087E-2</v>
      </c>
      <c r="Q124" s="169">
        <f>'Earnings Model (adjusted)'!Q124-'Earnings Model'!Q124</f>
        <v>0</v>
      </c>
      <c r="R124" s="169">
        <f>'Earnings Model (adjusted)'!R124-'Earnings Model'!R124</f>
        <v>0</v>
      </c>
      <c r="S124" s="169">
        <f>'Earnings Model (adjusted)'!S124-'Earnings Model'!S124</f>
        <v>0</v>
      </c>
      <c r="T124" s="169">
        <f>'Earnings Model (adjusted)'!T124-'Earnings Model'!T124</f>
        <v>0</v>
      </c>
      <c r="U124" s="169">
        <f>'Earnings Model (adjusted)'!U124-'Earnings Model'!U124</f>
        <v>0</v>
      </c>
      <c r="V124" s="169">
        <f>'Earnings Model (adjusted)'!V124-'Earnings Model'!V124</f>
        <v>0</v>
      </c>
      <c r="W124" s="169">
        <f>'Earnings Model (adjusted)'!W124-'Earnings Model'!W124</f>
        <v>0</v>
      </c>
      <c r="X124" s="169">
        <f>'Earnings Model (adjusted)'!X124-'Earnings Model'!X124</f>
        <v>0</v>
      </c>
      <c r="Y124" s="169">
        <f>'Earnings Model (adjusted)'!Y124-'Earnings Model'!Y124</f>
        <v>0</v>
      </c>
      <c r="Z124" s="169">
        <f>'Earnings Model (adjusted)'!Z124-'Earnings Model'!Z124</f>
        <v>0</v>
      </c>
      <c r="AA124" s="169">
        <f>'Earnings Model (adjusted)'!AA124-'Earnings Model'!AA124</f>
        <v>0</v>
      </c>
      <c r="AB124" s="169">
        <f>'Earnings Model (adjusted)'!AB124-'Earnings Model'!AB124</f>
        <v>0</v>
      </c>
      <c r="AC124" s="169">
        <f>'Earnings Model (adjusted)'!AC124-'Earnings Model'!AC124</f>
        <v>0</v>
      </c>
      <c r="AD124" s="169">
        <f>'Earnings Model (adjusted)'!AD124-'Earnings Model'!AD124</f>
        <v>0</v>
      </c>
      <c r="AE124" s="169">
        <f>'Earnings Model (adjusted)'!AE124-'Earnings Model'!AE124</f>
        <v>0</v>
      </c>
      <c r="AF124" s="169">
        <f>'Earnings Model (adjusted)'!AF124-'Earnings Model'!AF124</f>
        <v>0</v>
      </c>
      <c r="AG124" s="169">
        <f>'Earnings Model (adjusted)'!AG124-'Earnings Model'!AG124</f>
        <v>0</v>
      </c>
      <c r="AH124" s="169">
        <f>'Earnings Model (adjusted)'!AH124-'Earnings Model'!AH124</f>
        <v>0</v>
      </c>
      <c r="AI124" s="169">
        <f>'Earnings Model (adjusted)'!AI124-'Earnings Model'!AI124</f>
        <v>0</v>
      </c>
      <c r="AJ124" s="169">
        <f>'Earnings Model (adjusted)'!AJ124-'Earnings Model'!AJ124</f>
        <v>0</v>
      </c>
      <c r="AK124" s="169">
        <f>'Earnings Model (adjusted)'!AK124-'Earnings Model'!AK124</f>
        <v>0</v>
      </c>
      <c r="AL124" s="169">
        <f>'Earnings Model (adjusted)'!AL124-'Earnings Model'!AL124</f>
        <v>0</v>
      </c>
      <c r="AM124" s="169">
        <f>'Earnings Model (adjusted)'!AM124-'Earnings Model'!AM124</f>
        <v>0</v>
      </c>
      <c r="AN124" s="169">
        <f>'Earnings Model (adjusted)'!AN124-'Earnings Model'!AN124</f>
        <v>0</v>
      </c>
      <c r="AO124" s="169">
        <f>'Earnings Model (adjusted)'!AO124-'Earnings Model'!AO124</f>
        <v>0</v>
      </c>
      <c r="AP124" s="169">
        <f>'Earnings Model (adjusted)'!AP124-'Earnings Model'!AP124</f>
        <v>0</v>
      </c>
      <c r="AQ124" s="169">
        <f>'Earnings Model (adjusted)'!AQ124-'Earnings Model'!AQ124</f>
        <v>0</v>
      </c>
    </row>
    <row r="125" spans="1:43" outlineLevel="1" x14ac:dyDescent="0.25">
      <c r="A125" s="254"/>
      <c r="B125" s="550" t="s">
        <v>143</v>
      </c>
      <c r="C125" s="36"/>
      <c r="D125" s="205">
        <v>0</v>
      </c>
      <c r="E125" s="205">
        <v>12.3</v>
      </c>
      <c r="F125" s="205">
        <v>0.2</v>
      </c>
      <c r="G125" s="205">
        <v>0.3</v>
      </c>
      <c r="H125" s="59">
        <f>SUM(D125:G125)</f>
        <v>12.8</v>
      </c>
      <c r="I125" s="205">
        <v>0.3</v>
      </c>
      <c r="J125" s="205">
        <v>0.3</v>
      </c>
      <c r="K125" s="205">
        <v>0.3</v>
      </c>
      <c r="L125" s="205">
        <v>0.3</v>
      </c>
      <c r="M125" s="59">
        <f>SUM(I125:L125)</f>
        <v>1.2</v>
      </c>
      <c r="N125" s="205">
        <v>0.2</v>
      </c>
      <c r="O125" s="205">
        <v>0.3</v>
      </c>
      <c r="P125" s="205">
        <v>0.2</v>
      </c>
      <c r="Q125" s="169">
        <f>'Earnings Model (adjusted)'!Q125-'Earnings Model'!Q125</f>
        <v>0</v>
      </c>
      <c r="R125" s="169">
        <f>'Earnings Model (adjusted)'!R125-'Earnings Model'!R125</f>
        <v>0</v>
      </c>
      <c r="S125" s="169">
        <f>'Earnings Model (adjusted)'!S125-'Earnings Model'!S125</f>
        <v>0</v>
      </c>
      <c r="T125" s="169">
        <f>'Earnings Model (adjusted)'!T125-'Earnings Model'!T125</f>
        <v>1.8194018405365275E-4</v>
      </c>
      <c r="U125" s="169">
        <f>'Earnings Model (adjusted)'!U125-'Earnings Model'!U125</f>
        <v>3.4647059576450867E-4</v>
      </c>
      <c r="V125" s="169">
        <f>'Earnings Model (adjusted)'!V125-'Earnings Model'!V125</f>
        <v>4.2884486103542119E-4</v>
      </c>
      <c r="W125" s="169">
        <f>'Earnings Model (adjusted)'!W125-'Earnings Model'!W125</f>
        <v>9.5725564085358261E-4</v>
      </c>
      <c r="X125" s="169">
        <f>'Earnings Model (adjusted)'!X125-'Earnings Model'!X125</f>
        <v>5.0130992989674827E-4</v>
      </c>
      <c r="Y125" s="169">
        <f>'Earnings Model (adjusted)'!Y125-'Earnings Model'!Y125</f>
        <v>6.915254282404415E-4</v>
      </c>
      <c r="Z125" s="169">
        <f>'Earnings Model (adjusted)'!Z125-'Earnings Model'!Z125</f>
        <v>8.697445314622132E-4</v>
      </c>
      <c r="AA125" s="169">
        <f>'Earnings Model (adjusted)'!AA125-'Earnings Model'!AA125</f>
        <v>9.1778626598565394E-4</v>
      </c>
      <c r="AB125" s="169">
        <f>'Earnings Model (adjusted)'!AB125-'Earnings Model'!AB125</f>
        <v>2.9803661555851679E-3</v>
      </c>
      <c r="AC125" s="169">
        <f>'Earnings Model (adjusted)'!AC125-'Earnings Model'!AC125</f>
        <v>9.5744127251110034E-4</v>
      </c>
      <c r="AD125" s="169">
        <f>'Earnings Model (adjusted)'!AD125-'Earnings Model'!AD125</f>
        <v>1.1619084060054963E-3</v>
      </c>
      <c r="AE125" s="169">
        <f>'Earnings Model (adjusted)'!AE125-'Earnings Model'!AE125</f>
        <v>1.3540070341867827E-3</v>
      </c>
      <c r="AF125" s="169">
        <f>'Earnings Model (adjusted)'!AF125-'Earnings Model'!AF125</f>
        <v>1.3700977701409101E-3</v>
      </c>
      <c r="AG125" s="169">
        <f>'Earnings Model (adjusted)'!AG125-'Earnings Model'!AG125</f>
        <v>4.8434544828442894E-3</v>
      </c>
      <c r="AH125" s="169">
        <f>'Earnings Model (adjusted)'!AH125-'Earnings Model'!AH125</f>
        <v>1.3333400283599972E-3</v>
      </c>
      <c r="AI125" s="169">
        <f>'Earnings Model (adjusted)'!AI125-'Earnings Model'!AI125</f>
        <v>1.5849028033796397E-3</v>
      </c>
      <c r="AJ125" s="169">
        <f>'Earnings Model (adjusted)'!AJ125-'Earnings Model'!AJ125</f>
        <v>1.8213094646261085E-3</v>
      </c>
      <c r="AK125" s="169">
        <f>'Earnings Model (adjusted)'!AK125-'Earnings Model'!AK125</f>
        <v>1.8160067687157389E-3</v>
      </c>
      <c r="AL125" s="169">
        <f>'Earnings Model (adjusted)'!AL125-'Earnings Model'!AL125</f>
        <v>6.5555590650814288E-3</v>
      </c>
      <c r="AM125" s="169">
        <f>'Earnings Model (adjusted)'!AM125-'Earnings Model'!AM125</f>
        <v>1.7548399757439936E-3</v>
      </c>
      <c r="AN125" s="169">
        <f>'Earnings Model (adjusted)'!AN125-'Earnings Model'!AN125</f>
        <v>2.0042988111048654E-3</v>
      </c>
      <c r="AO125" s="169">
        <f>'Earnings Model (adjusted)'!AO125-'Earnings Model'!AO125</f>
        <v>2.2384983692874116E-3</v>
      </c>
      <c r="AP125" s="169">
        <f>'Earnings Model (adjusted)'!AP125-'Earnings Model'!AP125</f>
        <v>2.2149334241088336E-3</v>
      </c>
      <c r="AQ125" s="169">
        <f>'Earnings Model (adjusted)'!AQ125-'Earnings Model'!AQ125</f>
        <v>8.2125705802451598E-3</v>
      </c>
    </row>
    <row r="126" spans="1:43" outlineLevel="1" x14ac:dyDescent="0.25">
      <c r="A126" s="254"/>
      <c r="B126" s="550" t="s">
        <v>144</v>
      </c>
      <c r="C126" s="36"/>
      <c r="D126" s="169">
        <v>3.2</v>
      </c>
      <c r="E126" s="169">
        <v>3.1</v>
      </c>
      <c r="F126" s="169">
        <v>2.7</v>
      </c>
      <c r="G126" s="169">
        <v>2.6</v>
      </c>
      <c r="H126" s="170">
        <f>SUM(D126:G126)</f>
        <v>11.6</v>
      </c>
      <c r="I126" s="169">
        <v>2.4</v>
      </c>
      <c r="J126" s="169">
        <v>3</v>
      </c>
      <c r="K126" s="169">
        <v>2.5</v>
      </c>
      <c r="L126" s="169">
        <v>2.5</v>
      </c>
      <c r="M126" s="170">
        <f>SUM(I126:L126)</f>
        <v>10.4</v>
      </c>
      <c r="N126" s="169">
        <v>2.2000000000000002</v>
      </c>
      <c r="O126" s="169">
        <v>2.2999999999999998</v>
      </c>
      <c r="P126" s="169">
        <v>2.9</v>
      </c>
      <c r="Q126" s="169">
        <f>'Earnings Model (adjusted)'!Q126-'Earnings Model'!Q126</f>
        <v>0</v>
      </c>
      <c r="R126" s="169">
        <f>'Earnings Model (adjusted)'!R126-'Earnings Model'!R126</f>
        <v>0</v>
      </c>
      <c r="S126" s="169">
        <f>'Earnings Model (adjusted)'!S126-'Earnings Model'!S126</f>
        <v>0</v>
      </c>
      <c r="T126" s="169">
        <f>'Earnings Model (adjusted)'!T126-'Earnings Model'!T126</f>
        <v>0</v>
      </c>
      <c r="U126" s="169">
        <f>'Earnings Model (adjusted)'!U126-'Earnings Model'!U126</f>
        <v>0</v>
      </c>
      <c r="V126" s="169">
        <f>'Earnings Model (adjusted)'!V126-'Earnings Model'!V126</f>
        <v>0</v>
      </c>
      <c r="W126" s="169">
        <f>'Earnings Model (adjusted)'!W126-'Earnings Model'!W126</f>
        <v>0</v>
      </c>
      <c r="X126" s="169">
        <f>'Earnings Model (adjusted)'!X126-'Earnings Model'!X126</f>
        <v>0</v>
      </c>
      <c r="Y126" s="169">
        <f>'Earnings Model (adjusted)'!Y126-'Earnings Model'!Y126</f>
        <v>0</v>
      </c>
      <c r="Z126" s="169">
        <f>'Earnings Model (adjusted)'!Z126-'Earnings Model'!Z126</f>
        <v>0</v>
      </c>
      <c r="AA126" s="169">
        <f>'Earnings Model (adjusted)'!AA126-'Earnings Model'!AA126</f>
        <v>0</v>
      </c>
      <c r="AB126" s="169">
        <f>'Earnings Model (adjusted)'!AB126-'Earnings Model'!AB126</f>
        <v>0</v>
      </c>
      <c r="AC126" s="169">
        <f>'Earnings Model (adjusted)'!AC126-'Earnings Model'!AC126</f>
        <v>0</v>
      </c>
      <c r="AD126" s="169">
        <f>'Earnings Model (adjusted)'!AD126-'Earnings Model'!AD126</f>
        <v>0</v>
      </c>
      <c r="AE126" s="169">
        <f>'Earnings Model (adjusted)'!AE126-'Earnings Model'!AE126</f>
        <v>0</v>
      </c>
      <c r="AF126" s="169">
        <f>'Earnings Model (adjusted)'!AF126-'Earnings Model'!AF126</f>
        <v>0</v>
      </c>
      <c r="AG126" s="169">
        <f>'Earnings Model (adjusted)'!AG126-'Earnings Model'!AG126</f>
        <v>0</v>
      </c>
      <c r="AH126" s="169">
        <f>'Earnings Model (adjusted)'!AH126-'Earnings Model'!AH126</f>
        <v>0</v>
      </c>
      <c r="AI126" s="169">
        <f>'Earnings Model (adjusted)'!AI126-'Earnings Model'!AI126</f>
        <v>0</v>
      </c>
      <c r="AJ126" s="169">
        <f>'Earnings Model (adjusted)'!AJ126-'Earnings Model'!AJ126</f>
        <v>0</v>
      </c>
      <c r="AK126" s="169">
        <f>'Earnings Model (adjusted)'!AK126-'Earnings Model'!AK126</f>
        <v>0</v>
      </c>
      <c r="AL126" s="169">
        <f>'Earnings Model (adjusted)'!AL126-'Earnings Model'!AL126</f>
        <v>0</v>
      </c>
      <c r="AM126" s="169">
        <f>'Earnings Model (adjusted)'!AM126-'Earnings Model'!AM126</f>
        <v>0</v>
      </c>
      <c r="AN126" s="169">
        <f>'Earnings Model (adjusted)'!AN126-'Earnings Model'!AN126</f>
        <v>0</v>
      </c>
      <c r="AO126" s="169">
        <f>'Earnings Model (adjusted)'!AO126-'Earnings Model'!AO126</f>
        <v>0</v>
      </c>
      <c r="AP126" s="169">
        <f>'Earnings Model (adjusted)'!AP126-'Earnings Model'!AP126</f>
        <v>0</v>
      </c>
      <c r="AQ126" s="169">
        <f>'Earnings Model (adjusted)'!AQ126-'Earnings Model'!AQ126</f>
        <v>0</v>
      </c>
    </row>
    <row r="127" spans="1:43" s="473" customFormat="1" outlineLevel="1" x14ac:dyDescent="0.25">
      <c r="A127" s="471"/>
      <c r="B127" s="467" t="s">
        <v>343</v>
      </c>
      <c r="C127" s="478"/>
      <c r="D127" s="475">
        <f>D126/D119</f>
        <v>6.3416567578279829E-3</v>
      </c>
      <c r="E127" s="475">
        <f t="shared" ref="E127:P127" si="97">E126/E119</f>
        <v>6.9413345275414241E-3</v>
      </c>
      <c r="F127" s="475">
        <f t="shared" si="97"/>
        <v>5.0628164260266275E-3</v>
      </c>
      <c r="G127" s="475">
        <f t="shared" si="97"/>
        <v>5.1171029324936033E-3</v>
      </c>
      <c r="H127" s="476">
        <f t="shared" si="97"/>
        <v>5.8215396968784505E-3</v>
      </c>
      <c r="I127" s="475">
        <f t="shared" si="97"/>
        <v>4.8524059846340476E-3</v>
      </c>
      <c r="J127" s="475">
        <f t="shared" si="97"/>
        <v>5.7792332883837404E-3</v>
      </c>
      <c r="K127" s="475">
        <f t="shared" si="97"/>
        <v>5.5890900961323492E-3</v>
      </c>
      <c r="L127" s="475">
        <f t="shared" si="97"/>
        <v>5.387931034482759E-3</v>
      </c>
      <c r="M127" s="476">
        <f t="shared" si="97"/>
        <v>5.4025974025974028E-3</v>
      </c>
      <c r="N127" s="475">
        <f t="shared" si="97"/>
        <v>5.9235325794291874E-3</v>
      </c>
      <c r="O127" s="475">
        <f t="shared" si="97"/>
        <v>6.2178967288456337E-3</v>
      </c>
      <c r="P127" s="475">
        <f t="shared" si="97"/>
        <v>7.0048309178743955E-3</v>
      </c>
      <c r="Q127" s="169">
        <f>'Earnings Model (adjusted)'!Q127-'Earnings Model'!Q127</f>
        <v>0</v>
      </c>
      <c r="R127" s="169">
        <f>'Earnings Model (adjusted)'!R127-'Earnings Model'!R127</f>
        <v>0</v>
      </c>
      <c r="S127" s="169">
        <f>'Earnings Model (adjusted)'!S127-'Earnings Model'!S127</f>
        <v>0</v>
      </c>
      <c r="T127" s="169">
        <f>'Earnings Model (adjusted)'!T127-'Earnings Model'!T127</f>
        <v>0</v>
      </c>
      <c r="U127" s="169">
        <f>'Earnings Model (adjusted)'!U127-'Earnings Model'!U127</f>
        <v>0</v>
      </c>
      <c r="V127" s="169">
        <f>'Earnings Model (adjusted)'!V127-'Earnings Model'!V127</f>
        <v>0</v>
      </c>
      <c r="W127" s="169">
        <f>'Earnings Model (adjusted)'!W127-'Earnings Model'!W127</f>
        <v>0</v>
      </c>
      <c r="X127" s="169">
        <f>'Earnings Model (adjusted)'!X127-'Earnings Model'!X127</f>
        <v>0</v>
      </c>
      <c r="Y127" s="169">
        <f>'Earnings Model (adjusted)'!Y127-'Earnings Model'!Y127</f>
        <v>0</v>
      </c>
      <c r="Z127" s="169">
        <f>'Earnings Model (adjusted)'!Z127-'Earnings Model'!Z127</f>
        <v>0</v>
      </c>
      <c r="AA127" s="169">
        <f>'Earnings Model (adjusted)'!AA127-'Earnings Model'!AA127</f>
        <v>0</v>
      </c>
      <c r="AB127" s="169">
        <f>'Earnings Model (adjusted)'!AB127-'Earnings Model'!AB127</f>
        <v>0</v>
      </c>
      <c r="AC127" s="169">
        <f>'Earnings Model (adjusted)'!AC127-'Earnings Model'!AC127</f>
        <v>0</v>
      </c>
      <c r="AD127" s="169">
        <f>'Earnings Model (adjusted)'!AD127-'Earnings Model'!AD127</f>
        <v>0</v>
      </c>
      <c r="AE127" s="169">
        <f>'Earnings Model (adjusted)'!AE127-'Earnings Model'!AE127</f>
        <v>0</v>
      </c>
      <c r="AF127" s="169">
        <f>'Earnings Model (adjusted)'!AF127-'Earnings Model'!AF127</f>
        <v>0</v>
      </c>
      <c r="AG127" s="169">
        <f>'Earnings Model (adjusted)'!AG127-'Earnings Model'!AG127</f>
        <v>0</v>
      </c>
      <c r="AH127" s="169">
        <f>'Earnings Model (adjusted)'!AH127-'Earnings Model'!AH127</f>
        <v>0</v>
      </c>
      <c r="AI127" s="169">
        <f>'Earnings Model (adjusted)'!AI127-'Earnings Model'!AI127</f>
        <v>0</v>
      </c>
      <c r="AJ127" s="169">
        <f>'Earnings Model (adjusted)'!AJ127-'Earnings Model'!AJ127</f>
        <v>0</v>
      </c>
      <c r="AK127" s="169">
        <f>'Earnings Model (adjusted)'!AK127-'Earnings Model'!AK127</f>
        <v>0</v>
      </c>
      <c r="AL127" s="169">
        <f>'Earnings Model (adjusted)'!AL127-'Earnings Model'!AL127</f>
        <v>0</v>
      </c>
      <c r="AM127" s="169">
        <f>'Earnings Model (adjusted)'!AM127-'Earnings Model'!AM127</f>
        <v>0</v>
      </c>
      <c r="AN127" s="169">
        <f>'Earnings Model (adjusted)'!AN127-'Earnings Model'!AN127</f>
        <v>0</v>
      </c>
      <c r="AO127" s="169">
        <f>'Earnings Model (adjusted)'!AO127-'Earnings Model'!AO127</f>
        <v>0</v>
      </c>
      <c r="AP127" s="169">
        <f>'Earnings Model (adjusted)'!AP127-'Earnings Model'!AP127</f>
        <v>0</v>
      </c>
      <c r="AQ127" s="169">
        <f>'Earnings Model (adjusted)'!AQ127-'Earnings Model'!AQ127</f>
        <v>0</v>
      </c>
    </row>
    <row r="128" spans="1:43" ht="17.25" outlineLevel="1" x14ac:dyDescent="0.4">
      <c r="A128" s="254"/>
      <c r="B128" s="550" t="s">
        <v>152</v>
      </c>
      <c r="C128" s="36"/>
      <c r="D128" s="206">
        <v>0</v>
      </c>
      <c r="E128" s="206">
        <v>0</v>
      </c>
      <c r="F128" s="206">
        <v>0</v>
      </c>
      <c r="G128" s="206">
        <v>0</v>
      </c>
      <c r="H128" s="210">
        <f>SUM(D128:G128)</f>
        <v>0</v>
      </c>
      <c r="I128" s="206">
        <v>0</v>
      </c>
      <c r="J128" s="206">
        <v>0</v>
      </c>
      <c r="K128" s="206">
        <v>0</v>
      </c>
      <c r="L128" s="206">
        <v>0</v>
      </c>
      <c r="M128" s="210">
        <f>SUM(I128:L128)</f>
        <v>0</v>
      </c>
      <c r="N128" s="206">
        <v>0</v>
      </c>
      <c r="O128" s="288">
        <v>0</v>
      </c>
      <c r="P128" s="206">
        <v>0</v>
      </c>
      <c r="Q128" s="169">
        <f>'Earnings Model (adjusted)'!Q128-'Earnings Model'!Q128</f>
        <v>0</v>
      </c>
      <c r="R128" s="169">
        <f>'Earnings Model (adjusted)'!R128-'Earnings Model'!R128</f>
        <v>0</v>
      </c>
      <c r="S128" s="169">
        <f>'Earnings Model (adjusted)'!S128-'Earnings Model'!S128</f>
        <v>0</v>
      </c>
      <c r="T128" s="169">
        <f>'Earnings Model (adjusted)'!T128-'Earnings Model'!T128</f>
        <v>0</v>
      </c>
      <c r="U128" s="169">
        <f>'Earnings Model (adjusted)'!U128-'Earnings Model'!U128</f>
        <v>0</v>
      </c>
      <c r="V128" s="169">
        <f>'Earnings Model (adjusted)'!V128-'Earnings Model'!V128</f>
        <v>0</v>
      </c>
      <c r="W128" s="169">
        <f>'Earnings Model (adjusted)'!W128-'Earnings Model'!W128</f>
        <v>0</v>
      </c>
      <c r="X128" s="169">
        <f>'Earnings Model (adjusted)'!X128-'Earnings Model'!X128</f>
        <v>0</v>
      </c>
      <c r="Y128" s="169">
        <f>'Earnings Model (adjusted)'!Y128-'Earnings Model'!Y128</f>
        <v>0</v>
      </c>
      <c r="Z128" s="169">
        <f>'Earnings Model (adjusted)'!Z128-'Earnings Model'!Z128</f>
        <v>0</v>
      </c>
      <c r="AA128" s="169">
        <f>'Earnings Model (adjusted)'!AA128-'Earnings Model'!AA128</f>
        <v>0</v>
      </c>
      <c r="AB128" s="169">
        <f>'Earnings Model (adjusted)'!AB128-'Earnings Model'!AB128</f>
        <v>0</v>
      </c>
      <c r="AC128" s="169">
        <f>'Earnings Model (adjusted)'!AC128-'Earnings Model'!AC128</f>
        <v>0</v>
      </c>
      <c r="AD128" s="169">
        <f>'Earnings Model (adjusted)'!AD128-'Earnings Model'!AD128</f>
        <v>0</v>
      </c>
      <c r="AE128" s="169">
        <f>'Earnings Model (adjusted)'!AE128-'Earnings Model'!AE128</f>
        <v>0</v>
      </c>
      <c r="AF128" s="169">
        <f>'Earnings Model (adjusted)'!AF128-'Earnings Model'!AF128</f>
        <v>0</v>
      </c>
      <c r="AG128" s="169">
        <f>'Earnings Model (adjusted)'!AG128-'Earnings Model'!AG128</f>
        <v>0</v>
      </c>
      <c r="AH128" s="169">
        <f>'Earnings Model (adjusted)'!AH128-'Earnings Model'!AH128</f>
        <v>0</v>
      </c>
      <c r="AI128" s="169">
        <f>'Earnings Model (adjusted)'!AI128-'Earnings Model'!AI128</f>
        <v>0</v>
      </c>
      <c r="AJ128" s="169">
        <f>'Earnings Model (adjusted)'!AJ128-'Earnings Model'!AJ128</f>
        <v>0</v>
      </c>
      <c r="AK128" s="169">
        <f>'Earnings Model (adjusted)'!AK128-'Earnings Model'!AK128</f>
        <v>0</v>
      </c>
      <c r="AL128" s="169">
        <f>'Earnings Model (adjusted)'!AL128-'Earnings Model'!AL128</f>
        <v>0</v>
      </c>
      <c r="AM128" s="169">
        <f>'Earnings Model (adjusted)'!AM128-'Earnings Model'!AM128</f>
        <v>0</v>
      </c>
      <c r="AN128" s="169">
        <f>'Earnings Model (adjusted)'!AN128-'Earnings Model'!AN128</f>
        <v>0</v>
      </c>
      <c r="AO128" s="169">
        <f>'Earnings Model (adjusted)'!AO128-'Earnings Model'!AO128</f>
        <v>0</v>
      </c>
      <c r="AP128" s="169">
        <f>'Earnings Model (adjusted)'!AP128-'Earnings Model'!AP128</f>
        <v>0</v>
      </c>
      <c r="AQ128" s="169">
        <f>'Earnings Model (adjusted)'!AQ128-'Earnings Model'!AQ128</f>
        <v>0</v>
      </c>
    </row>
    <row r="129" spans="1:43" outlineLevel="1" x14ac:dyDescent="0.25">
      <c r="A129" s="254"/>
      <c r="B129" s="167" t="s">
        <v>174</v>
      </c>
      <c r="C129" s="39"/>
      <c r="D129" s="171">
        <f>D121+D123+D125+D126+D128</f>
        <v>370.2</v>
      </c>
      <c r="E129" s="171">
        <f t="shared" ref="E129:P129" si="98">E121+E123+E125+E126+E128</f>
        <v>337.90000000000003</v>
      </c>
      <c r="F129" s="171">
        <f t="shared" si="98"/>
        <v>400.2</v>
      </c>
      <c r="G129" s="171">
        <f t="shared" si="98"/>
        <v>382.30000000000007</v>
      </c>
      <c r="H129" s="50">
        <f t="shared" si="98"/>
        <v>1490.6</v>
      </c>
      <c r="I129" s="171">
        <f t="shared" si="98"/>
        <v>362.1</v>
      </c>
      <c r="J129" s="171">
        <f t="shared" si="98"/>
        <v>372.6</v>
      </c>
      <c r="K129" s="171">
        <f t="shared" si="98"/>
        <v>374.09999999999997</v>
      </c>
      <c r="L129" s="171">
        <f t="shared" si="98"/>
        <v>349.1</v>
      </c>
      <c r="M129" s="50">
        <f t="shared" si="98"/>
        <v>1457.9000000000003</v>
      </c>
      <c r="N129" s="171">
        <f t="shared" si="98"/>
        <v>246.99999999999997</v>
      </c>
      <c r="O129" s="171">
        <f t="shared" si="98"/>
        <v>247.60000000000002</v>
      </c>
      <c r="P129" s="171">
        <f t="shared" si="98"/>
        <v>261.5</v>
      </c>
      <c r="Q129" s="169">
        <f>'Earnings Model (adjusted)'!Q129-'Earnings Model'!Q129</f>
        <v>0</v>
      </c>
      <c r="R129" s="169">
        <f>'Earnings Model (adjusted)'!R129-'Earnings Model'!R129</f>
        <v>0</v>
      </c>
      <c r="S129" s="169">
        <f>'Earnings Model (adjusted)'!S129-'Earnings Model'!S129</f>
        <v>0</v>
      </c>
      <c r="T129" s="169">
        <f>'Earnings Model (adjusted)'!T129-'Earnings Model'!T129</f>
        <v>1.8194018406347823E-4</v>
      </c>
      <c r="U129" s="169">
        <f>'Earnings Model (adjusted)'!U129-'Earnings Model'!U129</f>
        <v>3.4647059572989747E-4</v>
      </c>
      <c r="V129" s="169">
        <f>'Earnings Model (adjusted)'!V129-'Earnings Model'!V129</f>
        <v>4.2884486106231634E-4</v>
      </c>
      <c r="W129" s="169">
        <f>'Earnings Model (adjusted)'!W129-'Earnings Model'!W129</f>
        <v>9.572556407420052E-4</v>
      </c>
      <c r="X129" s="169">
        <f>'Earnings Model (adjusted)'!X129-'Earnings Model'!X129</f>
        <v>5.0130992985941702E-4</v>
      </c>
      <c r="Y129" s="169">
        <f>'Earnings Model (adjusted)'!Y129-'Earnings Model'!Y129</f>
        <v>6.9152542823758267E-4</v>
      </c>
      <c r="Z129" s="169">
        <f>'Earnings Model (adjusted)'!Z129-'Earnings Model'!Z129</f>
        <v>8.6974453148513931E-4</v>
      </c>
      <c r="AA129" s="169">
        <f>'Earnings Model (adjusted)'!AA129-'Earnings Model'!AA129</f>
        <v>9.1778626597260882E-4</v>
      </c>
      <c r="AB129" s="169">
        <f>'Earnings Model (adjusted)'!AB129-'Earnings Model'!AB129</f>
        <v>2.9803661554979044E-3</v>
      </c>
      <c r="AC129" s="169">
        <f>'Earnings Model (adjusted)'!AC129-'Earnings Model'!AC129</f>
        <v>9.5744127253283295E-4</v>
      </c>
      <c r="AD129" s="169">
        <f>'Earnings Model (adjusted)'!AD129-'Earnings Model'!AD129</f>
        <v>1.1619084060043861E-3</v>
      </c>
      <c r="AE129" s="169">
        <f>'Earnings Model (adjusted)'!AE129-'Earnings Model'!AE129</f>
        <v>1.3540070341377941E-3</v>
      </c>
      <c r="AF129" s="169">
        <f>'Earnings Model (adjusted)'!AF129-'Earnings Model'!AF129</f>
        <v>1.3700977701773809E-3</v>
      </c>
      <c r="AG129" s="169">
        <f>'Earnings Model (adjusted)'!AG129-'Earnings Model'!AG129</f>
        <v>4.843454482852394E-3</v>
      </c>
      <c r="AH129" s="169">
        <f>'Earnings Model (adjusted)'!AH129-'Earnings Model'!AH129</f>
        <v>1.3333400283386254E-3</v>
      </c>
      <c r="AI129" s="169">
        <f>'Earnings Model (adjusted)'!AI129-'Earnings Model'!AI129</f>
        <v>1.5849028033585455E-3</v>
      </c>
      <c r="AJ129" s="169">
        <f>'Earnings Model (adjusted)'!AJ129-'Earnings Model'!AJ129</f>
        <v>1.8213094646171157E-3</v>
      </c>
      <c r="AK129" s="169">
        <f>'Earnings Model (adjusted)'!AK129-'Earnings Model'!AK129</f>
        <v>1.816006768706302E-3</v>
      </c>
      <c r="AL129" s="169">
        <f>'Earnings Model (adjusted)'!AL129-'Earnings Model'!AL129</f>
        <v>6.5555590649637452E-3</v>
      </c>
      <c r="AM129" s="169">
        <f>'Earnings Model (adjusted)'!AM129-'Earnings Model'!AM129</f>
        <v>1.7548399757743027E-3</v>
      </c>
      <c r="AN129" s="169">
        <f>'Earnings Model (adjusted)'!AN129-'Earnings Model'!AN129</f>
        <v>2.0042988111299564E-3</v>
      </c>
      <c r="AO129" s="169">
        <f>'Earnings Model (adjusted)'!AO129-'Earnings Model'!AO129</f>
        <v>2.238498369251829E-3</v>
      </c>
      <c r="AP129" s="169">
        <f>'Earnings Model (adjusted)'!AP129-'Earnings Model'!AP129</f>
        <v>2.2149334241134966E-3</v>
      </c>
      <c r="AQ129" s="169">
        <f>'Earnings Model (adjusted)'!AQ129-'Earnings Model'!AQ129</f>
        <v>8.2125705803264282E-3</v>
      </c>
    </row>
    <row r="130" spans="1:43" ht="17.25" outlineLevel="1" x14ac:dyDescent="0.4">
      <c r="A130" s="254"/>
      <c r="B130" s="168" t="s">
        <v>145</v>
      </c>
      <c r="C130" s="144"/>
      <c r="D130" s="173">
        <v>41.4</v>
      </c>
      <c r="E130" s="260">
        <v>40.200000000000003</v>
      </c>
      <c r="F130" s="260">
        <v>48.8</v>
      </c>
      <c r="G130" s="260">
        <v>65.099999999999994</v>
      </c>
      <c r="H130" s="481">
        <f>SUM(D130:G130)</f>
        <v>195.49999999999997</v>
      </c>
      <c r="I130" s="260">
        <v>43</v>
      </c>
      <c r="J130" s="260">
        <v>43.1</v>
      </c>
      <c r="K130" s="260">
        <v>51</v>
      </c>
      <c r="L130" s="260">
        <v>83</v>
      </c>
      <c r="M130" s="481">
        <f>SUM(I130:L130)</f>
        <v>220.1</v>
      </c>
      <c r="N130" s="260">
        <v>56.4</v>
      </c>
      <c r="O130" s="260">
        <v>50.3</v>
      </c>
      <c r="P130" s="260">
        <v>63.5</v>
      </c>
      <c r="Q130" s="169">
        <f>'Earnings Model (adjusted)'!Q130-'Earnings Model'!Q130</f>
        <v>0</v>
      </c>
      <c r="R130" s="169">
        <f>'Earnings Model (adjusted)'!R130-'Earnings Model'!R130</f>
        <v>0</v>
      </c>
      <c r="S130" s="169">
        <f>'Earnings Model (adjusted)'!S130-'Earnings Model'!S130</f>
        <v>0</v>
      </c>
      <c r="T130" s="169">
        <f>'Earnings Model (adjusted)'!T130-'Earnings Model'!T130</f>
        <v>0</v>
      </c>
      <c r="U130" s="169">
        <f>'Earnings Model (adjusted)'!U130-'Earnings Model'!U130</f>
        <v>0</v>
      </c>
      <c r="V130" s="169">
        <f>'Earnings Model (adjusted)'!V130-'Earnings Model'!V130</f>
        <v>0</v>
      </c>
      <c r="W130" s="169">
        <f>'Earnings Model (adjusted)'!W130-'Earnings Model'!W130</f>
        <v>0</v>
      </c>
      <c r="X130" s="169">
        <f>'Earnings Model (adjusted)'!X130-'Earnings Model'!X130</f>
        <v>0</v>
      </c>
      <c r="Y130" s="169">
        <f>'Earnings Model (adjusted)'!Y130-'Earnings Model'!Y130</f>
        <v>0</v>
      </c>
      <c r="Z130" s="169">
        <f>'Earnings Model (adjusted)'!Z130-'Earnings Model'!Z130</f>
        <v>0</v>
      </c>
      <c r="AA130" s="169">
        <f>'Earnings Model (adjusted)'!AA130-'Earnings Model'!AA130</f>
        <v>0</v>
      </c>
      <c r="AB130" s="169">
        <f>'Earnings Model (adjusted)'!AB130-'Earnings Model'!AB130</f>
        <v>0</v>
      </c>
      <c r="AC130" s="169">
        <f>'Earnings Model (adjusted)'!AC130-'Earnings Model'!AC130</f>
        <v>0</v>
      </c>
      <c r="AD130" s="169">
        <f>'Earnings Model (adjusted)'!AD130-'Earnings Model'!AD130</f>
        <v>0</v>
      </c>
      <c r="AE130" s="169">
        <f>'Earnings Model (adjusted)'!AE130-'Earnings Model'!AE130</f>
        <v>0</v>
      </c>
      <c r="AF130" s="169">
        <f>'Earnings Model (adjusted)'!AF130-'Earnings Model'!AF130</f>
        <v>0</v>
      </c>
      <c r="AG130" s="169">
        <f>'Earnings Model (adjusted)'!AG130-'Earnings Model'!AG130</f>
        <v>0</v>
      </c>
      <c r="AH130" s="169">
        <f>'Earnings Model (adjusted)'!AH130-'Earnings Model'!AH130</f>
        <v>0</v>
      </c>
      <c r="AI130" s="169">
        <f>'Earnings Model (adjusted)'!AI130-'Earnings Model'!AI130</f>
        <v>0</v>
      </c>
      <c r="AJ130" s="169">
        <f>'Earnings Model (adjusted)'!AJ130-'Earnings Model'!AJ130</f>
        <v>0</v>
      </c>
      <c r="AK130" s="169">
        <f>'Earnings Model (adjusted)'!AK130-'Earnings Model'!AK130</f>
        <v>0</v>
      </c>
      <c r="AL130" s="169">
        <f>'Earnings Model (adjusted)'!AL130-'Earnings Model'!AL130</f>
        <v>0</v>
      </c>
      <c r="AM130" s="169">
        <f>'Earnings Model (adjusted)'!AM130-'Earnings Model'!AM130</f>
        <v>0</v>
      </c>
      <c r="AN130" s="169">
        <f>'Earnings Model (adjusted)'!AN130-'Earnings Model'!AN130</f>
        <v>0</v>
      </c>
      <c r="AO130" s="169">
        <f>'Earnings Model (adjusted)'!AO130-'Earnings Model'!AO130</f>
        <v>0</v>
      </c>
      <c r="AP130" s="169">
        <f>'Earnings Model (adjusted)'!AP130-'Earnings Model'!AP130</f>
        <v>0</v>
      </c>
      <c r="AQ130" s="169">
        <f>'Earnings Model (adjusted)'!AQ130-'Earnings Model'!AQ130</f>
        <v>0</v>
      </c>
    </row>
    <row r="131" spans="1:43" outlineLevel="1" x14ac:dyDescent="0.25">
      <c r="A131" s="254"/>
      <c r="B131" s="167" t="s">
        <v>175</v>
      </c>
      <c r="C131" s="144"/>
      <c r="D131" s="365">
        <f t="shared" ref="D131:P131" si="99">D119-D129+D130</f>
        <v>175.80000000000004</v>
      </c>
      <c r="E131" s="365">
        <f t="shared" si="99"/>
        <v>148.89999999999998</v>
      </c>
      <c r="F131" s="365">
        <f t="shared" si="99"/>
        <v>181.89999999999998</v>
      </c>
      <c r="G131" s="365">
        <f t="shared" si="99"/>
        <v>190.89999999999995</v>
      </c>
      <c r="H131" s="239">
        <f t="shared" si="99"/>
        <v>697.5</v>
      </c>
      <c r="I131" s="365">
        <f t="shared" si="99"/>
        <v>175.5</v>
      </c>
      <c r="J131" s="365">
        <f t="shared" si="99"/>
        <v>189.6</v>
      </c>
      <c r="K131" s="365">
        <f t="shared" si="99"/>
        <v>124.20000000000005</v>
      </c>
      <c r="L131" s="207">
        <f t="shared" si="99"/>
        <v>197.89999999999998</v>
      </c>
      <c r="M131" s="239">
        <f t="shared" si="99"/>
        <v>687.1999999999997</v>
      </c>
      <c r="N131" s="207">
        <f t="shared" si="99"/>
        <v>180.8</v>
      </c>
      <c r="O131" s="207">
        <f t="shared" si="99"/>
        <v>172.59999999999997</v>
      </c>
      <c r="P131" s="207">
        <f t="shared" si="99"/>
        <v>216</v>
      </c>
      <c r="Q131" s="169">
        <f>'Earnings Model (adjusted)'!Q131-'Earnings Model'!Q131</f>
        <v>0</v>
      </c>
      <c r="R131" s="169">
        <f>'Earnings Model (adjusted)'!R131-'Earnings Model'!R131</f>
        <v>0</v>
      </c>
      <c r="S131" s="169">
        <f>'Earnings Model (adjusted)'!S131-'Earnings Model'!S131</f>
        <v>0</v>
      </c>
      <c r="T131" s="169">
        <f>'Earnings Model (adjusted)'!T131-'Earnings Model'!T131</f>
        <v>-1.8194018406347823E-4</v>
      </c>
      <c r="U131" s="169">
        <f>'Earnings Model (adjusted)'!U131-'Earnings Model'!U131</f>
        <v>-3.4647059572989747E-4</v>
      </c>
      <c r="V131" s="169">
        <f>'Earnings Model (adjusted)'!V131-'Earnings Model'!V131</f>
        <v>-4.2884486106231634E-4</v>
      </c>
      <c r="W131" s="169">
        <f>'Earnings Model (adjusted)'!W131-'Earnings Model'!W131</f>
        <v>-9.572556407420052E-4</v>
      </c>
      <c r="X131" s="169">
        <f>'Earnings Model (adjusted)'!X131-'Earnings Model'!X131</f>
        <v>-5.0130992985941702E-4</v>
      </c>
      <c r="Y131" s="169">
        <f>'Earnings Model (adjusted)'!Y131-'Earnings Model'!Y131</f>
        <v>-6.9152542823758267E-4</v>
      </c>
      <c r="Z131" s="169">
        <f>'Earnings Model (adjusted)'!Z131-'Earnings Model'!Z131</f>
        <v>-8.6974453148513931E-4</v>
      </c>
      <c r="AA131" s="169">
        <f>'Earnings Model (adjusted)'!AA131-'Earnings Model'!AA131</f>
        <v>-9.1778626597260882E-4</v>
      </c>
      <c r="AB131" s="169">
        <f>'Earnings Model (adjusted)'!AB131-'Earnings Model'!AB131</f>
        <v>-2.9803661554979044E-3</v>
      </c>
      <c r="AC131" s="169">
        <f>'Earnings Model (adjusted)'!AC131-'Earnings Model'!AC131</f>
        <v>-9.5744127253283295E-4</v>
      </c>
      <c r="AD131" s="169">
        <f>'Earnings Model (adjusted)'!AD131-'Earnings Model'!AD131</f>
        <v>-1.1619084060043861E-3</v>
      </c>
      <c r="AE131" s="169">
        <f>'Earnings Model (adjusted)'!AE131-'Earnings Model'!AE131</f>
        <v>-1.3540070341377941E-3</v>
      </c>
      <c r="AF131" s="169">
        <f>'Earnings Model (adjusted)'!AF131-'Earnings Model'!AF131</f>
        <v>-1.3700977701773809E-3</v>
      </c>
      <c r="AG131" s="169">
        <f>'Earnings Model (adjusted)'!AG131-'Earnings Model'!AG131</f>
        <v>-4.843454482852394E-3</v>
      </c>
      <c r="AH131" s="169">
        <f>'Earnings Model (adjusted)'!AH131-'Earnings Model'!AH131</f>
        <v>-1.3333400283386254E-3</v>
      </c>
      <c r="AI131" s="169">
        <f>'Earnings Model (adjusted)'!AI131-'Earnings Model'!AI131</f>
        <v>-1.5849028033585455E-3</v>
      </c>
      <c r="AJ131" s="169">
        <f>'Earnings Model (adjusted)'!AJ131-'Earnings Model'!AJ131</f>
        <v>-1.8213094646171157E-3</v>
      </c>
      <c r="AK131" s="169">
        <f>'Earnings Model (adjusted)'!AK131-'Earnings Model'!AK131</f>
        <v>-1.816006768706302E-3</v>
      </c>
      <c r="AL131" s="169">
        <f>'Earnings Model (adjusted)'!AL131-'Earnings Model'!AL131</f>
        <v>-6.5555590649637452E-3</v>
      </c>
      <c r="AM131" s="169">
        <f>'Earnings Model (adjusted)'!AM131-'Earnings Model'!AM131</f>
        <v>-1.7548399757743027E-3</v>
      </c>
      <c r="AN131" s="169">
        <f>'Earnings Model (adjusted)'!AN131-'Earnings Model'!AN131</f>
        <v>-2.0042988111299564E-3</v>
      </c>
      <c r="AO131" s="169">
        <f>'Earnings Model (adjusted)'!AO131-'Earnings Model'!AO131</f>
        <v>-2.238498369251829E-3</v>
      </c>
      <c r="AP131" s="169">
        <f>'Earnings Model (adjusted)'!AP131-'Earnings Model'!AP131</f>
        <v>-2.2149334241134966E-3</v>
      </c>
      <c r="AQ131" s="169">
        <f>'Earnings Model (adjusted)'!AQ131-'Earnings Model'!AQ131</f>
        <v>-8.2125705803264282E-3</v>
      </c>
    </row>
    <row r="132" spans="1:43" outlineLevel="1" x14ac:dyDescent="0.25">
      <c r="A132" s="254"/>
      <c r="B132" s="167" t="s">
        <v>176</v>
      </c>
      <c r="C132" s="144"/>
      <c r="D132" s="366">
        <f>+D131/D119</f>
        <v>0.34839476813317488</v>
      </c>
      <c r="E132" s="366">
        <f>+E131/E119</f>
        <v>0.33340797133900574</v>
      </c>
      <c r="F132" s="366">
        <f>+F131/F119</f>
        <v>0.34108381773860863</v>
      </c>
      <c r="G132" s="366">
        <f>+G131/G119</f>
        <v>0.37571344223578024</v>
      </c>
      <c r="H132" s="306">
        <f>H131/H119</f>
        <v>0.35004516711833789</v>
      </c>
      <c r="I132" s="366">
        <f t="shared" ref="I132:P132" si="100">+I131/I119</f>
        <v>0.3548321876263647</v>
      </c>
      <c r="J132" s="366">
        <f t="shared" si="100"/>
        <v>0.36524754382585239</v>
      </c>
      <c r="K132" s="366">
        <f t="shared" si="100"/>
        <v>0.27766599597585523</v>
      </c>
      <c r="L132" s="208">
        <f t="shared" si="100"/>
        <v>0.42650862068965512</v>
      </c>
      <c r="M132" s="240">
        <f t="shared" si="100"/>
        <v>0.35698701298701285</v>
      </c>
      <c r="N132" s="208">
        <f t="shared" si="100"/>
        <v>0.48680667743672595</v>
      </c>
      <c r="O132" s="208">
        <f t="shared" si="100"/>
        <v>0.46661259799945926</v>
      </c>
      <c r="P132" s="208">
        <f t="shared" si="100"/>
        <v>0.52173913043478259</v>
      </c>
      <c r="Q132" s="169">
        <f>'Earnings Model (adjusted)'!Q132-'Earnings Model'!Q132</f>
        <v>0</v>
      </c>
      <c r="R132" s="169">
        <f>'Earnings Model (adjusted)'!R132-'Earnings Model'!R132</f>
        <v>0</v>
      </c>
      <c r="S132" s="169">
        <f>'Earnings Model (adjusted)'!S132-'Earnings Model'!S132</f>
        <v>0</v>
      </c>
      <c r="T132" s="169">
        <f>'Earnings Model (adjusted)'!T132-'Earnings Model'!T132</f>
        <v>-4.6622100774440511E-7</v>
      </c>
      <c r="U132" s="169">
        <f>'Earnings Model (adjusted)'!U132-'Earnings Model'!U132</f>
        <v>-7.9325639518179614E-7</v>
      </c>
      <c r="V132" s="169">
        <f>'Earnings Model (adjusted)'!V132-'Earnings Model'!V132</f>
        <v>-1.0298657713847525E-6</v>
      </c>
      <c r="W132" s="169">
        <f>'Earnings Model (adjusted)'!W132-'Earnings Model'!W132</f>
        <v>-5.8538794728280052E-7</v>
      </c>
      <c r="X132" s="169">
        <f>'Earnings Model (adjusted)'!X132-'Earnings Model'!X132</f>
        <v>-1.2069967003092152E-6</v>
      </c>
      <c r="Y132" s="169">
        <f>'Earnings Model (adjusted)'!Y132-'Earnings Model'!Y132</f>
        <v>-1.671727543783863E-6</v>
      </c>
      <c r="Z132" s="169">
        <f>'Earnings Model (adjusted)'!Z132-'Earnings Model'!Z132</f>
        <v>-1.8785944752575112E-6</v>
      </c>
      <c r="AA132" s="169">
        <f>'Earnings Model (adjusted)'!AA132-'Earnings Model'!AA132</f>
        <v>-2.0792949711467834E-6</v>
      </c>
      <c r="AB132" s="169">
        <f>'Earnings Model (adjusted)'!AB132-'Earnings Model'!AB132</f>
        <v>-1.7194106005091747E-6</v>
      </c>
      <c r="AC132" s="169">
        <f>'Earnings Model (adjusted)'!AC132-'Earnings Model'!AC132</f>
        <v>-2.1850403476020297E-6</v>
      </c>
      <c r="AD132" s="169">
        <f>'Earnings Model (adjusted)'!AD132-'Earnings Model'!AD132</f>
        <v>-2.6624212923764823E-6</v>
      </c>
      <c r="AE132" s="169">
        <f>'Earnings Model (adjusted)'!AE132-'Earnings Model'!AE132</f>
        <v>-2.7721057576646224E-6</v>
      </c>
      <c r="AF132" s="169">
        <f>'Earnings Model (adjusted)'!AF132-'Earnings Model'!AF132</f>
        <v>-2.9422098737352798E-6</v>
      </c>
      <c r="AG132" s="169">
        <f>'Earnings Model (adjusted)'!AG132-'Earnings Model'!AG132</f>
        <v>-2.6485778335527677E-6</v>
      </c>
      <c r="AH132" s="169">
        <f>'Earnings Model (adjusted)'!AH132-'Earnings Model'!AH132</f>
        <v>-2.898003691187423E-6</v>
      </c>
      <c r="AI132" s="169">
        <f>'Earnings Model (adjusted)'!AI132-'Earnings Model'!AI132</f>
        <v>-3.4587424064258521E-6</v>
      </c>
      <c r="AJ132" s="169">
        <f>'Earnings Model (adjusted)'!AJ132-'Earnings Model'!AJ132</f>
        <v>-3.5512669510628925E-6</v>
      </c>
      <c r="AK132" s="169">
        <f>'Earnings Model (adjusted)'!AK132-'Earnings Model'!AK132</f>
        <v>-3.7140714382877249E-6</v>
      </c>
      <c r="AL132" s="169">
        <f>'Earnings Model (adjusted)'!AL132-'Earnings Model'!AL132</f>
        <v>-3.4141134848120203E-6</v>
      </c>
      <c r="AM132" s="169">
        <f>'Earnings Model (adjusted)'!AM132-'Earnings Model'!AM132</f>
        <v>-3.6325051368524264E-6</v>
      </c>
      <c r="AN132" s="169">
        <f>'Earnings Model (adjusted)'!AN132-'Earnings Model'!AN132</f>
        <v>-4.1657073339695927E-6</v>
      </c>
      <c r="AO132" s="169">
        <f>'Earnings Model (adjusted)'!AO132-'Earnings Model'!AO132</f>
        <v>-4.1568758936683103E-6</v>
      </c>
      <c r="AP132" s="169">
        <f>'Earnings Model (adjusted)'!AP132-'Earnings Model'!AP132</f>
        <v>-4.3142386753625139E-6</v>
      </c>
      <c r="AQ132" s="169">
        <f>'Earnings Model (adjusted)'!AQ132-'Earnings Model'!AQ132</f>
        <v>-4.0734091457106381E-6</v>
      </c>
    </row>
    <row r="133" spans="1:43" ht="18" x14ac:dyDescent="0.4">
      <c r="A133" s="254"/>
      <c r="B133" s="565" t="s">
        <v>177</v>
      </c>
      <c r="C133" s="566"/>
      <c r="D133" s="32" t="s">
        <v>119</v>
      </c>
      <c r="E133" s="32" t="s">
        <v>243</v>
      </c>
      <c r="F133" s="32" t="s">
        <v>247</v>
      </c>
      <c r="G133" s="32" t="s">
        <v>257</v>
      </c>
      <c r="H133" s="86" t="s">
        <v>258</v>
      </c>
      <c r="I133" s="32" t="s">
        <v>259</v>
      </c>
      <c r="J133" s="32" t="s">
        <v>260</v>
      </c>
      <c r="K133" s="32" t="s">
        <v>261</v>
      </c>
      <c r="L133" s="32" t="s">
        <v>322</v>
      </c>
      <c r="M133" s="86" t="s">
        <v>333</v>
      </c>
      <c r="N133" s="32" t="s">
        <v>339</v>
      </c>
      <c r="O133" s="32" t="s">
        <v>347</v>
      </c>
      <c r="P133" s="32" t="s">
        <v>349</v>
      </c>
      <c r="Q133" s="169" t="e">
        <f>'Earnings Model (adjusted)'!Q133-'Earnings Model'!Q133</f>
        <v>#VALUE!</v>
      </c>
      <c r="R133" s="169" t="e">
        <f>'Earnings Model (adjusted)'!R133-'Earnings Model'!R133</f>
        <v>#VALUE!</v>
      </c>
      <c r="S133" s="169" t="e">
        <f>'Earnings Model (adjusted)'!S133-'Earnings Model'!S133</f>
        <v>#VALUE!</v>
      </c>
      <c r="T133" s="169" t="e">
        <f>'Earnings Model (adjusted)'!T133-'Earnings Model'!T133</f>
        <v>#VALUE!</v>
      </c>
      <c r="U133" s="169" t="e">
        <f>'Earnings Model (adjusted)'!U133-'Earnings Model'!U133</f>
        <v>#VALUE!</v>
      </c>
      <c r="V133" s="169" t="e">
        <f>'Earnings Model (adjusted)'!V133-'Earnings Model'!V133</f>
        <v>#VALUE!</v>
      </c>
      <c r="W133" s="169" t="e">
        <f>'Earnings Model (adjusted)'!W133-'Earnings Model'!W133</f>
        <v>#VALUE!</v>
      </c>
      <c r="X133" s="169" t="e">
        <f>'Earnings Model (adjusted)'!X133-'Earnings Model'!X133</f>
        <v>#VALUE!</v>
      </c>
      <c r="Y133" s="169" t="e">
        <f>'Earnings Model (adjusted)'!Y133-'Earnings Model'!Y133</f>
        <v>#VALUE!</v>
      </c>
      <c r="Z133" s="169" t="e">
        <f>'Earnings Model (adjusted)'!Z133-'Earnings Model'!Z133</f>
        <v>#VALUE!</v>
      </c>
      <c r="AA133" s="169" t="e">
        <f>'Earnings Model (adjusted)'!AA133-'Earnings Model'!AA133</f>
        <v>#VALUE!</v>
      </c>
      <c r="AB133" s="169" t="e">
        <f>'Earnings Model (adjusted)'!AB133-'Earnings Model'!AB133</f>
        <v>#VALUE!</v>
      </c>
      <c r="AC133" s="169" t="e">
        <f>'Earnings Model (adjusted)'!AC133-'Earnings Model'!AC133</f>
        <v>#VALUE!</v>
      </c>
      <c r="AD133" s="169" t="e">
        <f>'Earnings Model (adjusted)'!AD133-'Earnings Model'!AD133</f>
        <v>#VALUE!</v>
      </c>
      <c r="AE133" s="169" t="e">
        <f>'Earnings Model (adjusted)'!AE133-'Earnings Model'!AE133</f>
        <v>#VALUE!</v>
      </c>
      <c r="AF133" s="169" t="e">
        <f>'Earnings Model (adjusted)'!AF133-'Earnings Model'!AF133</f>
        <v>#VALUE!</v>
      </c>
      <c r="AG133" s="169" t="e">
        <f>'Earnings Model (adjusted)'!AG133-'Earnings Model'!AG133</f>
        <v>#VALUE!</v>
      </c>
      <c r="AH133" s="169" t="e">
        <f>'Earnings Model (adjusted)'!AH133-'Earnings Model'!AH133</f>
        <v>#VALUE!</v>
      </c>
      <c r="AI133" s="169" t="e">
        <f>'Earnings Model (adjusted)'!AI133-'Earnings Model'!AI133</f>
        <v>#VALUE!</v>
      </c>
      <c r="AJ133" s="169" t="e">
        <f>'Earnings Model (adjusted)'!AJ133-'Earnings Model'!AJ133</f>
        <v>#VALUE!</v>
      </c>
      <c r="AK133" s="169" t="e">
        <f>'Earnings Model (adjusted)'!AK133-'Earnings Model'!AK133</f>
        <v>#VALUE!</v>
      </c>
      <c r="AL133" s="169" t="e">
        <f>'Earnings Model (adjusted)'!AL133-'Earnings Model'!AL133</f>
        <v>#VALUE!</v>
      </c>
      <c r="AM133" s="169" t="e">
        <f>'Earnings Model (adjusted)'!AM133-'Earnings Model'!AM133</f>
        <v>#VALUE!</v>
      </c>
      <c r="AN133" s="169" t="e">
        <f>'Earnings Model (adjusted)'!AN133-'Earnings Model'!AN133</f>
        <v>#VALUE!</v>
      </c>
      <c r="AO133" s="169" t="e">
        <f>'Earnings Model (adjusted)'!AO133-'Earnings Model'!AO133</f>
        <v>#VALUE!</v>
      </c>
      <c r="AP133" s="169" t="e">
        <f>'Earnings Model (adjusted)'!AP133-'Earnings Model'!AP133</f>
        <v>#VALUE!</v>
      </c>
      <c r="AQ133" s="169" t="e">
        <f>'Earnings Model (adjusted)'!AQ133-'Earnings Model'!AQ133</f>
        <v>#VALUE!</v>
      </c>
    </row>
    <row r="134" spans="1:43" s="20" customFormat="1" outlineLevel="1" x14ac:dyDescent="0.25">
      <c r="A134" s="269"/>
      <c r="B134" s="595" t="s">
        <v>303</v>
      </c>
      <c r="C134" s="596"/>
      <c r="D134" s="169">
        <v>11.6</v>
      </c>
      <c r="E134" s="169">
        <v>15.8</v>
      </c>
      <c r="F134" s="169">
        <v>23.3</v>
      </c>
      <c r="G134" s="169">
        <v>15.4</v>
      </c>
      <c r="H134" s="59">
        <f>SUM(D134:G134)</f>
        <v>66.100000000000009</v>
      </c>
      <c r="I134" s="169">
        <v>20.5</v>
      </c>
      <c r="J134" s="169">
        <v>12</v>
      </c>
      <c r="K134" s="169">
        <v>19.7</v>
      </c>
      <c r="L134" s="169">
        <v>13.9</v>
      </c>
      <c r="M134" s="59">
        <f>SUM(I134:L134)</f>
        <v>66.100000000000009</v>
      </c>
      <c r="N134" s="169">
        <v>20.5</v>
      </c>
      <c r="O134" s="169">
        <v>22.6</v>
      </c>
      <c r="P134" s="169">
        <v>23.8</v>
      </c>
      <c r="Q134" s="169">
        <f>'Earnings Model (adjusted)'!Q134-'Earnings Model'!Q134</f>
        <v>0</v>
      </c>
      <c r="R134" s="169">
        <f>'Earnings Model (adjusted)'!R134-'Earnings Model'!R134</f>
        <v>0</v>
      </c>
      <c r="S134" s="169">
        <f>'Earnings Model (adjusted)'!S134-'Earnings Model'!S134</f>
        <v>0</v>
      </c>
      <c r="T134" s="169">
        <f>'Earnings Model (adjusted)'!T134-'Earnings Model'!T134</f>
        <v>0</v>
      </c>
      <c r="U134" s="169">
        <f>'Earnings Model (adjusted)'!U134-'Earnings Model'!U134</f>
        <v>0</v>
      </c>
      <c r="V134" s="169">
        <f>'Earnings Model (adjusted)'!V134-'Earnings Model'!V134</f>
        <v>0</v>
      </c>
      <c r="W134" s="169">
        <f>'Earnings Model (adjusted)'!W134-'Earnings Model'!W134</f>
        <v>0</v>
      </c>
      <c r="X134" s="169">
        <f>'Earnings Model (adjusted)'!X134-'Earnings Model'!X134</f>
        <v>0</v>
      </c>
      <c r="Y134" s="169">
        <f>'Earnings Model (adjusted)'!Y134-'Earnings Model'!Y134</f>
        <v>0</v>
      </c>
      <c r="Z134" s="169">
        <f>'Earnings Model (adjusted)'!Z134-'Earnings Model'!Z134</f>
        <v>0</v>
      </c>
      <c r="AA134" s="169">
        <f>'Earnings Model (adjusted)'!AA134-'Earnings Model'!AA134</f>
        <v>0</v>
      </c>
      <c r="AB134" s="169">
        <f>'Earnings Model (adjusted)'!AB134-'Earnings Model'!AB134</f>
        <v>0</v>
      </c>
      <c r="AC134" s="169">
        <f>'Earnings Model (adjusted)'!AC134-'Earnings Model'!AC134</f>
        <v>0</v>
      </c>
      <c r="AD134" s="169">
        <f>'Earnings Model (adjusted)'!AD134-'Earnings Model'!AD134</f>
        <v>0</v>
      </c>
      <c r="AE134" s="169">
        <f>'Earnings Model (adjusted)'!AE134-'Earnings Model'!AE134</f>
        <v>0</v>
      </c>
      <c r="AF134" s="169">
        <f>'Earnings Model (adjusted)'!AF134-'Earnings Model'!AF134</f>
        <v>0</v>
      </c>
      <c r="AG134" s="169">
        <f>'Earnings Model (adjusted)'!AG134-'Earnings Model'!AG134</f>
        <v>0</v>
      </c>
      <c r="AH134" s="169">
        <f>'Earnings Model (adjusted)'!AH134-'Earnings Model'!AH134</f>
        <v>0</v>
      </c>
      <c r="AI134" s="169">
        <f>'Earnings Model (adjusted)'!AI134-'Earnings Model'!AI134</f>
        <v>0</v>
      </c>
      <c r="AJ134" s="169">
        <f>'Earnings Model (adjusted)'!AJ134-'Earnings Model'!AJ134</f>
        <v>0</v>
      </c>
      <c r="AK134" s="169">
        <f>'Earnings Model (adjusted)'!AK134-'Earnings Model'!AK134</f>
        <v>0</v>
      </c>
      <c r="AL134" s="169">
        <f>'Earnings Model (adjusted)'!AL134-'Earnings Model'!AL134</f>
        <v>0</v>
      </c>
      <c r="AM134" s="169">
        <f>'Earnings Model (adjusted)'!AM134-'Earnings Model'!AM134</f>
        <v>0</v>
      </c>
      <c r="AN134" s="169">
        <f>'Earnings Model (adjusted)'!AN134-'Earnings Model'!AN134</f>
        <v>0</v>
      </c>
      <c r="AO134" s="169">
        <f>'Earnings Model (adjusted)'!AO134-'Earnings Model'!AO134</f>
        <v>0</v>
      </c>
      <c r="AP134" s="169">
        <f>'Earnings Model (adjusted)'!AP134-'Earnings Model'!AP134</f>
        <v>0</v>
      </c>
      <c r="AQ134" s="169">
        <f>'Earnings Model (adjusted)'!AQ134-'Earnings Model'!AQ134</f>
        <v>0</v>
      </c>
    </row>
    <row r="135" spans="1:43" s="20" customFormat="1" outlineLevel="1" x14ac:dyDescent="0.25">
      <c r="A135" s="269"/>
      <c r="B135" s="78" t="s">
        <v>304</v>
      </c>
      <c r="C135" s="540"/>
      <c r="D135" s="56"/>
      <c r="E135" s="56"/>
      <c r="F135" s="56"/>
      <c r="G135" s="285"/>
      <c r="H135" s="318"/>
      <c r="I135" s="285">
        <f t="shared" ref="I135:J135" si="101">I134/D134-1</f>
        <v>0.76724137931034497</v>
      </c>
      <c r="J135" s="285">
        <f t="shared" si="101"/>
        <v>-0.24050632911392411</v>
      </c>
      <c r="K135" s="285">
        <f>K134/F134-1</f>
        <v>-0.15450643776824036</v>
      </c>
      <c r="L135" s="285">
        <f>L134/G134-1</f>
        <v>-9.740259740259738E-2</v>
      </c>
      <c r="M135" s="311">
        <f>M134/H134-1</f>
        <v>0</v>
      </c>
      <c r="N135" s="285">
        <f t="shared" ref="N135" si="102">N134/I134-1</f>
        <v>0</v>
      </c>
      <c r="O135" s="285">
        <v>0.1</v>
      </c>
      <c r="P135" s="285">
        <v>0.1</v>
      </c>
      <c r="Q135" s="169">
        <f>'Earnings Model (adjusted)'!Q135-'Earnings Model'!Q135</f>
        <v>0</v>
      </c>
      <c r="R135" s="169">
        <f>'Earnings Model (adjusted)'!R135-'Earnings Model'!R135</f>
        <v>0</v>
      </c>
      <c r="S135" s="169">
        <f>'Earnings Model (adjusted)'!S135-'Earnings Model'!S135</f>
        <v>0</v>
      </c>
      <c r="T135" s="169">
        <f>'Earnings Model (adjusted)'!T135-'Earnings Model'!T135</f>
        <v>0</v>
      </c>
      <c r="U135" s="169">
        <f>'Earnings Model (adjusted)'!U135-'Earnings Model'!U135</f>
        <v>0</v>
      </c>
      <c r="V135" s="169">
        <f>'Earnings Model (adjusted)'!V135-'Earnings Model'!V135</f>
        <v>0</v>
      </c>
      <c r="W135" s="169">
        <f>'Earnings Model (adjusted)'!W135-'Earnings Model'!W135</f>
        <v>0</v>
      </c>
      <c r="X135" s="169">
        <f>'Earnings Model (adjusted)'!X135-'Earnings Model'!X135</f>
        <v>0</v>
      </c>
      <c r="Y135" s="169">
        <f>'Earnings Model (adjusted)'!Y135-'Earnings Model'!Y135</f>
        <v>0</v>
      </c>
      <c r="Z135" s="169">
        <f>'Earnings Model (adjusted)'!Z135-'Earnings Model'!Z135</f>
        <v>0</v>
      </c>
      <c r="AA135" s="169">
        <f>'Earnings Model (adjusted)'!AA135-'Earnings Model'!AA135</f>
        <v>0</v>
      </c>
      <c r="AB135" s="169">
        <f>'Earnings Model (adjusted)'!AB135-'Earnings Model'!AB135</f>
        <v>0</v>
      </c>
      <c r="AC135" s="169">
        <f>'Earnings Model (adjusted)'!AC135-'Earnings Model'!AC135</f>
        <v>0</v>
      </c>
      <c r="AD135" s="169">
        <f>'Earnings Model (adjusted)'!AD135-'Earnings Model'!AD135</f>
        <v>0</v>
      </c>
      <c r="AE135" s="169">
        <f>'Earnings Model (adjusted)'!AE135-'Earnings Model'!AE135</f>
        <v>0</v>
      </c>
      <c r="AF135" s="169">
        <f>'Earnings Model (adjusted)'!AF135-'Earnings Model'!AF135</f>
        <v>0</v>
      </c>
      <c r="AG135" s="169">
        <f>'Earnings Model (adjusted)'!AG135-'Earnings Model'!AG135</f>
        <v>0</v>
      </c>
      <c r="AH135" s="169">
        <f>'Earnings Model (adjusted)'!AH135-'Earnings Model'!AH135</f>
        <v>0</v>
      </c>
      <c r="AI135" s="169">
        <f>'Earnings Model (adjusted)'!AI135-'Earnings Model'!AI135</f>
        <v>0</v>
      </c>
      <c r="AJ135" s="169">
        <f>'Earnings Model (adjusted)'!AJ135-'Earnings Model'!AJ135</f>
        <v>0</v>
      </c>
      <c r="AK135" s="169">
        <f>'Earnings Model (adjusted)'!AK135-'Earnings Model'!AK135</f>
        <v>0</v>
      </c>
      <c r="AL135" s="169">
        <f>'Earnings Model (adjusted)'!AL135-'Earnings Model'!AL135</f>
        <v>0</v>
      </c>
      <c r="AM135" s="169">
        <f>'Earnings Model (adjusted)'!AM135-'Earnings Model'!AM135</f>
        <v>0</v>
      </c>
      <c r="AN135" s="169">
        <f>'Earnings Model (adjusted)'!AN135-'Earnings Model'!AN135</f>
        <v>0</v>
      </c>
      <c r="AO135" s="169">
        <f>'Earnings Model (adjusted)'!AO135-'Earnings Model'!AO135</f>
        <v>0</v>
      </c>
      <c r="AP135" s="169">
        <f>'Earnings Model (adjusted)'!AP135-'Earnings Model'!AP135</f>
        <v>0</v>
      </c>
      <c r="AQ135" s="169">
        <f>'Earnings Model (adjusted)'!AQ135-'Earnings Model'!AQ135</f>
        <v>0</v>
      </c>
    </row>
    <row r="136" spans="1:43" outlineLevel="1" x14ac:dyDescent="0.25">
      <c r="A136" s="254"/>
      <c r="B136" s="605" t="s">
        <v>262</v>
      </c>
      <c r="C136" s="606"/>
      <c r="D136" s="169">
        <v>13.4</v>
      </c>
      <c r="E136" s="169">
        <v>15.9</v>
      </c>
      <c r="F136" s="169">
        <v>22.4</v>
      </c>
      <c r="G136" s="261">
        <v>15.5</v>
      </c>
      <c r="H136" s="450"/>
      <c r="I136" s="261">
        <v>20.7</v>
      </c>
      <c r="J136" s="261">
        <v>10.199999999999999</v>
      </c>
      <c r="K136" s="261">
        <v>20.8</v>
      </c>
      <c r="L136" s="261">
        <v>11.6</v>
      </c>
      <c r="M136" s="59">
        <f>SUM(I136:L136)</f>
        <v>63.300000000000004</v>
      </c>
      <c r="N136" s="261">
        <v>19</v>
      </c>
      <c r="O136" s="261">
        <v>19.399999999999999</v>
      </c>
      <c r="P136" s="261">
        <v>19.8</v>
      </c>
      <c r="Q136" s="169">
        <f>'Earnings Model (adjusted)'!Q136-'Earnings Model'!Q136</f>
        <v>0</v>
      </c>
      <c r="R136" s="169">
        <f>'Earnings Model (adjusted)'!R136-'Earnings Model'!R136</f>
        <v>0</v>
      </c>
      <c r="S136" s="169">
        <f>'Earnings Model (adjusted)'!S136-'Earnings Model'!S136</f>
        <v>0</v>
      </c>
      <c r="T136" s="169">
        <f>'Earnings Model (adjusted)'!T136-'Earnings Model'!T136</f>
        <v>0</v>
      </c>
      <c r="U136" s="169">
        <f>'Earnings Model (adjusted)'!U136-'Earnings Model'!U136</f>
        <v>0</v>
      </c>
      <c r="V136" s="169">
        <f>'Earnings Model (adjusted)'!V136-'Earnings Model'!V136</f>
        <v>0</v>
      </c>
      <c r="W136" s="169">
        <f>'Earnings Model (adjusted)'!W136-'Earnings Model'!W136</f>
        <v>0</v>
      </c>
      <c r="X136" s="169">
        <f>'Earnings Model (adjusted)'!X136-'Earnings Model'!X136</f>
        <v>0</v>
      </c>
      <c r="Y136" s="169">
        <f>'Earnings Model (adjusted)'!Y136-'Earnings Model'!Y136</f>
        <v>0</v>
      </c>
      <c r="Z136" s="169">
        <f>'Earnings Model (adjusted)'!Z136-'Earnings Model'!Z136</f>
        <v>0</v>
      </c>
      <c r="AA136" s="169">
        <f>'Earnings Model (adjusted)'!AA136-'Earnings Model'!AA136</f>
        <v>0</v>
      </c>
      <c r="AB136" s="169">
        <f>'Earnings Model (adjusted)'!AB136-'Earnings Model'!AB136</f>
        <v>0</v>
      </c>
      <c r="AC136" s="169">
        <f>'Earnings Model (adjusted)'!AC136-'Earnings Model'!AC136</f>
        <v>0</v>
      </c>
      <c r="AD136" s="169">
        <f>'Earnings Model (adjusted)'!AD136-'Earnings Model'!AD136</f>
        <v>0</v>
      </c>
      <c r="AE136" s="169">
        <f>'Earnings Model (adjusted)'!AE136-'Earnings Model'!AE136</f>
        <v>0</v>
      </c>
      <c r="AF136" s="169">
        <f>'Earnings Model (adjusted)'!AF136-'Earnings Model'!AF136</f>
        <v>0</v>
      </c>
      <c r="AG136" s="169">
        <f>'Earnings Model (adjusted)'!AG136-'Earnings Model'!AG136</f>
        <v>0</v>
      </c>
      <c r="AH136" s="169">
        <f>'Earnings Model (adjusted)'!AH136-'Earnings Model'!AH136</f>
        <v>0</v>
      </c>
      <c r="AI136" s="169">
        <f>'Earnings Model (adjusted)'!AI136-'Earnings Model'!AI136</f>
        <v>0</v>
      </c>
      <c r="AJ136" s="169">
        <f>'Earnings Model (adjusted)'!AJ136-'Earnings Model'!AJ136</f>
        <v>0</v>
      </c>
      <c r="AK136" s="169">
        <f>'Earnings Model (adjusted)'!AK136-'Earnings Model'!AK136</f>
        <v>0</v>
      </c>
      <c r="AL136" s="169">
        <f>'Earnings Model (adjusted)'!AL136-'Earnings Model'!AL136</f>
        <v>0</v>
      </c>
      <c r="AM136" s="169">
        <f>'Earnings Model (adjusted)'!AM136-'Earnings Model'!AM136</f>
        <v>0</v>
      </c>
      <c r="AN136" s="169">
        <f>'Earnings Model (adjusted)'!AN136-'Earnings Model'!AN136</f>
        <v>0</v>
      </c>
      <c r="AO136" s="169">
        <f>'Earnings Model (adjusted)'!AO136-'Earnings Model'!AO136</f>
        <v>0</v>
      </c>
      <c r="AP136" s="169">
        <f>'Earnings Model (adjusted)'!AP136-'Earnings Model'!AP136</f>
        <v>0</v>
      </c>
      <c r="AQ136" s="169">
        <f>'Earnings Model (adjusted)'!AQ136-'Earnings Model'!AQ136</f>
        <v>0</v>
      </c>
    </row>
    <row r="137" spans="1:43" outlineLevel="1" x14ac:dyDescent="0.25">
      <c r="A137" s="254"/>
      <c r="B137" s="550" t="s">
        <v>142</v>
      </c>
      <c r="C137" s="36"/>
      <c r="D137" s="169">
        <v>3.2</v>
      </c>
      <c r="E137" s="169">
        <v>4.3</v>
      </c>
      <c r="F137" s="169">
        <v>5.8</v>
      </c>
      <c r="G137" s="261">
        <f>5.2+0.1</f>
        <v>5.3</v>
      </c>
      <c r="H137" s="450"/>
      <c r="I137" s="261">
        <v>2.8</v>
      </c>
      <c r="J137" s="261">
        <v>3.7</v>
      </c>
      <c r="K137" s="261">
        <v>4</v>
      </c>
      <c r="L137" s="261">
        <v>3.4</v>
      </c>
      <c r="M137" s="59">
        <f t="shared" ref="M137:M140" si="103">SUM(I137:L137)</f>
        <v>13.9</v>
      </c>
      <c r="N137" s="261">
        <v>3.6</v>
      </c>
      <c r="O137" s="261">
        <v>3.4</v>
      </c>
      <c r="P137" s="261">
        <v>3.3</v>
      </c>
      <c r="Q137" s="169">
        <f>'Earnings Model (adjusted)'!Q137-'Earnings Model'!Q137</f>
        <v>0</v>
      </c>
      <c r="R137" s="169">
        <f>'Earnings Model (adjusted)'!R137-'Earnings Model'!R137</f>
        <v>0</v>
      </c>
      <c r="S137" s="169">
        <f>'Earnings Model (adjusted)'!S137-'Earnings Model'!S137</f>
        <v>0</v>
      </c>
      <c r="T137" s="169">
        <f>'Earnings Model (adjusted)'!T137-'Earnings Model'!T137</f>
        <v>0</v>
      </c>
      <c r="U137" s="169">
        <f>'Earnings Model (adjusted)'!U137-'Earnings Model'!U137</f>
        <v>0</v>
      </c>
      <c r="V137" s="169">
        <f>'Earnings Model (adjusted)'!V137-'Earnings Model'!V137</f>
        <v>0</v>
      </c>
      <c r="W137" s="169">
        <f>'Earnings Model (adjusted)'!W137-'Earnings Model'!W137</f>
        <v>0</v>
      </c>
      <c r="X137" s="169">
        <f>'Earnings Model (adjusted)'!X137-'Earnings Model'!X137</f>
        <v>0</v>
      </c>
      <c r="Y137" s="169">
        <f>'Earnings Model (adjusted)'!Y137-'Earnings Model'!Y137</f>
        <v>0</v>
      </c>
      <c r="Z137" s="169">
        <f>'Earnings Model (adjusted)'!Z137-'Earnings Model'!Z137</f>
        <v>0</v>
      </c>
      <c r="AA137" s="169">
        <f>'Earnings Model (adjusted)'!AA137-'Earnings Model'!AA137</f>
        <v>0</v>
      </c>
      <c r="AB137" s="169">
        <f>'Earnings Model (adjusted)'!AB137-'Earnings Model'!AB137</f>
        <v>0</v>
      </c>
      <c r="AC137" s="169">
        <f>'Earnings Model (adjusted)'!AC137-'Earnings Model'!AC137</f>
        <v>0</v>
      </c>
      <c r="AD137" s="169">
        <f>'Earnings Model (adjusted)'!AD137-'Earnings Model'!AD137</f>
        <v>0</v>
      </c>
      <c r="AE137" s="169">
        <f>'Earnings Model (adjusted)'!AE137-'Earnings Model'!AE137</f>
        <v>0</v>
      </c>
      <c r="AF137" s="169">
        <f>'Earnings Model (adjusted)'!AF137-'Earnings Model'!AF137</f>
        <v>0</v>
      </c>
      <c r="AG137" s="169">
        <f>'Earnings Model (adjusted)'!AG137-'Earnings Model'!AG137</f>
        <v>0</v>
      </c>
      <c r="AH137" s="169">
        <f>'Earnings Model (adjusted)'!AH137-'Earnings Model'!AH137</f>
        <v>0</v>
      </c>
      <c r="AI137" s="169">
        <f>'Earnings Model (adjusted)'!AI137-'Earnings Model'!AI137</f>
        <v>0</v>
      </c>
      <c r="AJ137" s="169">
        <f>'Earnings Model (adjusted)'!AJ137-'Earnings Model'!AJ137</f>
        <v>0</v>
      </c>
      <c r="AK137" s="169">
        <f>'Earnings Model (adjusted)'!AK137-'Earnings Model'!AK137</f>
        <v>0</v>
      </c>
      <c r="AL137" s="169">
        <f>'Earnings Model (adjusted)'!AL137-'Earnings Model'!AL137</f>
        <v>0</v>
      </c>
      <c r="AM137" s="169">
        <f>'Earnings Model (adjusted)'!AM137-'Earnings Model'!AM137</f>
        <v>0</v>
      </c>
      <c r="AN137" s="169">
        <f>'Earnings Model (adjusted)'!AN137-'Earnings Model'!AN137</f>
        <v>0</v>
      </c>
      <c r="AO137" s="169">
        <f>'Earnings Model (adjusted)'!AO137-'Earnings Model'!AO137</f>
        <v>0</v>
      </c>
      <c r="AP137" s="169">
        <f>'Earnings Model (adjusted)'!AP137-'Earnings Model'!AP137</f>
        <v>0</v>
      </c>
      <c r="AQ137" s="169">
        <f>'Earnings Model (adjusted)'!AQ137-'Earnings Model'!AQ137</f>
        <v>0</v>
      </c>
    </row>
    <row r="138" spans="1:43" outlineLevel="1" x14ac:dyDescent="0.25">
      <c r="A138" s="254"/>
      <c r="B138" s="550" t="s">
        <v>143</v>
      </c>
      <c r="C138" s="36"/>
      <c r="D138" s="205">
        <v>39.5</v>
      </c>
      <c r="E138" s="205">
        <v>40.5</v>
      </c>
      <c r="F138" s="205">
        <v>39.6</v>
      </c>
      <c r="G138" s="287">
        <v>37.299999999999997</v>
      </c>
      <c r="H138" s="318"/>
      <c r="I138" s="287">
        <v>34.9</v>
      </c>
      <c r="J138" s="287">
        <v>34.5</v>
      </c>
      <c r="K138" s="287">
        <v>40.9</v>
      </c>
      <c r="L138" s="287">
        <v>39.5</v>
      </c>
      <c r="M138" s="59">
        <f t="shared" si="103"/>
        <v>149.80000000000001</v>
      </c>
      <c r="N138" s="287">
        <v>37</v>
      </c>
      <c r="O138" s="287">
        <v>37</v>
      </c>
      <c r="P138" s="287">
        <v>35.5</v>
      </c>
      <c r="Q138" s="169">
        <f>'Earnings Model (adjusted)'!Q138-'Earnings Model'!Q138</f>
        <v>0</v>
      </c>
      <c r="R138" s="169">
        <f>'Earnings Model (adjusted)'!R138-'Earnings Model'!R138</f>
        <v>0</v>
      </c>
      <c r="S138" s="169">
        <f>'Earnings Model (adjusted)'!S138-'Earnings Model'!S138</f>
        <v>0</v>
      </c>
      <c r="T138" s="169">
        <f>'Earnings Model (adjusted)'!T138-'Earnings Model'!T138</f>
        <v>3.229438266951945E-2</v>
      </c>
      <c r="U138" s="169">
        <f>'Earnings Model (adjusted)'!U138-'Earnings Model'!U138</f>
        <v>6.149853074819589E-2</v>
      </c>
      <c r="V138" s="169">
        <f>'Earnings Model (adjusted)'!V138-'Earnings Model'!V138</f>
        <v>7.6119962833779198E-2</v>
      </c>
      <c r="W138" s="169">
        <f>'Earnings Model (adjusted)'!W138-'Earnings Model'!W138</f>
        <v>0.16991287625151585</v>
      </c>
      <c r="X138" s="169">
        <f>'Earnings Model (adjusted)'!X138-'Earnings Model'!X138</f>
        <v>8.8982512556654569E-2</v>
      </c>
      <c r="Y138" s="169">
        <f>'Earnings Model (adjusted)'!Y138-'Earnings Model'!Y138</f>
        <v>0.1227457635126612</v>
      </c>
      <c r="Z138" s="169">
        <f>'Earnings Model (adjusted)'!Z138-'Earnings Model'!Z138</f>
        <v>0.15437965433452661</v>
      </c>
      <c r="AA138" s="169">
        <f>'Earnings Model (adjusted)'!AA138-'Earnings Model'!AA138</f>
        <v>0.16290706221243312</v>
      </c>
      <c r="AB138" s="169">
        <f>'Earnings Model (adjusted)'!AB138-'Earnings Model'!AB138</f>
        <v>0.5290149926162826</v>
      </c>
      <c r="AC138" s="169">
        <f>'Earnings Model (adjusted)'!AC138-'Earnings Model'!AC138</f>
        <v>0.16994582587069829</v>
      </c>
      <c r="AD138" s="169">
        <f>'Earnings Model (adjusted)'!AD138-'Earnings Model'!AD138</f>
        <v>0.20623874206594195</v>
      </c>
      <c r="AE138" s="169">
        <f>'Earnings Model (adjusted)'!AE138-'Earnings Model'!AE138</f>
        <v>0.24033624856811997</v>
      </c>
      <c r="AF138" s="169">
        <f>'Earnings Model (adjusted)'!AF138-'Earnings Model'!AF138</f>
        <v>0.24319235419996943</v>
      </c>
      <c r="AG138" s="169">
        <f>'Earnings Model (adjusted)'!AG138-'Earnings Model'!AG138</f>
        <v>0.85971317070473674</v>
      </c>
      <c r="AH138" s="169">
        <f>'Earnings Model (adjusted)'!AH138-'Earnings Model'!AH138</f>
        <v>0.23666785503387189</v>
      </c>
      <c r="AI138" s="169">
        <f>'Earnings Model (adjusted)'!AI138-'Earnings Model'!AI138</f>
        <v>0.28132024759985796</v>
      </c>
      <c r="AJ138" s="169">
        <f>'Earnings Model (adjusted)'!AJ138-'Earnings Model'!AJ138</f>
        <v>0.32328242997110834</v>
      </c>
      <c r="AK138" s="169">
        <f>'Earnings Model (adjusted)'!AK138-'Earnings Model'!AK138</f>
        <v>0.32234120144700995</v>
      </c>
      <c r="AL138" s="169">
        <f>'Earnings Model (adjusted)'!AL138-'Earnings Model'!AL138</f>
        <v>1.163611734051841</v>
      </c>
      <c r="AM138" s="169">
        <f>'Earnings Model (adjusted)'!AM138-'Earnings Model'!AM138</f>
        <v>0.31148409569453861</v>
      </c>
      <c r="AN138" s="169">
        <f>'Earnings Model (adjusted)'!AN138-'Earnings Model'!AN138</f>
        <v>0.35576303897109796</v>
      </c>
      <c r="AO138" s="169">
        <f>'Earnings Model (adjusted)'!AO138-'Earnings Model'!AO138</f>
        <v>0.39733346054850216</v>
      </c>
      <c r="AP138" s="169">
        <f>'Earnings Model (adjusted)'!AP138-'Earnings Model'!AP138</f>
        <v>0.3931506827793072</v>
      </c>
      <c r="AQ138" s="169">
        <f>'Earnings Model (adjusted)'!AQ138-'Earnings Model'!AQ138</f>
        <v>1.4577312779934459</v>
      </c>
    </row>
    <row r="139" spans="1:43" outlineLevel="1" x14ac:dyDescent="0.25">
      <c r="A139" s="254"/>
      <c r="B139" s="550" t="s">
        <v>144</v>
      </c>
      <c r="C139" s="36"/>
      <c r="D139" s="169">
        <v>300.39999999999998</v>
      </c>
      <c r="E139" s="169">
        <v>303.89999999999998</v>
      </c>
      <c r="F139" s="169">
        <v>299</v>
      </c>
      <c r="G139" s="261">
        <v>267.39999999999998</v>
      </c>
      <c r="H139" s="450"/>
      <c r="I139" s="261">
        <v>292.2</v>
      </c>
      <c r="J139" s="261">
        <v>271.60000000000002</v>
      </c>
      <c r="K139" s="261">
        <v>269.10000000000002</v>
      </c>
      <c r="L139" s="261">
        <v>288.8</v>
      </c>
      <c r="M139" s="59">
        <f t="shared" si="103"/>
        <v>1121.7</v>
      </c>
      <c r="N139" s="261">
        <v>316.5</v>
      </c>
      <c r="O139" s="261">
        <v>304.60000000000002</v>
      </c>
      <c r="P139" s="261">
        <v>326.5</v>
      </c>
      <c r="Q139" s="169">
        <f>'Earnings Model (adjusted)'!Q139-'Earnings Model'!Q139</f>
        <v>0</v>
      </c>
      <c r="R139" s="169">
        <f>'Earnings Model (adjusted)'!R139-'Earnings Model'!R139</f>
        <v>0</v>
      </c>
      <c r="S139" s="169">
        <f>'Earnings Model (adjusted)'!S139-'Earnings Model'!S139</f>
        <v>0</v>
      </c>
      <c r="T139" s="169">
        <f>'Earnings Model (adjusted)'!T139-'Earnings Model'!T139</f>
        <v>0</v>
      </c>
      <c r="U139" s="169">
        <f>'Earnings Model (adjusted)'!U139-'Earnings Model'!U139</f>
        <v>0</v>
      </c>
      <c r="V139" s="169">
        <f>'Earnings Model (adjusted)'!V139-'Earnings Model'!V139</f>
        <v>0</v>
      </c>
      <c r="W139" s="169">
        <f>'Earnings Model (adjusted)'!W139-'Earnings Model'!W139</f>
        <v>0</v>
      </c>
      <c r="X139" s="169">
        <f>'Earnings Model (adjusted)'!X139-'Earnings Model'!X139</f>
        <v>0</v>
      </c>
      <c r="Y139" s="169">
        <f>'Earnings Model (adjusted)'!Y139-'Earnings Model'!Y139</f>
        <v>0</v>
      </c>
      <c r="Z139" s="169">
        <f>'Earnings Model (adjusted)'!Z139-'Earnings Model'!Z139</f>
        <v>0</v>
      </c>
      <c r="AA139" s="169">
        <f>'Earnings Model (adjusted)'!AA139-'Earnings Model'!AA139</f>
        <v>0</v>
      </c>
      <c r="AB139" s="169">
        <f>'Earnings Model (adjusted)'!AB139-'Earnings Model'!AB139</f>
        <v>0</v>
      </c>
      <c r="AC139" s="169">
        <f>'Earnings Model (adjusted)'!AC139-'Earnings Model'!AC139</f>
        <v>0</v>
      </c>
      <c r="AD139" s="169">
        <f>'Earnings Model (adjusted)'!AD139-'Earnings Model'!AD139</f>
        <v>0</v>
      </c>
      <c r="AE139" s="169">
        <f>'Earnings Model (adjusted)'!AE139-'Earnings Model'!AE139</f>
        <v>0</v>
      </c>
      <c r="AF139" s="169">
        <f>'Earnings Model (adjusted)'!AF139-'Earnings Model'!AF139</f>
        <v>0</v>
      </c>
      <c r="AG139" s="169">
        <f>'Earnings Model (adjusted)'!AG139-'Earnings Model'!AG139</f>
        <v>0</v>
      </c>
      <c r="AH139" s="169">
        <f>'Earnings Model (adjusted)'!AH139-'Earnings Model'!AH139</f>
        <v>0</v>
      </c>
      <c r="AI139" s="169">
        <f>'Earnings Model (adjusted)'!AI139-'Earnings Model'!AI139</f>
        <v>0</v>
      </c>
      <c r="AJ139" s="169">
        <f>'Earnings Model (adjusted)'!AJ139-'Earnings Model'!AJ139</f>
        <v>0</v>
      </c>
      <c r="AK139" s="169">
        <f>'Earnings Model (adjusted)'!AK139-'Earnings Model'!AK139</f>
        <v>0</v>
      </c>
      <c r="AL139" s="169">
        <f>'Earnings Model (adjusted)'!AL139-'Earnings Model'!AL139</f>
        <v>0</v>
      </c>
      <c r="AM139" s="169">
        <f>'Earnings Model (adjusted)'!AM139-'Earnings Model'!AM139</f>
        <v>0</v>
      </c>
      <c r="AN139" s="169">
        <f>'Earnings Model (adjusted)'!AN139-'Earnings Model'!AN139</f>
        <v>0</v>
      </c>
      <c r="AO139" s="169">
        <f>'Earnings Model (adjusted)'!AO139-'Earnings Model'!AO139</f>
        <v>0</v>
      </c>
      <c r="AP139" s="169">
        <f>'Earnings Model (adjusted)'!AP139-'Earnings Model'!AP139</f>
        <v>0</v>
      </c>
      <c r="AQ139" s="169">
        <f>'Earnings Model (adjusted)'!AQ139-'Earnings Model'!AQ139</f>
        <v>0</v>
      </c>
    </row>
    <row r="140" spans="1:43" ht="17.25" outlineLevel="1" x14ac:dyDescent="0.4">
      <c r="A140" s="254"/>
      <c r="B140" s="550" t="s">
        <v>152</v>
      </c>
      <c r="C140" s="36"/>
      <c r="D140" s="288">
        <v>13.9</v>
      </c>
      <c r="E140" s="288">
        <v>0.6</v>
      </c>
      <c r="F140" s="288">
        <v>6</v>
      </c>
      <c r="G140" s="288">
        <v>-0.9</v>
      </c>
      <c r="H140" s="319"/>
      <c r="I140" s="288">
        <v>0.3</v>
      </c>
      <c r="J140" s="288">
        <v>0</v>
      </c>
      <c r="K140" s="288">
        <v>22.1</v>
      </c>
      <c r="L140" s="288">
        <v>0</v>
      </c>
      <c r="M140" s="481">
        <f t="shared" si="103"/>
        <v>22.400000000000002</v>
      </c>
      <c r="N140" s="288">
        <v>0</v>
      </c>
      <c r="O140" s="288">
        <v>0</v>
      </c>
      <c r="P140" s="288">
        <v>0</v>
      </c>
      <c r="Q140" s="169">
        <f>'Earnings Model (adjusted)'!Q140-'Earnings Model'!Q140</f>
        <v>0</v>
      </c>
      <c r="R140" s="169">
        <f>'Earnings Model (adjusted)'!R140-'Earnings Model'!R140</f>
        <v>0</v>
      </c>
      <c r="S140" s="169">
        <f>'Earnings Model (adjusted)'!S140-'Earnings Model'!S140</f>
        <v>0</v>
      </c>
      <c r="T140" s="169">
        <f>'Earnings Model (adjusted)'!T140-'Earnings Model'!T140</f>
        <v>0</v>
      </c>
      <c r="U140" s="169">
        <f>'Earnings Model (adjusted)'!U140-'Earnings Model'!U140</f>
        <v>0</v>
      </c>
      <c r="V140" s="169">
        <f>'Earnings Model (adjusted)'!V140-'Earnings Model'!V140</f>
        <v>0</v>
      </c>
      <c r="W140" s="169">
        <f>'Earnings Model (adjusted)'!W140-'Earnings Model'!W140</f>
        <v>0</v>
      </c>
      <c r="X140" s="169">
        <f>'Earnings Model (adjusted)'!X140-'Earnings Model'!X140</f>
        <v>0</v>
      </c>
      <c r="Y140" s="169">
        <f>'Earnings Model (adjusted)'!Y140-'Earnings Model'!Y140</f>
        <v>0</v>
      </c>
      <c r="Z140" s="169">
        <f>'Earnings Model (adjusted)'!Z140-'Earnings Model'!Z140</f>
        <v>0</v>
      </c>
      <c r="AA140" s="169">
        <f>'Earnings Model (adjusted)'!AA140-'Earnings Model'!AA140</f>
        <v>0</v>
      </c>
      <c r="AB140" s="169">
        <f>'Earnings Model (adjusted)'!AB140-'Earnings Model'!AB140</f>
        <v>0</v>
      </c>
      <c r="AC140" s="169">
        <f>'Earnings Model (adjusted)'!AC140-'Earnings Model'!AC140</f>
        <v>0</v>
      </c>
      <c r="AD140" s="169">
        <f>'Earnings Model (adjusted)'!AD140-'Earnings Model'!AD140</f>
        <v>0</v>
      </c>
      <c r="AE140" s="169">
        <f>'Earnings Model (adjusted)'!AE140-'Earnings Model'!AE140</f>
        <v>0</v>
      </c>
      <c r="AF140" s="169">
        <f>'Earnings Model (adjusted)'!AF140-'Earnings Model'!AF140</f>
        <v>0</v>
      </c>
      <c r="AG140" s="169">
        <f>'Earnings Model (adjusted)'!AG140-'Earnings Model'!AG140</f>
        <v>0</v>
      </c>
      <c r="AH140" s="169">
        <f>'Earnings Model (adjusted)'!AH140-'Earnings Model'!AH140</f>
        <v>0</v>
      </c>
      <c r="AI140" s="169">
        <f>'Earnings Model (adjusted)'!AI140-'Earnings Model'!AI140</f>
        <v>0</v>
      </c>
      <c r="AJ140" s="169">
        <f>'Earnings Model (adjusted)'!AJ140-'Earnings Model'!AJ140</f>
        <v>0</v>
      </c>
      <c r="AK140" s="169">
        <f>'Earnings Model (adjusted)'!AK140-'Earnings Model'!AK140</f>
        <v>0</v>
      </c>
      <c r="AL140" s="169">
        <f>'Earnings Model (adjusted)'!AL140-'Earnings Model'!AL140</f>
        <v>0</v>
      </c>
      <c r="AM140" s="169">
        <f>'Earnings Model (adjusted)'!AM140-'Earnings Model'!AM140</f>
        <v>0</v>
      </c>
      <c r="AN140" s="169">
        <f>'Earnings Model (adjusted)'!AN140-'Earnings Model'!AN140</f>
        <v>0</v>
      </c>
      <c r="AO140" s="169">
        <f>'Earnings Model (adjusted)'!AO140-'Earnings Model'!AO140</f>
        <v>0</v>
      </c>
      <c r="AP140" s="169">
        <f>'Earnings Model (adjusted)'!AP140-'Earnings Model'!AP140</f>
        <v>0</v>
      </c>
      <c r="AQ140" s="169">
        <f>'Earnings Model (adjusted)'!AQ140-'Earnings Model'!AQ140</f>
        <v>0</v>
      </c>
    </row>
    <row r="141" spans="1:43" outlineLevel="1" x14ac:dyDescent="0.25">
      <c r="A141" s="254"/>
      <c r="B141" s="167" t="s">
        <v>178</v>
      </c>
      <c r="C141" s="39"/>
      <c r="D141" s="259">
        <f>SUM(D136:D140)</f>
        <v>370.4</v>
      </c>
      <c r="E141" s="259">
        <f>SUM(E136:E140)</f>
        <v>365.2</v>
      </c>
      <c r="F141" s="259">
        <f>SUM(F136:F140)</f>
        <v>372.8</v>
      </c>
      <c r="G141" s="259">
        <f>SUM(G136:G140)</f>
        <v>324.60000000000002</v>
      </c>
      <c r="H141" s="318"/>
      <c r="I141" s="259">
        <f t="shared" ref="I141:P141" si="104">SUM(I136:I140)</f>
        <v>350.9</v>
      </c>
      <c r="J141" s="259">
        <f t="shared" si="104"/>
        <v>320</v>
      </c>
      <c r="K141" s="259">
        <f t="shared" si="104"/>
        <v>356.90000000000003</v>
      </c>
      <c r="L141" s="171">
        <f t="shared" si="104"/>
        <v>343.3</v>
      </c>
      <c r="M141" s="172">
        <f t="shared" si="104"/>
        <v>1371.1000000000001</v>
      </c>
      <c r="N141" s="171">
        <f t="shared" si="104"/>
        <v>376.1</v>
      </c>
      <c r="O141" s="171">
        <f t="shared" si="104"/>
        <v>364.40000000000003</v>
      </c>
      <c r="P141" s="171">
        <f t="shared" si="104"/>
        <v>385.1</v>
      </c>
      <c r="Q141" s="169">
        <f>'Earnings Model (adjusted)'!Q141-'Earnings Model'!Q141</f>
        <v>0</v>
      </c>
      <c r="R141" s="169">
        <f>'Earnings Model (adjusted)'!R141-'Earnings Model'!R141</f>
        <v>0</v>
      </c>
      <c r="S141" s="169">
        <f>'Earnings Model (adjusted)'!S141-'Earnings Model'!S141</f>
        <v>0</v>
      </c>
      <c r="T141" s="169">
        <f>'Earnings Model (adjusted)'!T141-'Earnings Model'!T141</f>
        <v>3.2294382669476818E-2</v>
      </c>
      <c r="U141" s="169">
        <f>'Earnings Model (adjusted)'!U141-'Earnings Model'!U141</f>
        <v>6.1498530748167468E-2</v>
      </c>
      <c r="V141" s="169">
        <f>'Earnings Model (adjusted)'!V141-'Earnings Model'!V141</f>
        <v>7.6119962833786303E-2</v>
      </c>
      <c r="W141" s="169">
        <f>'Earnings Model (adjusted)'!W141-'Earnings Model'!W141</f>
        <v>0.16991287625137375</v>
      </c>
      <c r="X141" s="169">
        <f>'Earnings Model (adjusted)'!X141-'Earnings Model'!X141</f>
        <v>8.8982512556640359E-2</v>
      </c>
      <c r="Y141" s="169">
        <f>'Earnings Model (adjusted)'!Y141-'Earnings Model'!Y141</f>
        <v>0.12274576351268252</v>
      </c>
      <c r="Z141" s="169">
        <f>'Earnings Model (adjusted)'!Z141-'Earnings Model'!Z141</f>
        <v>0.15437965433449108</v>
      </c>
      <c r="AA141" s="169">
        <f>'Earnings Model (adjusted)'!AA141-'Earnings Model'!AA141</f>
        <v>0.16290706221246865</v>
      </c>
      <c r="AB141" s="169">
        <f>'Earnings Model (adjusted)'!AB141-'Earnings Model'!AB141</f>
        <v>0.52901499261633944</v>
      </c>
      <c r="AC141" s="169">
        <f>'Earnings Model (adjusted)'!AC141-'Earnings Model'!AC141</f>
        <v>0.16994582587068408</v>
      </c>
      <c r="AD141" s="169">
        <f>'Earnings Model (adjusted)'!AD141-'Earnings Model'!AD141</f>
        <v>0.20623874206592063</v>
      </c>
      <c r="AE141" s="169">
        <f>'Earnings Model (adjusted)'!AE141-'Earnings Model'!AE141</f>
        <v>0.24033624856809865</v>
      </c>
      <c r="AF141" s="169">
        <f>'Earnings Model (adjusted)'!AF141-'Earnings Model'!AF141</f>
        <v>0.24319235419994811</v>
      </c>
      <c r="AG141" s="169">
        <f>'Earnings Model (adjusted)'!AG141-'Earnings Model'!AG141</f>
        <v>0.85971317070493569</v>
      </c>
      <c r="AH141" s="169">
        <f>'Earnings Model (adjusted)'!AH141-'Earnings Model'!AH141</f>
        <v>0.23666785503382926</v>
      </c>
      <c r="AI141" s="169">
        <f>'Earnings Model (adjusted)'!AI141-'Earnings Model'!AI141</f>
        <v>0.28132024759986507</v>
      </c>
      <c r="AJ141" s="169">
        <f>'Earnings Model (adjusted)'!AJ141-'Earnings Model'!AJ141</f>
        <v>0.32328242997112966</v>
      </c>
      <c r="AK141" s="169">
        <f>'Earnings Model (adjusted)'!AK141-'Earnings Model'!AK141</f>
        <v>0.32234120144698863</v>
      </c>
      <c r="AL141" s="169">
        <f>'Earnings Model (adjusted)'!AL141-'Earnings Model'!AL141</f>
        <v>1.1636117340517558</v>
      </c>
      <c r="AM141" s="169">
        <f>'Earnings Model (adjusted)'!AM141-'Earnings Model'!AM141</f>
        <v>0.31148409569459545</v>
      </c>
      <c r="AN141" s="169">
        <f>'Earnings Model (adjusted)'!AN141-'Earnings Model'!AN141</f>
        <v>0.35576303897107664</v>
      </c>
      <c r="AO141" s="169">
        <f>'Earnings Model (adjusted)'!AO141-'Earnings Model'!AO141</f>
        <v>0.39733346054850927</v>
      </c>
      <c r="AP141" s="169">
        <f>'Earnings Model (adjusted)'!AP141-'Earnings Model'!AP141</f>
        <v>0.39315068277932141</v>
      </c>
      <c r="AQ141" s="169">
        <f>'Earnings Model (adjusted)'!AQ141-'Earnings Model'!AQ141</f>
        <v>1.4577312779933891</v>
      </c>
    </row>
    <row r="142" spans="1:43" outlineLevel="1" x14ac:dyDescent="0.25">
      <c r="A142" s="254"/>
      <c r="B142" s="167" t="s">
        <v>179</v>
      </c>
      <c r="C142" s="144"/>
      <c r="D142" s="365">
        <f>D134-D141</f>
        <v>-358.79999999999995</v>
      </c>
      <c r="E142" s="365">
        <f>E134-E141</f>
        <v>-349.4</v>
      </c>
      <c r="F142" s="365">
        <f>F134-F141</f>
        <v>-349.5</v>
      </c>
      <c r="G142" s="365">
        <f>G134-G141</f>
        <v>-309.20000000000005</v>
      </c>
      <c r="H142" s="367"/>
      <c r="I142" s="365">
        <f t="shared" ref="I142:P142" si="105">I134-I141</f>
        <v>-330.4</v>
      </c>
      <c r="J142" s="365">
        <f t="shared" si="105"/>
        <v>-308</v>
      </c>
      <c r="K142" s="365">
        <f t="shared" si="105"/>
        <v>-337.20000000000005</v>
      </c>
      <c r="L142" s="207">
        <f t="shared" si="105"/>
        <v>-329.40000000000003</v>
      </c>
      <c r="M142" s="482">
        <f t="shared" si="105"/>
        <v>-1305.0000000000002</v>
      </c>
      <c r="N142" s="207">
        <f t="shared" si="105"/>
        <v>-355.6</v>
      </c>
      <c r="O142" s="207">
        <f t="shared" si="105"/>
        <v>-341.8</v>
      </c>
      <c r="P142" s="207">
        <f t="shared" si="105"/>
        <v>-361.3</v>
      </c>
      <c r="Q142" s="169">
        <f>'Earnings Model (adjusted)'!Q142-'Earnings Model'!Q142</f>
        <v>0</v>
      </c>
      <c r="R142" s="169">
        <f>'Earnings Model (adjusted)'!R142-'Earnings Model'!R142</f>
        <v>0</v>
      </c>
      <c r="S142" s="169">
        <f>'Earnings Model (adjusted)'!S142-'Earnings Model'!S142</f>
        <v>0</v>
      </c>
      <c r="T142" s="169">
        <f>'Earnings Model (adjusted)'!T142-'Earnings Model'!T142</f>
        <v>-3.2294382669476818E-2</v>
      </c>
      <c r="U142" s="169">
        <f>'Earnings Model (adjusted)'!U142-'Earnings Model'!U142</f>
        <v>-6.1498530748167468E-2</v>
      </c>
      <c r="V142" s="169">
        <f>'Earnings Model (adjusted)'!V142-'Earnings Model'!V142</f>
        <v>-7.6119962833786303E-2</v>
      </c>
      <c r="W142" s="169">
        <f>'Earnings Model (adjusted)'!W142-'Earnings Model'!W142</f>
        <v>-0.16991287625137375</v>
      </c>
      <c r="X142" s="169">
        <f>'Earnings Model (adjusted)'!X142-'Earnings Model'!X142</f>
        <v>-8.8982512556640359E-2</v>
      </c>
      <c r="Y142" s="169">
        <f>'Earnings Model (adjusted)'!Y142-'Earnings Model'!Y142</f>
        <v>-0.12274576351268252</v>
      </c>
      <c r="Z142" s="169">
        <f>'Earnings Model (adjusted)'!Z142-'Earnings Model'!Z142</f>
        <v>-0.15437965433449108</v>
      </c>
      <c r="AA142" s="169">
        <f>'Earnings Model (adjusted)'!AA142-'Earnings Model'!AA142</f>
        <v>-0.16290706221246865</v>
      </c>
      <c r="AB142" s="169">
        <f>'Earnings Model (adjusted)'!AB142-'Earnings Model'!AB142</f>
        <v>-0.52901499261633944</v>
      </c>
      <c r="AC142" s="169">
        <f>'Earnings Model (adjusted)'!AC142-'Earnings Model'!AC142</f>
        <v>-0.16994582587068408</v>
      </c>
      <c r="AD142" s="169">
        <f>'Earnings Model (adjusted)'!AD142-'Earnings Model'!AD142</f>
        <v>-0.20623874206592063</v>
      </c>
      <c r="AE142" s="169">
        <f>'Earnings Model (adjusted)'!AE142-'Earnings Model'!AE142</f>
        <v>-0.24033624856809865</v>
      </c>
      <c r="AF142" s="169">
        <f>'Earnings Model (adjusted)'!AF142-'Earnings Model'!AF142</f>
        <v>-0.24319235419994811</v>
      </c>
      <c r="AG142" s="169">
        <f>'Earnings Model (adjusted)'!AG142-'Earnings Model'!AG142</f>
        <v>-0.85971317070493569</v>
      </c>
      <c r="AH142" s="169">
        <f>'Earnings Model (adjusted)'!AH142-'Earnings Model'!AH142</f>
        <v>-0.23666785503382926</v>
      </c>
      <c r="AI142" s="169">
        <f>'Earnings Model (adjusted)'!AI142-'Earnings Model'!AI142</f>
        <v>-0.28132024759986507</v>
      </c>
      <c r="AJ142" s="169">
        <f>'Earnings Model (adjusted)'!AJ142-'Earnings Model'!AJ142</f>
        <v>-0.32328242997107282</v>
      </c>
      <c r="AK142" s="169">
        <f>'Earnings Model (adjusted)'!AK142-'Earnings Model'!AK142</f>
        <v>-0.32234120144698863</v>
      </c>
      <c r="AL142" s="169">
        <f>'Earnings Model (adjusted)'!AL142-'Earnings Model'!AL142</f>
        <v>-1.1636117340517558</v>
      </c>
      <c r="AM142" s="169">
        <f>'Earnings Model (adjusted)'!AM142-'Earnings Model'!AM142</f>
        <v>-0.31148409569459545</v>
      </c>
      <c r="AN142" s="169">
        <f>'Earnings Model (adjusted)'!AN142-'Earnings Model'!AN142</f>
        <v>-0.35576303897107664</v>
      </c>
      <c r="AO142" s="169">
        <f>'Earnings Model (adjusted)'!AO142-'Earnings Model'!AO142</f>
        <v>-0.39733346054850927</v>
      </c>
      <c r="AP142" s="169">
        <f>'Earnings Model (adjusted)'!AP142-'Earnings Model'!AP142</f>
        <v>-0.39315068277932141</v>
      </c>
      <c r="AQ142" s="169">
        <f>'Earnings Model (adjusted)'!AQ142-'Earnings Model'!AQ142</f>
        <v>-1.4577312779933891</v>
      </c>
    </row>
    <row r="143" spans="1:43" ht="18" x14ac:dyDescent="0.4">
      <c r="A143" s="254"/>
      <c r="B143" s="565" t="s">
        <v>99</v>
      </c>
      <c r="C143" s="566"/>
      <c r="D143" s="32" t="s">
        <v>119</v>
      </c>
      <c r="E143" s="32" t="s">
        <v>243</v>
      </c>
      <c r="F143" s="32" t="s">
        <v>247</v>
      </c>
      <c r="G143" s="32" t="s">
        <v>257</v>
      </c>
      <c r="H143" s="86" t="s">
        <v>258</v>
      </c>
      <c r="I143" s="32" t="s">
        <v>259</v>
      </c>
      <c r="J143" s="32" t="s">
        <v>260</v>
      </c>
      <c r="K143" s="32" t="s">
        <v>261</v>
      </c>
      <c r="L143" s="32" t="s">
        <v>322</v>
      </c>
      <c r="M143" s="86" t="s">
        <v>333</v>
      </c>
      <c r="N143" s="32" t="s">
        <v>339</v>
      </c>
      <c r="O143" s="32" t="s">
        <v>347</v>
      </c>
      <c r="P143" s="32" t="s">
        <v>349</v>
      </c>
      <c r="Q143" s="169" t="e">
        <f>'Earnings Model (adjusted)'!Q143-'Earnings Model'!Q143</f>
        <v>#VALUE!</v>
      </c>
      <c r="R143" s="169" t="e">
        <f>'Earnings Model (adjusted)'!R143-'Earnings Model'!R143</f>
        <v>#VALUE!</v>
      </c>
      <c r="S143" s="169" t="e">
        <f>'Earnings Model (adjusted)'!S143-'Earnings Model'!S143</f>
        <v>#VALUE!</v>
      </c>
      <c r="T143" s="169" t="e">
        <f>'Earnings Model (adjusted)'!T143-'Earnings Model'!T143</f>
        <v>#VALUE!</v>
      </c>
      <c r="U143" s="169" t="e">
        <f>'Earnings Model (adjusted)'!U143-'Earnings Model'!U143</f>
        <v>#VALUE!</v>
      </c>
      <c r="V143" s="169" t="e">
        <f>'Earnings Model (adjusted)'!V143-'Earnings Model'!V143</f>
        <v>#VALUE!</v>
      </c>
      <c r="W143" s="169" t="e">
        <f>'Earnings Model (adjusted)'!W143-'Earnings Model'!W143</f>
        <v>#VALUE!</v>
      </c>
      <c r="X143" s="169" t="e">
        <f>'Earnings Model (adjusted)'!X143-'Earnings Model'!X143</f>
        <v>#VALUE!</v>
      </c>
      <c r="Y143" s="169" t="e">
        <f>'Earnings Model (adjusted)'!Y143-'Earnings Model'!Y143</f>
        <v>#VALUE!</v>
      </c>
      <c r="Z143" s="169" t="e">
        <f>'Earnings Model (adjusted)'!Z143-'Earnings Model'!Z143</f>
        <v>#VALUE!</v>
      </c>
      <c r="AA143" s="169" t="e">
        <f>'Earnings Model (adjusted)'!AA143-'Earnings Model'!AA143</f>
        <v>#VALUE!</v>
      </c>
      <c r="AB143" s="169" t="e">
        <f>'Earnings Model (adjusted)'!AB143-'Earnings Model'!AB143</f>
        <v>#VALUE!</v>
      </c>
      <c r="AC143" s="169" t="e">
        <f>'Earnings Model (adjusted)'!AC143-'Earnings Model'!AC143</f>
        <v>#VALUE!</v>
      </c>
      <c r="AD143" s="169" t="e">
        <f>'Earnings Model (adjusted)'!AD143-'Earnings Model'!AD143</f>
        <v>#VALUE!</v>
      </c>
      <c r="AE143" s="169" t="e">
        <f>'Earnings Model (adjusted)'!AE143-'Earnings Model'!AE143</f>
        <v>#VALUE!</v>
      </c>
      <c r="AF143" s="169" t="e">
        <f>'Earnings Model (adjusted)'!AF143-'Earnings Model'!AF143</f>
        <v>#VALUE!</v>
      </c>
      <c r="AG143" s="169" t="e">
        <f>'Earnings Model (adjusted)'!AG143-'Earnings Model'!AG143</f>
        <v>#VALUE!</v>
      </c>
      <c r="AH143" s="169" t="e">
        <f>'Earnings Model (adjusted)'!AH143-'Earnings Model'!AH143</f>
        <v>#VALUE!</v>
      </c>
      <c r="AI143" s="169" t="e">
        <f>'Earnings Model (adjusted)'!AI143-'Earnings Model'!AI143</f>
        <v>#VALUE!</v>
      </c>
      <c r="AJ143" s="169" t="e">
        <f>'Earnings Model (adjusted)'!AJ143-'Earnings Model'!AJ143</f>
        <v>#VALUE!</v>
      </c>
      <c r="AK143" s="169" t="e">
        <f>'Earnings Model (adjusted)'!AK143-'Earnings Model'!AK143</f>
        <v>#VALUE!</v>
      </c>
      <c r="AL143" s="169" t="e">
        <f>'Earnings Model (adjusted)'!AL143-'Earnings Model'!AL143</f>
        <v>#VALUE!</v>
      </c>
      <c r="AM143" s="169" t="e">
        <f>'Earnings Model (adjusted)'!AM143-'Earnings Model'!AM143</f>
        <v>#VALUE!</v>
      </c>
      <c r="AN143" s="169" t="e">
        <f>'Earnings Model (adjusted)'!AN143-'Earnings Model'!AN143</f>
        <v>#VALUE!</v>
      </c>
      <c r="AO143" s="169" t="e">
        <f>'Earnings Model (adjusted)'!AO143-'Earnings Model'!AO143</f>
        <v>#VALUE!</v>
      </c>
      <c r="AP143" s="169" t="e">
        <f>'Earnings Model (adjusted)'!AP143-'Earnings Model'!AP143</f>
        <v>#VALUE!</v>
      </c>
      <c r="AQ143" s="169" t="e">
        <f>'Earnings Model (adjusted)'!AQ143-'Earnings Model'!AQ143</f>
        <v>#VALUE!</v>
      </c>
    </row>
    <row r="144" spans="1:43" s="211" customFormat="1" ht="15.6" customHeight="1" outlineLevel="1" x14ac:dyDescent="0.25">
      <c r="A144" s="329"/>
      <c r="B144" s="187" t="s">
        <v>181</v>
      </c>
      <c r="C144" s="212"/>
      <c r="D144" s="189">
        <f>+D56+D91-D13</f>
        <v>0</v>
      </c>
      <c r="E144" s="189">
        <f>+E56+E91-E13</f>
        <v>0</v>
      </c>
      <c r="F144" s="290">
        <f>+F56+F91-F13</f>
        <v>0</v>
      </c>
      <c r="G144" s="189">
        <f>+G56+G91-G13</f>
        <v>0</v>
      </c>
      <c r="H144" s="191"/>
      <c r="I144" s="189">
        <f>+I56+I91-I13</f>
        <v>0</v>
      </c>
      <c r="J144" s="189">
        <f>+J56+J91-J13</f>
        <v>0</v>
      </c>
      <c r="K144" s="290">
        <f>+K56+K91-K13</f>
        <v>0</v>
      </c>
      <c r="L144" s="189">
        <f>+L56+L91-L13</f>
        <v>0</v>
      </c>
      <c r="M144" s="191"/>
      <c r="N144" s="189">
        <f>+N56+N91-N13</f>
        <v>0</v>
      </c>
      <c r="O144" s="189">
        <f>+O56+O91-O13</f>
        <v>0</v>
      </c>
      <c r="P144" s="290">
        <f>+P56+P91-P13</f>
        <v>0</v>
      </c>
      <c r="Q144" s="169">
        <f>'Earnings Model (adjusted)'!Q144-'Earnings Model'!Q144</f>
        <v>0</v>
      </c>
      <c r="R144" s="169">
        <f>'Earnings Model (adjusted)'!R144-'Earnings Model'!R144</f>
        <v>0</v>
      </c>
      <c r="S144" s="169">
        <f>'Earnings Model (adjusted)'!S144-'Earnings Model'!S144</f>
        <v>0</v>
      </c>
      <c r="T144" s="169">
        <f>'Earnings Model (adjusted)'!T144-'Earnings Model'!T144</f>
        <v>0</v>
      </c>
      <c r="U144" s="169">
        <f>'Earnings Model (adjusted)'!U144-'Earnings Model'!U144</f>
        <v>0</v>
      </c>
      <c r="V144" s="169">
        <f>'Earnings Model (adjusted)'!V144-'Earnings Model'!V144</f>
        <v>0</v>
      </c>
      <c r="W144" s="169">
        <f>'Earnings Model (adjusted)'!W144-'Earnings Model'!W144</f>
        <v>0</v>
      </c>
      <c r="X144" s="169">
        <f>'Earnings Model (adjusted)'!X144-'Earnings Model'!X144</f>
        <v>0</v>
      </c>
      <c r="Y144" s="169">
        <f>'Earnings Model (adjusted)'!Y144-'Earnings Model'!Y144</f>
        <v>0</v>
      </c>
      <c r="Z144" s="169">
        <f>'Earnings Model (adjusted)'!Z144-'Earnings Model'!Z144</f>
        <v>0</v>
      </c>
      <c r="AA144" s="169">
        <f>'Earnings Model (adjusted)'!AA144-'Earnings Model'!AA144</f>
        <v>0</v>
      </c>
      <c r="AB144" s="169">
        <f>'Earnings Model (adjusted)'!AB144-'Earnings Model'!AB144</f>
        <v>0</v>
      </c>
      <c r="AC144" s="169">
        <f>'Earnings Model (adjusted)'!AC144-'Earnings Model'!AC144</f>
        <v>0</v>
      </c>
      <c r="AD144" s="169">
        <f>'Earnings Model (adjusted)'!AD144-'Earnings Model'!AD144</f>
        <v>0</v>
      </c>
      <c r="AE144" s="169">
        <f>'Earnings Model (adjusted)'!AE144-'Earnings Model'!AE144</f>
        <v>0</v>
      </c>
      <c r="AF144" s="169">
        <f>'Earnings Model (adjusted)'!AF144-'Earnings Model'!AF144</f>
        <v>0</v>
      </c>
      <c r="AG144" s="169">
        <f>'Earnings Model (adjusted)'!AG144-'Earnings Model'!AG144</f>
        <v>0</v>
      </c>
      <c r="AH144" s="169">
        <f>'Earnings Model (adjusted)'!AH144-'Earnings Model'!AH144</f>
        <v>0</v>
      </c>
      <c r="AI144" s="169">
        <f>'Earnings Model (adjusted)'!AI144-'Earnings Model'!AI144</f>
        <v>0</v>
      </c>
      <c r="AJ144" s="169">
        <f>'Earnings Model (adjusted)'!AJ144-'Earnings Model'!AJ144</f>
        <v>0</v>
      </c>
      <c r="AK144" s="169">
        <f>'Earnings Model (adjusted)'!AK144-'Earnings Model'!AK144</f>
        <v>0</v>
      </c>
      <c r="AL144" s="169">
        <f>'Earnings Model (adjusted)'!AL144-'Earnings Model'!AL144</f>
        <v>0</v>
      </c>
      <c r="AM144" s="169">
        <f>'Earnings Model (adjusted)'!AM144-'Earnings Model'!AM144</f>
        <v>0</v>
      </c>
      <c r="AN144" s="169">
        <f>'Earnings Model (adjusted)'!AN144-'Earnings Model'!AN144</f>
        <v>0</v>
      </c>
      <c r="AO144" s="169">
        <f>'Earnings Model (adjusted)'!AO144-'Earnings Model'!AO144</f>
        <v>0</v>
      </c>
      <c r="AP144" s="169">
        <f>'Earnings Model (adjusted)'!AP144-'Earnings Model'!AP144</f>
        <v>0</v>
      </c>
      <c r="AQ144" s="169">
        <f>'Earnings Model (adjusted)'!AQ144-'Earnings Model'!AQ144</f>
        <v>0</v>
      </c>
    </row>
    <row r="145" spans="1:43" s="211" customFormat="1" ht="15.6" customHeight="1" outlineLevel="1" x14ac:dyDescent="0.25">
      <c r="A145" s="329"/>
      <c r="B145" s="187" t="s">
        <v>182</v>
      </c>
      <c r="C145" s="212"/>
      <c r="D145" s="189">
        <f>+D63+D98-D14</f>
        <v>0</v>
      </c>
      <c r="E145" s="189">
        <f>+E63+E98-E14</f>
        <v>0</v>
      </c>
      <c r="F145" s="290">
        <f>+F63+F98-F14</f>
        <v>0</v>
      </c>
      <c r="G145" s="189">
        <f>+G63+G98-G14</f>
        <v>0</v>
      </c>
      <c r="H145" s="191"/>
      <c r="I145" s="189">
        <f>+I63+I98-I14</f>
        <v>0</v>
      </c>
      <c r="J145" s="189">
        <f>+J63+J98-J14</f>
        <v>0</v>
      </c>
      <c r="K145" s="290">
        <f>+K63+K98-K14</f>
        <v>0</v>
      </c>
      <c r="L145" s="189">
        <f>+L63+L98-L14</f>
        <v>0</v>
      </c>
      <c r="M145" s="191"/>
      <c r="N145" s="189">
        <f>+N63+N98-N14</f>
        <v>0</v>
      </c>
      <c r="O145" s="189">
        <f>+O63+O98-O14</f>
        <v>0</v>
      </c>
      <c r="P145" s="290">
        <f>+P63+P98-P14</f>
        <v>0</v>
      </c>
      <c r="Q145" s="169">
        <f>'Earnings Model (adjusted)'!Q145-'Earnings Model'!Q145</f>
        <v>0</v>
      </c>
      <c r="R145" s="169">
        <f>'Earnings Model (adjusted)'!R145-'Earnings Model'!R145</f>
        <v>0</v>
      </c>
      <c r="S145" s="169">
        <f>'Earnings Model (adjusted)'!S145-'Earnings Model'!S145</f>
        <v>0</v>
      </c>
      <c r="T145" s="169">
        <f>'Earnings Model (adjusted)'!T145-'Earnings Model'!T145</f>
        <v>0</v>
      </c>
      <c r="U145" s="169">
        <f>'Earnings Model (adjusted)'!U145-'Earnings Model'!U145</f>
        <v>0</v>
      </c>
      <c r="V145" s="169">
        <f>'Earnings Model (adjusted)'!V145-'Earnings Model'!V145</f>
        <v>0</v>
      </c>
      <c r="W145" s="169">
        <f>'Earnings Model (adjusted)'!W145-'Earnings Model'!W145</f>
        <v>0</v>
      </c>
      <c r="X145" s="169">
        <f>'Earnings Model (adjusted)'!X145-'Earnings Model'!X145</f>
        <v>0</v>
      </c>
      <c r="Y145" s="169">
        <f>'Earnings Model (adjusted)'!Y145-'Earnings Model'!Y145</f>
        <v>0</v>
      </c>
      <c r="Z145" s="169">
        <f>'Earnings Model (adjusted)'!Z145-'Earnings Model'!Z145</f>
        <v>0</v>
      </c>
      <c r="AA145" s="169">
        <f>'Earnings Model (adjusted)'!AA145-'Earnings Model'!AA145</f>
        <v>0</v>
      </c>
      <c r="AB145" s="169">
        <f>'Earnings Model (adjusted)'!AB145-'Earnings Model'!AB145</f>
        <v>0</v>
      </c>
      <c r="AC145" s="169">
        <f>'Earnings Model (adjusted)'!AC145-'Earnings Model'!AC145</f>
        <v>0</v>
      </c>
      <c r="AD145" s="169">
        <f>'Earnings Model (adjusted)'!AD145-'Earnings Model'!AD145</f>
        <v>0</v>
      </c>
      <c r="AE145" s="169">
        <f>'Earnings Model (adjusted)'!AE145-'Earnings Model'!AE145</f>
        <v>0</v>
      </c>
      <c r="AF145" s="169">
        <f>'Earnings Model (adjusted)'!AF145-'Earnings Model'!AF145</f>
        <v>0</v>
      </c>
      <c r="AG145" s="169">
        <f>'Earnings Model (adjusted)'!AG145-'Earnings Model'!AG145</f>
        <v>0</v>
      </c>
      <c r="AH145" s="169">
        <f>'Earnings Model (adjusted)'!AH145-'Earnings Model'!AH145</f>
        <v>0</v>
      </c>
      <c r="AI145" s="169">
        <f>'Earnings Model (adjusted)'!AI145-'Earnings Model'!AI145</f>
        <v>0</v>
      </c>
      <c r="AJ145" s="169">
        <f>'Earnings Model (adjusted)'!AJ145-'Earnings Model'!AJ145</f>
        <v>0</v>
      </c>
      <c r="AK145" s="169">
        <f>'Earnings Model (adjusted)'!AK145-'Earnings Model'!AK145</f>
        <v>0</v>
      </c>
      <c r="AL145" s="169">
        <f>'Earnings Model (adjusted)'!AL145-'Earnings Model'!AL145</f>
        <v>0</v>
      </c>
      <c r="AM145" s="169">
        <f>'Earnings Model (adjusted)'!AM145-'Earnings Model'!AM145</f>
        <v>0</v>
      </c>
      <c r="AN145" s="169">
        <f>'Earnings Model (adjusted)'!AN145-'Earnings Model'!AN145</f>
        <v>0</v>
      </c>
      <c r="AO145" s="169">
        <f>'Earnings Model (adjusted)'!AO145-'Earnings Model'!AO145</f>
        <v>0</v>
      </c>
      <c r="AP145" s="169">
        <f>'Earnings Model (adjusted)'!AP145-'Earnings Model'!AP145</f>
        <v>0</v>
      </c>
      <c r="AQ145" s="169">
        <f>'Earnings Model (adjusted)'!AQ145-'Earnings Model'!AQ145</f>
        <v>0</v>
      </c>
    </row>
    <row r="146" spans="1:43" s="211" customFormat="1" ht="15.6" customHeight="1" outlineLevel="1" x14ac:dyDescent="0.25">
      <c r="A146" s="329"/>
      <c r="B146" s="187" t="s">
        <v>183</v>
      </c>
      <c r="C146" s="212"/>
      <c r="D146" s="189">
        <f>+D64+D99+D119+D134-D15</f>
        <v>0</v>
      </c>
      <c r="E146" s="189">
        <f>+E64+E99+E119+E134-E15</f>
        <v>0</v>
      </c>
      <c r="F146" s="290">
        <f>+F64+F99+F119+F134-F15</f>
        <v>0</v>
      </c>
      <c r="G146" s="189">
        <f>+G64+G99+G119+G134-G15</f>
        <v>0</v>
      </c>
      <c r="H146" s="191"/>
      <c r="I146" s="189">
        <f>+I64+I99+I119+I134-I15</f>
        <v>0</v>
      </c>
      <c r="J146" s="189">
        <f>+J64+J99+J119+J134-J15</f>
        <v>0</v>
      </c>
      <c r="K146" s="290">
        <f>+K64+K99+K119+K134-K15</f>
        <v>0</v>
      </c>
      <c r="L146" s="189">
        <f>+L64+L99+L119+L134-L15</f>
        <v>0</v>
      </c>
      <c r="M146" s="191"/>
      <c r="N146" s="189">
        <f>+N64+N99+N119+N134-N15</f>
        <v>0</v>
      </c>
      <c r="O146" s="189">
        <f>+O64+O99+O119+O134-O15</f>
        <v>0</v>
      </c>
      <c r="P146" s="290">
        <f>+P64+P99+P119+P134-P15</f>
        <v>0</v>
      </c>
      <c r="Q146" s="169">
        <f>'Earnings Model (adjusted)'!Q146-'Earnings Model'!Q146</f>
        <v>0</v>
      </c>
      <c r="R146" s="169">
        <f>'Earnings Model (adjusted)'!R146-'Earnings Model'!R146</f>
        <v>0</v>
      </c>
      <c r="S146" s="169">
        <f>'Earnings Model (adjusted)'!S146-'Earnings Model'!S146</f>
        <v>0</v>
      </c>
      <c r="T146" s="169">
        <f>'Earnings Model (adjusted)'!T146-'Earnings Model'!T146</f>
        <v>0</v>
      </c>
      <c r="U146" s="169">
        <f>'Earnings Model (adjusted)'!U146-'Earnings Model'!U146</f>
        <v>0</v>
      </c>
      <c r="V146" s="169">
        <f>'Earnings Model (adjusted)'!V146-'Earnings Model'!V146</f>
        <v>0</v>
      </c>
      <c r="W146" s="169">
        <f>'Earnings Model (adjusted)'!W146-'Earnings Model'!W146</f>
        <v>0</v>
      </c>
      <c r="X146" s="169">
        <f>'Earnings Model (adjusted)'!X146-'Earnings Model'!X146</f>
        <v>0</v>
      </c>
      <c r="Y146" s="169">
        <f>'Earnings Model (adjusted)'!Y146-'Earnings Model'!Y146</f>
        <v>0</v>
      </c>
      <c r="Z146" s="169">
        <f>'Earnings Model (adjusted)'!Z146-'Earnings Model'!Z146</f>
        <v>0</v>
      </c>
      <c r="AA146" s="169">
        <f>'Earnings Model (adjusted)'!AA146-'Earnings Model'!AA146</f>
        <v>0</v>
      </c>
      <c r="AB146" s="169">
        <f>'Earnings Model (adjusted)'!AB146-'Earnings Model'!AB146</f>
        <v>0</v>
      </c>
      <c r="AC146" s="169">
        <f>'Earnings Model (adjusted)'!AC146-'Earnings Model'!AC146</f>
        <v>0</v>
      </c>
      <c r="AD146" s="169">
        <f>'Earnings Model (adjusted)'!AD146-'Earnings Model'!AD146</f>
        <v>0</v>
      </c>
      <c r="AE146" s="169">
        <f>'Earnings Model (adjusted)'!AE146-'Earnings Model'!AE146</f>
        <v>0</v>
      </c>
      <c r="AF146" s="169">
        <f>'Earnings Model (adjusted)'!AF146-'Earnings Model'!AF146</f>
        <v>0</v>
      </c>
      <c r="AG146" s="169">
        <f>'Earnings Model (adjusted)'!AG146-'Earnings Model'!AG146</f>
        <v>0</v>
      </c>
      <c r="AH146" s="169">
        <f>'Earnings Model (adjusted)'!AH146-'Earnings Model'!AH146</f>
        <v>0</v>
      </c>
      <c r="AI146" s="169">
        <f>'Earnings Model (adjusted)'!AI146-'Earnings Model'!AI146</f>
        <v>0</v>
      </c>
      <c r="AJ146" s="169">
        <f>'Earnings Model (adjusted)'!AJ146-'Earnings Model'!AJ146</f>
        <v>0</v>
      </c>
      <c r="AK146" s="169">
        <f>'Earnings Model (adjusted)'!AK146-'Earnings Model'!AK146</f>
        <v>0</v>
      </c>
      <c r="AL146" s="169">
        <f>'Earnings Model (adjusted)'!AL146-'Earnings Model'!AL146</f>
        <v>0</v>
      </c>
      <c r="AM146" s="169">
        <f>'Earnings Model (adjusted)'!AM146-'Earnings Model'!AM146</f>
        <v>0</v>
      </c>
      <c r="AN146" s="169">
        <f>'Earnings Model (adjusted)'!AN146-'Earnings Model'!AN146</f>
        <v>0</v>
      </c>
      <c r="AO146" s="169">
        <f>'Earnings Model (adjusted)'!AO146-'Earnings Model'!AO146</f>
        <v>0</v>
      </c>
      <c r="AP146" s="169">
        <f>'Earnings Model (adjusted)'!AP146-'Earnings Model'!AP146</f>
        <v>0</v>
      </c>
      <c r="AQ146" s="169">
        <f>'Earnings Model (adjusted)'!AQ146-'Earnings Model'!AQ146</f>
        <v>0</v>
      </c>
    </row>
    <row r="147" spans="1:43" s="211" customFormat="1" ht="15.6" customHeight="1" outlineLevel="1" x14ac:dyDescent="0.25">
      <c r="A147" s="329"/>
      <c r="B147" s="187" t="s">
        <v>145</v>
      </c>
      <c r="C147" s="212"/>
      <c r="D147" s="189">
        <f>+D130+D115-D24</f>
        <v>0</v>
      </c>
      <c r="E147" s="189">
        <f>+E130+E115-E24</f>
        <v>0</v>
      </c>
      <c r="F147" s="290">
        <f>+F130+F115-F24</f>
        <v>0</v>
      </c>
      <c r="G147" s="189">
        <f>+G130+G115-G24</f>
        <v>0</v>
      </c>
      <c r="H147" s="191"/>
      <c r="I147" s="189">
        <f>+I130+I115-I24</f>
        <v>0</v>
      </c>
      <c r="J147" s="189">
        <f>+J130+J115-J24</f>
        <v>0</v>
      </c>
      <c r="K147" s="290">
        <f>+K130+K115-K24</f>
        <v>0</v>
      </c>
      <c r="L147" s="189">
        <f>+L130+L115-L24</f>
        <v>0</v>
      </c>
      <c r="M147" s="191"/>
      <c r="N147" s="189">
        <f>+N130+N115-N24</f>
        <v>0</v>
      </c>
      <c r="O147" s="189">
        <f>+O130+O115-O24</f>
        <v>0</v>
      </c>
      <c r="P147" s="290">
        <f>+P130+P115-P24</f>
        <v>0</v>
      </c>
      <c r="Q147" s="169">
        <f>'Earnings Model (adjusted)'!Q147-'Earnings Model'!Q147</f>
        <v>0</v>
      </c>
      <c r="R147" s="169">
        <f>'Earnings Model (adjusted)'!R147-'Earnings Model'!R147</f>
        <v>0</v>
      </c>
      <c r="S147" s="169">
        <f>'Earnings Model (adjusted)'!S147-'Earnings Model'!S147</f>
        <v>0</v>
      </c>
      <c r="T147" s="169">
        <f>'Earnings Model (adjusted)'!T147-'Earnings Model'!T147</f>
        <v>0</v>
      </c>
      <c r="U147" s="169">
        <f>'Earnings Model (adjusted)'!U147-'Earnings Model'!U147</f>
        <v>0</v>
      </c>
      <c r="V147" s="169">
        <f>'Earnings Model (adjusted)'!V147-'Earnings Model'!V147</f>
        <v>0</v>
      </c>
      <c r="W147" s="169">
        <f>'Earnings Model (adjusted)'!W147-'Earnings Model'!W147</f>
        <v>0</v>
      </c>
      <c r="X147" s="169">
        <f>'Earnings Model (adjusted)'!X147-'Earnings Model'!X147</f>
        <v>0</v>
      </c>
      <c r="Y147" s="169">
        <f>'Earnings Model (adjusted)'!Y147-'Earnings Model'!Y147</f>
        <v>0</v>
      </c>
      <c r="Z147" s="169">
        <f>'Earnings Model (adjusted)'!Z147-'Earnings Model'!Z147</f>
        <v>0</v>
      </c>
      <c r="AA147" s="169">
        <f>'Earnings Model (adjusted)'!AA147-'Earnings Model'!AA147</f>
        <v>0</v>
      </c>
      <c r="AB147" s="169">
        <f>'Earnings Model (adjusted)'!AB147-'Earnings Model'!AB147</f>
        <v>0</v>
      </c>
      <c r="AC147" s="169">
        <f>'Earnings Model (adjusted)'!AC147-'Earnings Model'!AC147</f>
        <v>0</v>
      </c>
      <c r="AD147" s="169">
        <f>'Earnings Model (adjusted)'!AD147-'Earnings Model'!AD147</f>
        <v>0</v>
      </c>
      <c r="AE147" s="169">
        <f>'Earnings Model (adjusted)'!AE147-'Earnings Model'!AE147</f>
        <v>0</v>
      </c>
      <c r="AF147" s="169">
        <f>'Earnings Model (adjusted)'!AF147-'Earnings Model'!AF147</f>
        <v>0</v>
      </c>
      <c r="AG147" s="169">
        <f>'Earnings Model (adjusted)'!AG147-'Earnings Model'!AG147</f>
        <v>0</v>
      </c>
      <c r="AH147" s="169">
        <f>'Earnings Model (adjusted)'!AH147-'Earnings Model'!AH147</f>
        <v>0</v>
      </c>
      <c r="AI147" s="169">
        <f>'Earnings Model (adjusted)'!AI147-'Earnings Model'!AI147</f>
        <v>0</v>
      </c>
      <c r="AJ147" s="169">
        <f>'Earnings Model (adjusted)'!AJ147-'Earnings Model'!AJ147</f>
        <v>0</v>
      </c>
      <c r="AK147" s="169">
        <f>'Earnings Model (adjusted)'!AK147-'Earnings Model'!AK147</f>
        <v>0</v>
      </c>
      <c r="AL147" s="169">
        <f>'Earnings Model (adjusted)'!AL147-'Earnings Model'!AL147</f>
        <v>0</v>
      </c>
      <c r="AM147" s="169">
        <f>'Earnings Model (adjusted)'!AM147-'Earnings Model'!AM147</f>
        <v>0</v>
      </c>
      <c r="AN147" s="169">
        <f>'Earnings Model (adjusted)'!AN147-'Earnings Model'!AN147</f>
        <v>0</v>
      </c>
      <c r="AO147" s="169">
        <f>'Earnings Model (adjusted)'!AO147-'Earnings Model'!AO147</f>
        <v>0</v>
      </c>
      <c r="AP147" s="169">
        <f>'Earnings Model (adjusted)'!AP147-'Earnings Model'!AP147</f>
        <v>0</v>
      </c>
      <c r="AQ147" s="169">
        <f>'Earnings Model (adjusted)'!AQ147-'Earnings Model'!AQ147</f>
        <v>0</v>
      </c>
    </row>
    <row r="148" spans="1:43" s="211" customFormat="1" ht="15.6" customHeight="1" outlineLevel="1" x14ac:dyDescent="0.25">
      <c r="A148" s="329"/>
      <c r="B148" s="187" t="s">
        <v>184</v>
      </c>
      <c r="C148" s="212"/>
      <c r="D148" s="189">
        <f>+D80+D116+D131+D142-D25</f>
        <v>0</v>
      </c>
      <c r="E148" s="189">
        <f>+E80+E116+E131+E142-E25</f>
        <v>0</v>
      </c>
      <c r="F148" s="290">
        <f>+F80+F116+F131+F142-F25</f>
        <v>0</v>
      </c>
      <c r="G148" s="189">
        <f>+G80+G116+G131+G142-G25</f>
        <v>9.9999999998544808E-2</v>
      </c>
      <c r="H148" s="191"/>
      <c r="I148" s="189">
        <f>+I80+I116+I131+I142-I25</f>
        <v>0</v>
      </c>
      <c r="J148" s="189">
        <f>+J80+J116+J131+J142-J25</f>
        <v>6.8212102632969618E-13</v>
      </c>
      <c r="K148" s="290">
        <f>+K80+K116+K131+K142-K25</f>
        <v>0</v>
      </c>
      <c r="L148" s="189">
        <f>+L80+L116+L131+L142-L25</f>
        <v>0</v>
      </c>
      <c r="M148" s="191"/>
      <c r="N148" s="189">
        <f>+N80+N116+N131+N142-N25</f>
        <v>0</v>
      </c>
      <c r="O148" s="189">
        <f>+O80+O116+O131+O142-O25</f>
        <v>0</v>
      </c>
      <c r="P148" s="290">
        <f>+P80+P116+P131+P142-P25</f>
        <v>0</v>
      </c>
      <c r="Q148" s="169">
        <f>'Earnings Model (adjusted)'!Q148-'Earnings Model'!Q148</f>
        <v>0</v>
      </c>
      <c r="R148" s="169">
        <f>'Earnings Model (adjusted)'!R148-'Earnings Model'!R148</f>
        <v>0</v>
      </c>
      <c r="S148" s="169">
        <f>'Earnings Model (adjusted)'!S148-'Earnings Model'!S148</f>
        <v>0</v>
      </c>
      <c r="T148" s="169">
        <f>'Earnings Model (adjusted)'!T148-'Earnings Model'!T148</f>
        <v>0</v>
      </c>
      <c r="U148" s="169">
        <f>'Earnings Model (adjusted)'!U148-'Earnings Model'!U148</f>
        <v>0</v>
      </c>
      <c r="V148" s="169">
        <f>'Earnings Model (adjusted)'!V148-'Earnings Model'!V148</f>
        <v>0</v>
      </c>
      <c r="W148" s="169">
        <f>'Earnings Model (adjusted)'!W148-'Earnings Model'!W148</f>
        <v>0</v>
      </c>
      <c r="X148" s="169">
        <f>'Earnings Model (adjusted)'!X148-'Earnings Model'!X148</f>
        <v>0</v>
      </c>
      <c r="Y148" s="169">
        <f>'Earnings Model (adjusted)'!Y148-'Earnings Model'!Y148</f>
        <v>0</v>
      </c>
      <c r="Z148" s="169">
        <f>'Earnings Model (adjusted)'!Z148-'Earnings Model'!Z148</f>
        <v>0</v>
      </c>
      <c r="AA148" s="169">
        <f>'Earnings Model (adjusted)'!AA148-'Earnings Model'!AA148</f>
        <v>-9.0949470177292824E-13</v>
      </c>
      <c r="AB148" s="169">
        <f>'Earnings Model (adjusted)'!AB148-'Earnings Model'!AB148</f>
        <v>0</v>
      </c>
      <c r="AC148" s="169">
        <f>'Earnings Model (adjusted)'!AC148-'Earnings Model'!AC148</f>
        <v>-2.2737367544323206E-12</v>
      </c>
      <c r="AD148" s="169">
        <f>'Earnings Model (adjusted)'!AD148-'Earnings Model'!AD148</f>
        <v>-1.8189894035458565E-12</v>
      </c>
      <c r="AE148" s="169">
        <f>'Earnings Model (adjusted)'!AE148-'Earnings Model'!AE148</f>
        <v>2.2737367544323206E-12</v>
      </c>
      <c r="AF148" s="169">
        <f>'Earnings Model (adjusted)'!AF148-'Earnings Model'!AF148</f>
        <v>-6.8212102632969618E-13</v>
      </c>
      <c r="AG148" s="169">
        <f>'Earnings Model (adjusted)'!AG148-'Earnings Model'!AG148</f>
        <v>0</v>
      </c>
      <c r="AH148" s="169">
        <f>'Earnings Model (adjusted)'!AH148-'Earnings Model'!AH148</f>
        <v>0</v>
      </c>
      <c r="AI148" s="169">
        <f>'Earnings Model (adjusted)'!AI148-'Earnings Model'!AI148</f>
        <v>-3.1832314562052488E-12</v>
      </c>
      <c r="AJ148" s="169">
        <f>'Earnings Model (adjusted)'!AJ148-'Earnings Model'!AJ148</f>
        <v>0</v>
      </c>
      <c r="AK148" s="169">
        <f>'Earnings Model (adjusted)'!AK148-'Earnings Model'!AK148</f>
        <v>0</v>
      </c>
      <c r="AL148" s="169">
        <f>'Earnings Model (adjusted)'!AL148-'Earnings Model'!AL148</f>
        <v>0</v>
      </c>
      <c r="AM148" s="169">
        <f>'Earnings Model (adjusted)'!AM148-'Earnings Model'!AM148</f>
        <v>-2.0463630789890885E-12</v>
      </c>
      <c r="AN148" s="169">
        <f>'Earnings Model (adjusted)'!AN148-'Earnings Model'!AN148</f>
        <v>0</v>
      </c>
      <c r="AO148" s="169">
        <f>'Earnings Model (adjusted)'!AO148-'Earnings Model'!AO148</f>
        <v>0</v>
      </c>
      <c r="AP148" s="169">
        <f>'Earnings Model (adjusted)'!AP148-'Earnings Model'!AP148</f>
        <v>0</v>
      </c>
      <c r="AQ148" s="169">
        <f>'Earnings Model (adjusted)'!AQ148-'Earnings Model'!AQ148</f>
        <v>0</v>
      </c>
    </row>
    <row r="149" spans="1:43" ht="15" customHeight="1" x14ac:dyDescent="0.4">
      <c r="A149" s="254"/>
      <c r="B149" s="565" t="s">
        <v>55</v>
      </c>
      <c r="C149" s="566"/>
      <c r="D149" s="32" t="s">
        <v>119</v>
      </c>
      <c r="E149" s="32" t="s">
        <v>243</v>
      </c>
      <c r="F149" s="32" t="s">
        <v>247</v>
      </c>
      <c r="G149" s="32" t="s">
        <v>257</v>
      </c>
      <c r="H149" s="86" t="s">
        <v>258</v>
      </c>
      <c r="I149" s="32" t="s">
        <v>259</v>
      </c>
      <c r="J149" s="32" t="s">
        <v>260</v>
      </c>
      <c r="K149" s="32" t="s">
        <v>261</v>
      </c>
      <c r="L149" s="32" t="s">
        <v>322</v>
      </c>
      <c r="M149" s="86" t="s">
        <v>333</v>
      </c>
      <c r="N149" s="32" t="s">
        <v>339</v>
      </c>
      <c r="O149" s="32" t="s">
        <v>347</v>
      </c>
      <c r="P149" s="32" t="s">
        <v>349</v>
      </c>
      <c r="Q149" s="169" t="e">
        <f>'Earnings Model (adjusted)'!Q149-'Earnings Model'!Q149</f>
        <v>#VALUE!</v>
      </c>
      <c r="R149" s="169" t="e">
        <f>'Earnings Model (adjusted)'!R149-'Earnings Model'!R149</f>
        <v>#VALUE!</v>
      </c>
      <c r="S149" s="169" t="e">
        <f>'Earnings Model (adjusted)'!S149-'Earnings Model'!S149</f>
        <v>#VALUE!</v>
      </c>
      <c r="T149" s="169" t="e">
        <f>'Earnings Model (adjusted)'!T149-'Earnings Model'!T149</f>
        <v>#VALUE!</v>
      </c>
      <c r="U149" s="169" t="e">
        <f>'Earnings Model (adjusted)'!U149-'Earnings Model'!U149</f>
        <v>#VALUE!</v>
      </c>
      <c r="V149" s="169" t="e">
        <f>'Earnings Model (adjusted)'!V149-'Earnings Model'!V149</f>
        <v>#VALUE!</v>
      </c>
      <c r="W149" s="169" t="e">
        <f>'Earnings Model (adjusted)'!W149-'Earnings Model'!W149</f>
        <v>#VALUE!</v>
      </c>
      <c r="X149" s="169" t="e">
        <f>'Earnings Model (adjusted)'!X149-'Earnings Model'!X149</f>
        <v>#VALUE!</v>
      </c>
      <c r="Y149" s="169" t="e">
        <f>'Earnings Model (adjusted)'!Y149-'Earnings Model'!Y149</f>
        <v>#VALUE!</v>
      </c>
      <c r="Z149" s="169" t="e">
        <f>'Earnings Model (adjusted)'!Z149-'Earnings Model'!Z149</f>
        <v>#VALUE!</v>
      </c>
      <c r="AA149" s="169" t="e">
        <f>'Earnings Model (adjusted)'!AA149-'Earnings Model'!AA149</f>
        <v>#VALUE!</v>
      </c>
      <c r="AB149" s="169" t="e">
        <f>'Earnings Model (adjusted)'!AB149-'Earnings Model'!AB149</f>
        <v>#VALUE!</v>
      </c>
      <c r="AC149" s="169" t="e">
        <f>'Earnings Model (adjusted)'!AC149-'Earnings Model'!AC149</f>
        <v>#VALUE!</v>
      </c>
      <c r="AD149" s="169" t="e">
        <f>'Earnings Model (adjusted)'!AD149-'Earnings Model'!AD149</f>
        <v>#VALUE!</v>
      </c>
      <c r="AE149" s="169" t="e">
        <f>'Earnings Model (adjusted)'!AE149-'Earnings Model'!AE149</f>
        <v>#VALUE!</v>
      </c>
      <c r="AF149" s="169" t="e">
        <f>'Earnings Model (adjusted)'!AF149-'Earnings Model'!AF149</f>
        <v>#VALUE!</v>
      </c>
      <c r="AG149" s="169" t="e">
        <f>'Earnings Model (adjusted)'!AG149-'Earnings Model'!AG149</f>
        <v>#VALUE!</v>
      </c>
      <c r="AH149" s="169" t="e">
        <f>'Earnings Model (adjusted)'!AH149-'Earnings Model'!AH149</f>
        <v>#VALUE!</v>
      </c>
      <c r="AI149" s="169" t="e">
        <f>'Earnings Model (adjusted)'!AI149-'Earnings Model'!AI149</f>
        <v>#VALUE!</v>
      </c>
      <c r="AJ149" s="169" t="e">
        <f>'Earnings Model (adjusted)'!AJ149-'Earnings Model'!AJ149</f>
        <v>#VALUE!</v>
      </c>
      <c r="AK149" s="169" t="e">
        <f>'Earnings Model (adjusted)'!AK149-'Earnings Model'!AK149</f>
        <v>#VALUE!</v>
      </c>
      <c r="AL149" s="169" t="e">
        <f>'Earnings Model (adjusted)'!AL149-'Earnings Model'!AL149</f>
        <v>#VALUE!</v>
      </c>
      <c r="AM149" s="169" t="e">
        <f>'Earnings Model (adjusted)'!AM149-'Earnings Model'!AM149</f>
        <v>#VALUE!</v>
      </c>
      <c r="AN149" s="169" t="e">
        <f>'Earnings Model (adjusted)'!AN149-'Earnings Model'!AN149</f>
        <v>#VALUE!</v>
      </c>
      <c r="AO149" s="169" t="e">
        <f>'Earnings Model (adjusted)'!AO149-'Earnings Model'!AO149</f>
        <v>#VALUE!</v>
      </c>
      <c r="AP149" s="169" t="e">
        <f>'Earnings Model (adjusted)'!AP149-'Earnings Model'!AP149</f>
        <v>#VALUE!</v>
      </c>
      <c r="AQ149" s="169" t="e">
        <f>'Earnings Model (adjusted)'!AQ149-'Earnings Model'!AQ149</f>
        <v>#VALUE!</v>
      </c>
    </row>
    <row r="150" spans="1:43" s="43" customFormat="1" outlineLevel="1" x14ac:dyDescent="0.25">
      <c r="A150" s="307"/>
      <c r="B150" s="595" t="s">
        <v>115</v>
      </c>
      <c r="C150" s="596"/>
      <c r="D150" s="56"/>
      <c r="E150" s="56"/>
      <c r="F150" s="56"/>
      <c r="G150" s="56"/>
      <c r="H150" s="330"/>
      <c r="I150" s="56">
        <f t="shared" ref="I150:P150" si="106">I16/D16-1</f>
        <v>7.0016735266180907E-2</v>
      </c>
      <c r="J150" s="56">
        <f t="shared" si="106"/>
        <v>-4.9192026514851106E-2</v>
      </c>
      <c r="K150" s="56">
        <f t="shared" si="106"/>
        <v>-0.38119595485856661</v>
      </c>
      <c r="L150" s="277">
        <f t="shared" si="106"/>
        <v>-8.061360604713208E-2</v>
      </c>
      <c r="M150" s="311">
        <f t="shared" si="106"/>
        <v>-0.11281621813298315</v>
      </c>
      <c r="N150" s="56">
        <f t="shared" si="106"/>
        <v>-4.8991841738174613E-2</v>
      </c>
      <c r="O150" s="56">
        <f t="shared" si="106"/>
        <v>0.11213036009139876</v>
      </c>
      <c r="P150" s="56">
        <f t="shared" si="106"/>
        <v>0.77553823926482068</v>
      </c>
      <c r="Q150" s="169">
        <f>'Earnings Model (adjusted)'!Q150-'Earnings Model'!Q150</f>
        <v>0</v>
      </c>
      <c r="R150" s="169">
        <f>'Earnings Model (adjusted)'!R150-'Earnings Model'!R150</f>
        <v>0</v>
      </c>
      <c r="S150" s="169">
        <f>'Earnings Model (adjusted)'!S150-'Earnings Model'!S150</f>
        <v>1.2383047307856554E-2</v>
      </c>
      <c r="T150" s="169">
        <f>'Earnings Model (adjusted)'!T150-'Earnings Model'!T150</f>
        <v>1.218714303355406E-2</v>
      </c>
      <c r="U150" s="169">
        <f>'Earnings Model (adjusted)'!U150-'Earnings Model'!U150</f>
        <v>6.3024906738051722E-3</v>
      </c>
      <c r="V150" s="169">
        <f>'Earnings Model (adjusted)'!V150-'Earnings Model'!V150</f>
        <v>5.6889729553377677E-3</v>
      </c>
      <c r="W150" s="169">
        <f>'Earnings Model (adjusted)'!W150-'Earnings Model'!W150</f>
        <v>8.8784472462251074E-3</v>
      </c>
      <c r="X150" s="169">
        <f>'Earnings Model (adjusted)'!X150-'Earnings Model'!X150</f>
        <v>2.6140460111909736E-3</v>
      </c>
      <c r="Y150" s="169">
        <f>'Earnings Model (adjusted)'!Y150-'Earnings Model'!Y150</f>
        <v>2.8364073743991636E-3</v>
      </c>
      <c r="Z150" s="169">
        <f>'Earnings Model (adjusted)'!Z150-'Earnings Model'!Z150</f>
        <v>-1.1727406087347347E-4</v>
      </c>
      <c r="AA150" s="169">
        <f>'Earnings Model (adjusted)'!AA150-'Earnings Model'!AA150</f>
        <v>-1.1955419525677691E-4</v>
      </c>
      <c r="AB150" s="169">
        <f>'Earnings Model (adjusted)'!AB150-'Earnings Model'!AB150</f>
        <v>1.2398468009362507E-3</v>
      </c>
      <c r="AC150" s="169">
        <f>'Earnings Model (adjusted)'!AC150-'Earnings Model'!AC150</f>
        <v>2.9727958210750138E-3</v>
      </c>
      <c r="AD150" s="169">
        <f>'Earnings Model (adjusted)'!AD150-'Earnings Model'!AD150</f>
        <v>3.0171946950146022E-3</v>
      </c>
      <c r="AE150" s="169">
        <f>'Earnings Model (adjusted)'!AE150-'Earnings Model'!AE150</f>
        <v>-2.8559785795856385E-5</v>
      </c>
      <c r="AF150" s="169">
        <f>'Earnings Model (adjusted)'!AF150-'Earnings Model'!AF150</f>
        <v>-3.1053720450608946E-3</v>
      </c>
      <c r="AG150" s="169">
        <f>'Earnings Model (adjusted)'!AG150-'Earnings Model'!AG150</f>
        <v>6.0304756102280699E-4</v>
      </c>
      <c r="AH150" s="169">
        <f>'Earnings Model (adjusted)'!AH150-'Earnings Model'!AH150</f>
        <v>2.855297117472011E-3</v>
      </c>
      <c r="AI150" s="169">
        <f>'Earnings Model (adjusted)'!AI150-'Earnings Model'!AI150</f>
        <v>2.9101169159240214E-3</v>
      </c>
      <c r="AJ150" s="169">
        <f>'Earnings Model (adjusted)'!AJ150-'Earnings Model'!AJ150</f>
        <v>-4.7930206939383879E-5</v>
      </c>
      <c r="AK150" s="169">
        <f>'Earnings Model (adjusted)'!AK150-'Earnings Model'!AK150</f>
        <v>-2.5032402461100389E-5</v>
      </c>
      <c r="AL150" s="169">
        <f>'Earnings Model (adjusted)'!AL150-'Earnings Model'!AL150</f>
        <v>1.3644778181665096E-3</v>
      </c>
      <c r="AM150" s="169">
        <f>'Earnings Model (adjusted)'!AM150-'Earnings Model'!AM150</f>
        <v>-1.9338523618350756E-4</v>
      </c>
      <c r="AN150" s="169">
        <f>'Earnings Model (adjusted)'!AN150-'Earnings Model'!AN150</f>
        <v>-1.8840925594765245E-4</v>
      </c>
      <c r="AO150" s="169">
        <f>'Earnings Model (adjusted)'!AO150-'Earnings Model'!AO150</f>
        <v>-4.6463562968446226E-5</v>
      </c>
      <c r="AP150" s="169">
        <f>'Earnings Model (adjusted)'!AP150-'Earnings Model'!AP150</f>
        <v>-2.3176377984102103E-5</v>
      </c>
      <c r="AQ150" s="169">
        <f>'Earnings Model (adjusted)'!AQ150-'Earnings Model'!AQ150</f>
        <v>-1.0247453466538659E-4</v>
      </c>
    </row>
    <row r="151" spans="1:43" s="43" customFormat="1" outlineLevel="1" x14ac:dyDescent="0.25">
      <c r="A151" s="307"/>
      <c r="B151" s="595" t="s">
        <v>24</v>
      </c>
      <c r="C151" s="596"/>
      <c r="D151" s="53">
        <f t="shared" ref="D151:P151" si="107">D25/D16</f>
        <v>0.15313522396610738</v>
      </c>
      <c r="E151" s="53">
        <f t="shared" si="107"/>
        <v>0.13601547756862614</v>
      </c>
      <c r="F151" s="53">
        <f t="shared" si="107"/>
        <v>0.16434119888612064</v>
      </c>
      <c r="G151" s="53">
        <f t="shared" si="107"/>
        <v>0.16054542759745088</v>
      </c>
      <c r="H151" s="55">
        <f t="shared" si="107"/>
        <v>0.15383309567461143</v>
      </c>
      <c r="I151" s="53">
        <f t="shared" si="107"/>
        <v>0.1718730185568752</v>
      </c>
      <c r="J151" s="53">
        <f t="shared" si="107"/>
        <v>8.1291592307820446E-2</v>
      </c>
      <c r="K151" s="53">
        <f t="shared" si="107"/>
        <v>-0.16671798394164022</v>
      </c>
      <c r="L151" s="277">
        <f t="shared" si="107"/>
        <v>9.0003385404072211E-2</v>
      </c>
      <c r="M151" s="330">
        <f t="shared" si="107"/>
        <v>6.6400204098988183E-2</v>
      </c>
      <c r="N151" s="53">
        <f t="shared" si="107"/>
        <v>0.13534536403235845</v>
      </c>
      <c r="O151" s="53">
        <f t="shared" si="107"/>
        <v>0.14811037792441512</v>
      </c>
      <c r="P151" s="53">
        <f t="shared" si="107"/>
        <v>0.19858600680317468</v>
      </c>
      <c r="Q151" s="169">
        <f>'Earnings Model (adjusted)'!Q151-'Earnings Model'!Q151</f>
        <v>5.5670835743281688E-3</v>
      </c>
      <c r="R151" s="169">
        <f>'Earnings Model (adjusted)'!R151-'Earnings Model'!R151</f>
        <v>1.5788052489386362E-3</v>
      </c>
      <c r="S151" s="169">
        <f>'Earnings Model (adjusted)'!S151-'Earnings Model'!S151</f>
        <v>1.2129630218957521E-2</v>
      </c>
      <c r="T151" s="169">
        <f>'Earnings Model (adjusted)'!T151-'Earnings Model'!T151</f>
        <v>1.2160901473782876E-2</v>
      </c>
      <c r="U151" s="169">
        <f>'Earnings Model (adjusted)'!U151-'Earnings Model'!U151</f>
        <v>1.238252250586161E-2</v>
      </c>
      <c r="V151" s="169">
        <f>'Earnings Model (adjusted)'!V151-'Earnings Model'!V151</f>
        <v>8.40212293586165E-3</v>
      </c>
      <c r="W151" s="169">
        <f>'Earnings Model (adjusted)'!W151-'Earnings Model'!W151</f>
        <v>1.1199675465642878E-2</v>
      </c>
      <c r="X151" s="169">
        <f>'Earnings Model (adjusted)'!X151-'Earnings Model'!X151</f>
        <v>1.0359029699683248E-2</v>
      </c>
      <c r="Y151" s="169">
        <f>'Earnings Model (adjusted)'!Y151-'Earnings Model'!Y151</f>
        <v>1.0466656405878599E-2</v>
      </c>
      <c r="Z151" s="169">
        <f>'Earnings Model (adjusted)'!Z151-'Earnings Model'!Z151</f>
        <v>1.0554366252881586E-2</v>
      </c>
      <c r="AA151" s="169">
        <f>'Earnings Model (adjusted)'!AA151-'Earnings Model'!AA151</f>
        <v>1.0134283400547894E-2</v>
      </c>
      <c r="AB151" s="169">
        <f>'Earnings Model (adjusted)'!AB151-'Earnings Model'!AB151</f>
        <v>1.036675716784019E-2</v>
      </c>
      <c r="AC151" s="169">
        <f>'Earnings Model (adjusted)'!AC151-'Earnings Model'!AC151</f>
        <v>9.2162777903087856E-3</v>
      </c>
      <c r="AD151" s="169">
        <f>'Earnings Model (adjusted)'!AD151-'Earnings Model'!AD151</f>
        <v>9.282670907318713E-3</v>
      </c>
      <c r="AE151" s="169">
        <f>'Earnings Model (adjusted)'!AE151-'Earnings Model'!AE151</f>
        <v>9.2796791015435642E-3</v>
      </c>
      <c r="AF151" s="169">
        <f>'Earnings Model (adjusted)'!AF151-'Earnings Model'!AF151</f>
        <v>8.7996091083451244E-3</v>
      </c>
      <c r="AG151" s="169">
        <f>'Earnings Model (adjusted)'!AG151-'Earnings Model'!AG151</f>
        <v>9.1193504811095671E-3</v>
      </c>
      <c r="AH151" s="169">
        <f>'Earnings Model (adjusted)'!AH151-'Earnings Model'!AH151</f>
        <v>1.0128519735974728E-2</v>
      </c>
      <c r="AI151" s="169">
        <f>'Earnings Model (adjusted)'!AI151-'Earnings Model'!AI151</f>
        <v>1.0191155782798778E-2</v>
      </c>
      <c r="AJ151" s="169">
        <f>'Earnings Model (adjusted)'!AJ151-'Earnings Model'!AJ151</f>
        <v>1.0198000598931556E-2</v>
      </c>
      <c r="AK151" s="169">
        <f>'Earnings Model (adjusted)'!AK151-'Earnings Model'!AK151</f>
        <v>9.6926188094642041E-3</v>
      </c>
      <c r="AL151" s="169">
        <f>'Earnings Model (adjusted)'!AL151-'Earnings Model'!AL151</f>
        <v>1.0027892011450851E-2</v>
      </c>
      <c r="AM151" s="169">
        <f>'Earnings Model (adjusted)'!AM151-'Earnings Model'!AM151</f>
        <v>9.4965691103545968E-3</v>
      </c>
      <c r="AN151" s="169">
        <f>'Earnings Model (adjusted)'!AN151-'Earnings Model'!AN151</f>
        <v>9.5538687111827725E-3</v>
      </c>
      <c r="AO151" s="169">
        <f>'Earnings Model (adjusted)'!AO151-'Earnings Model'!AO151</f>
        <v>9.6171573971048918E-3</v>
      </c>
      <c r="AP151" s="169">
        <f>'Earnings Model (adjusted)'!AP151-'Earnings Model'!AP151</f>
        <v>9.1350677110973999E-3</v>
      </c>
      <c r="AQ151" s="169">
        <f>'Earnings Model (adjusted)'!AQ151-'Earnings Model'!AQ151</f>
        <v>9.4303838007172014E-3</v>
      </c>
    </row>
    <row r="152" spans="1:43" s="43" customFormat="1" outlineLevel="1" x14ac:dyDescent="0.25">
      <c r="A152" s="307"/>
      <c r="B152" s="595" t="s">
        <v>227</v>
      </c>
      <c r="C152" s="596"/>
      <c r="D152" s="53">
        <f t="shared" ref="D152:P152" si="108">+D27/D16</f>
        <v>0.17394123056975294</v>
      </c>
      <c r="E152" s="53">
        <f t="shared" si="108"/>
        <v>0.15843892227913536</v>
      </c>
      <c r="F152" s="53">
        <f t="shared" si="108"/>
        <v>0.18270555474131628</v>
      </c>
      <c r="G152" s="53">
        <f t="shared" si="108"/>
        <v>0.17201719282644154</v>
      </c>
      <c r="H152" s="55">
        <f t="shared" si="108"/>
        <v>0.17201964645435841</v>
      </c>
      <c r="I152" s="53">
        <f t="shared" si="108"/>
        <v>0.1819616463062376</v>
      </c>
      <c r="J152" s="53">
        <f t="shared" si="108"/>
        <v>9.2432910252347358E-2</v>
      </c>
      <c r="K152" s="53">
        <f t="shared" si="108"/>
        <v>-0.12558205632268285</v>
      </c>
      <c r="L152" s="277">
        <f t="shared" si="108"/>
        <v>0.13183730715287523</v>
      </c>
      <c r="M152" s="330">
        <f t="shared" si="108"/>
        <v>9.0704141508631861E-2</v>
      </c>
      <c r="N152" s="53">
        <f t="shared" si="108"/>
        <v>0.15533232583637069</v>
      </c>
      <c r="O152" s="53">
        <f t="shared" si="108"/>
        <v>0.1613377324535093</v>
      </c>
      <c r="P152" s="53">
        <f t="shared" si="108"/>
        <v>0.20548255852731262</v>
      </c>
      <c r="Q152" s="169">
        <f>'Earnings Model (adjusted)'!Q152-'Earnings Model'!Q152</f>
        <v>5.5670835743281688E-3</v>
      </c>
      <c r="R152" s="169">
        <f>'Earnings Model (adjusted)'!R152-'Earnings Model'!R152</f>
        <v>1.5788052489386362E-3</v>
      </c>
      <c r="S152" s="169">
        <f>'Earnings Model (adjusted)'!S152-'Earnings Model'!S152</f>
        <v>1.1976257670155338E-2</v>
      </c>
      <c r="T152" s="169">
        <f>'Earnings Model (adjusted)'!T152-'Earnings Model'!T152</f>
        <v>1.1993266452487605E-2</v>
      </c>
      <c r="U152" s="169">
        <f>'Earnings Model (adjusted)'!U152-'Earnings Model'!U152</f>
        <v>1.2298049013292289E-2</v>
      </c>
      <c r="V152" s="169">
        <f>'Earnings Model (adjusted)'!V152-'Earnings Model'!V152</f>
        <v>8.3245628244613401E-3</v>
      </c>
      <c r="W152" s="169">
        <f>'Earnings Model (adjusted)'!W152-'Earnings Model'!W152</f>
        <v>1.1081459174789088E-2</v>
      </c>
      <c r="X152" s="169">
        <f>'Earnings Model (adjusted)'!X152-'Earnings Model'!X152</f>
        <v>1.0204422313063538E-2</v>
      </c>
      <c r="Y152" s="169">
        <f>'Earnings Model (adjusted)'!Y152-'Earnings Model'!Y152</f>
        <v>1.0312779112018722E-2</v>
      </c>
      <c r="Z152" s="169">
        <f>'Earnings Model (adjusted)'!Z152-'Earnings Model'!Z152</f>
        <v>1.0495337747253225E-2</v>
      </c>
      <c r="AA152" s="169">
        <f>'Earnings Model (adjusted)'!AA152-'Earnings Model'!AA152</f>
        <v>1.0073685759797862E-2</v>
      </c>
      <c r="AB152" s="169">
        <f>'Earnings Model (adjusted)'!AB152-'Earnings Model'!AB152</f>
        <v>1.0263358573145004E-2</v>
      </c>
      <c r="AC152" s="169">
        <f>'Earnings Model (adjusted)'!AC152-'Earnings Model'!AC152</f>
        <v>9.027993785718863E-3</v>
      </c>
      <c r="AD152" s="169">
        <f>'Earnings Model (adjusted)'!AD152-'Earnings Model'!AD152</f>
        <v>9.0885744976496319E-3</v>
      </c>
      <c r="AE152" s="169">
        <f>'Earnings Model (adjusted)'!AE152-'Earnings Model'!AE152</f>
        <v>9.2196883670103702E-3</v>
      </c>
      <c r="AF152" s="169">
        <f>'Earnings Model (adjusted)'!AF152-'Earnings Model'!AF152</f>
        <v>8.772404808477241E-3</v>
      </c>
      <c r="AG152" s="169">
        <f>'Earnings Model (adjusted)'!AG152-'Earnings Model'!AG152</f>
        <v>9.0093964382456926E-3</v>
      </c>
      <c r="AH152" s="169">
        <f>'Earnings Model (adjusted)'!AH152-'Earnings Model'!AH152</f>
        <v>9.9363030411341313E-3</v>
      </c>
      <c r="AI152" s="169">
        <f>'Earnings Model (adjusted)'!AI152-'Earnings Model'!AI152</f>
        <v>9.9912572828628199E-3</v>
      </c>
      <c r="AJ152" s="169">
        <f>'Earnings Model (adjusted)'!AJ152-'Earnings Model'!AJ152</f>
        <v>1.014422266897877E-2</v>
      </c>
      <c r="AK152" s="169">
        <f>'Earnings Model (adjusted)'!AK152-'Earnings Model'!AK152</f>
        <v>9.6675365857295803E-3</v>
      </c>
      <c r="AL152" s="169">
        <f>'Earnings Model (adjusted)'!AL152-'Earnings Model'!AL152</f>
        <v>9.9164154568036345E-3</v>
      </c>
      <c r="AM152" s="169">
        <f>'Earnings Model (adjusted)'!AM152-'Earnings Model'!AM152</f>
        <v>9.3160743717300709E-3</v>
      </c>
      <c r="AN152" s="169">
        <f>'Earnings Model (adjusted)'!AN152-'Earnings Model'!AN152</f>
        <v>9.3672685541536238E-3</v>
      </c>
      <c r="AO152" s="169">
        <f>'Earnings Model (adjusted)'!AO152-'Earnings Model'!AO152</f>
        <v>9.5674283788488301E-3</v>
      </c>
      <c r="AP152" s="169">
        <f>'Earnings Model (adjusted)'!AP152-'Earnings Model'!AP152</f>
        <v>9.1121567645709167E-3</v>
      </c>
      <c r="AQ152" s="169">
        <f>'Earnings Model (adjusted)'!AQ152-'Earnings Model'!AQ152</f>
        <v>9.3269587937372112E-3</v>
      </c>
    </row>
    <row r="153" spans="1:43" s="43" customFormat="1" outlineLevel="1" x14ac:dyDescent="0.25">
      <c r="A153" s="307"/>
      <c r="B153" s="595" t="s">
        <v>2</v>
      </c>
      <c r="C153" s="596"/>
      <c r="D153" s="53">
        <f t="shared" ref="D153:K153" si="109">D32/D31</f>
        <v>0.2124287933713101</v>
      </c>
      <c r="E153" s="53">
        <f t="shared" si="109"/>
        <v>0.1965853658536586</v>
      </c>
      <c r="F153" s="53">
        <f t="shared" si="109"/>
        <v>0.18110799689903978</v>
      </c>
      <c r="G153" s="285">
        <f t="shared" si="109"/>
        <v>0.20083682008368189</v>
      </c>
      <c r="H153" s="330">
        <f t="shared" si="109"/>
        <v>0.19515471765706843</v>
      </c>
      <c r="I153" s="285">
        <f t="shared" si="109"/>
        <v>0.22600104913446431</v>
      </c>
      <c r="J153" s="285">
        <f t="shared" si="109"/>
        <v>0.16760635571501836</v>
      </c>
      <c r="K153" s="285">
        <f t="shared" si="109"/>
        <v>0.16490147783251249</v>
      </c>
      <c r="L153" s="285">
        <v>0.25</v>
      </c>
      <c r="M153" s="330">
        <f>M32/M31</f>
        <v>0.20585709378220463</v>
      </c>
      <c r="N153" s="285">
        <f>N32/N31</f>
        <v>0.23023629840405785</v>
      </c>
      <c r="O153" s="285">
        <f t="shared" ref="O153:P153" si="110">O32/O31</f>
        <v>0.25901786717608721</v>
      </c>
      <c r="P153" s="285">
        <f t="shared" si="110"/>
        <v>0.18217246510309659</v>
      </c>
      <c r="Q153" s="169">
        <f>'Earnings Model (adjusted)'!Q153-'Earnings Model'!Q153</f>
        <v>0</v>
      </c>
      <c r="R153" s="169">
        <f>'Earnings Model (adjusted)'!R153-'Earnings Model'!R153</f>
        <v>-6.2102593224838687E-5</v>
      </c>
      <c r="S153" s="169">
        <f>'Earnings Model (adjusted)'!S153-'Earnings Model'!S153</f>
        <v>0</v>
      </c>
      <c r="T153" s="169">
        <f>'Earnings Model (adjusted)'!T153-'Earnings Model'!T153</f>
        <v>0</v>
      </c>
      <c r="U153" s="169">
        <f>'Earnings Model (adjusted)'!U153-'Earnings Model'!U153</f>
        <v>0</v>
      </c>
      <c r="V153" s="169">
        <f>'Earnings Model (adjusted)'!V153-'Earnings Model'!V153</f>
        <v>0</v>
      </c>
      <c r="W153" s="169">
        <f>'Earnings Model (adjusted)'!W153-'Earnings Model'!W153</f>
        <v>3.7215926775968633E-5</v>
      </c>
      <c r="X153" s="169">
        <f>'Earnings Model (adjusted)'!X153-'Earnings Model'!X153</f>
        <v>0</v>
      </c>
      <c r="Y153" s="169">
        <f>'Earnings Model (adjusted)'!Y153-'Earnings Model'!Y153</f>
        <v>0</v>
      </c>
      <c r="Z153" s="169">
        <f>'Earnings Model (adjusted)'!Z153-'Earnings Model'!Z153</f>
        <v>0</v>
      </c>
      <c r="AA153" s="169">
        <f>'Earnings Model (adjusted)'!AA153-'Earnings Model'!AA153</f>
        <v>0</v>
      </c>
      <c r="AB153" s="169">
        <f>'Earnings Model (adjusted)'!AB153-'Earnings Model'!AB153</f>
        <v>1.4643624865195992E-6</v>
      </c>
      <c r="AC153" s="169">
        <f>'Earnings Model (adjusted)'!AC153-'Earnings Model'!AC153</f>
        <v>0</v>
      </c>
      <c r="AD153" s="169">
        <f>'Earnings Model (adjusted)'!AD153-'Earnings Model'!AD153</f>
        <v>0</v>
      </c>
      <c r="AE153" s="169">
        <f>'Earnings Model (adjusted)'!AE153-'Earnings Model'!AE153</f>
        <v>0</v>
      </c>
      <c r="AF153" s="169">
        <f>'Earnings Model (adjusted)'!AF153-'Earnings Model'!AF153</f>
        <v>0</v>
      </c>
      <c r="AG153" s="169">
        <f>'Earnings Model (adjusted)'!AG153-'Earnings Model'!AG153</f>
        <v>1.2407809163450523E-7</v>
      </c>
      <c r="AH153" s="169">
        <f>'Earnings Model (adjusted)'!AH153-'Earnings Model'!AH153</f>
        <v>0</v>
      </c>
      <c r="AI153" s="169">
        <f>'Earnings Model (adjusted)'!AI153-'Earnings Model'!AI153</f>
        <v>0</v>
      </c>
      <c r="AJ153" s="169">
        <f>'Earnings Model (adjusted)'!AJ153-'Earnings Model'!AJ153</f>
        <v>0</v>
      </c>
      <c r="AK153" s="169">
        <f>'Earnings Model (adjusted)'!AK153-'Earnings Model'!AK153</f>
        <v>0</v>
      </c>
      <c r="AL153" s="169">
        <f>'Earnings Model (adjusted)'!AL153-'Earnings Model'!AL153</f>
        <v>-4.9786511663318933E-8</v>
      </c>
      <c r="AM153" s="169">
        <f>'Earnings Model (adjusted)'!AM153-'Earnings Model'!AM153</f>
        <v>0</v>
      </c>
      <c r="AN153" s="169">
        <f>'Earnings Model (adjusted)'!AN153-'Earnings Model'!AN153</f>
        <v>0</v>
      </c>
      <c r="AO153" s="169">
        <f>'Earnings Model (adjusted)'!AO153-'Earnings Model'!AO153</f>
        <v>0</v>
      </c>
      <c r="AP153" s="169">
        <f>'Earnings Model (adjusted)'!AP153-'Earnings Model'!AP153</f>
        <v>0</v>
      </c>
      <c r="AQ153" s="169">
        <f>'Earnings Model (adjusted)'!AQ153-'Earnings Model'!AQ153</f>
        <v>-2.0052073002041482E-8</v>
      </c>
    </row>
    <row r="154" spans="1:43" s="43" customFormat="1" outlineLevel="1" x14ac:dyDescent="0.25">
      <c r="A154" s="307"/>
      <c r="B154" s="595" t="s">
        <v>228</v>
      </c>
      <c r="C154" s="596"/>
      <c r="D154" s="53"/>
      <c r="E154" s="53">
        <f>+E29/((E187+E188+E193)+(D187+D188+D193)/2)</f>
        <v>3.0327214684756584E-3</v>
      </c>
      <c r="F154" s="53">
        <f>+F29/((F187+F188+F193)+(E187+E188+E193)/2)</f>
        <v>6.4321029136466161E-3</v>
      </c>
      <c r="G154" s="53">
        <f>+G29/((G187+G188+G193)+(F187+F188+F193)/2)</f>
        <v>2.9603261807251862E-3</v>
      </c>
      <c r="H154" s="55"/>
      <c r="I154" s="53">
        <f>+I29/((I187+I188+I193)+(G187+G188+G193)/2)</f>
        <v>3.3143988743550958E-3</v>
      </c>
      <c r="J154" s="53">
        <f>+J29/((J187+J188+J193)+(I187+I188+I193)/2)</f>
        <v>4.4659305324505627E-4</v>
      </c>
      <c r="K154" s="53">
        <f>+K29/((K187+K188+K193)+(J187+J188+J193)/2)</f>
        <v>2.1779393606804753E-3</v>
      </c>
      <c r="L154" s="53">
        <f>+L29/((L187+L188+L193)+(K187+K188+K193)/2)</f>
        <v>1.2911830642186198E-3</v>
      </c>
      <c r="M154" s="55">
        <f>+M29/((M187+M188+M193)+(H187+H188+H193)/2)</f>
        <v>6.2749436914687554E-3</v>
      </c>
      <c r="N154" s="53">
        <f>+N29/((N187+N188+N193)+(L187+L188+L193)/2)</f>
        <v>1.9686289451959073E-3</v>
      </c>
      <c r="O154" s="53">
        <f>+O29/((O187+O188+O193)+(N187+N188+N193)/2)</f>
        <v>2.465933063458573E-3</v>
      </c>
      <c r="P154" s="53">
        <f>+P29/((P187+P188+P193)+(O187+O188+O193)/2)</f>
        <v>4.9067713444553383E-3</v>
      </c>
      <c r="Q154" s="169">
        <f>'Earnings Model (adjusted)'!Q154-'Earnings Model'!Q154</f>
        <v>0</v>
      </c>
      <c r="R154" s="169">
        <f>'Earnings Model (adjusted)'!R154-'Earnings Model'!R154</f>
        <v>-7.1036055811683416E-5</v>
      </c>
      <c r="S154" s="169">
        <f>'Earnings Model (adjusted)'!S154-'Earnings Model'!S154</f>
        <v>0</v>
      </c>
      <c r="T154" s="169">
        <f>'Earnings Model (adjusted)'!T154-'Earnings Model'!T154</f>
        <v>0</v>
      </c>
      <c r="U154" s="169">
        <f>'Earnings Model (adjusted)'!U154-'Earnings Model'!U154</f>
        <v>0</v>
      </c>
      <c r="V154" s="169">
        <f>'Earnings Model (adjusted)'!V154-'Earnings Model'!V154</f>
        <v>0</v>
      </c>
      <c r="W154" s="169">
        <f>'Earnings Model (adjusted)'!W154-'Earnings Model'!W154</f>
        <v>-2.5613257350661812E-4</v>
      </c>
      <c r="X154" s="169">
        <f>'Earnings Model (adjusted)'!X154-'Earnings Model'!X154</f>
        <v>0</v>
      </c>
      <c r="Y154" s="169">
        <f>'Earnings Model (adjusted)'!Y154-'Earnings Model'!Y154</f>
        <v>0</v>
      </c>
      <c r="Z154" s="169">
        <f>'Earnings Model (adjusted)'!Z154-'Earnings Model'!Z154</f>
        <v>0</v>
      </c>
      <c r="AA154" s="169">
        <f>'Earnings Model (adjusted)'!AA154-'Earnings Model'!AA154</f>
        <v>0</v>
      </c>
      <c r="AB154" s="169">
        <f>'Earnings Model (adjusted)'!AB154-'Earnings Model'!AB154</f>
        <v>-6.2340758365208963E-4</v>
      </c>
      <c r="AC154" s="169">
        <f>'Earnings Model (adjusted)'!AC154-'Earnings Model'!AC154</f>
        <v>0</v>
      </c>
      <c r="AD154" s="169">
        <f>'Earnings Model (adjusted)'!AD154-'Earnings Model'!AD154</f>
        <v>0</v>
      </c>
      <c r="AE154" s="169">
        <f>'Earnings Model (adjusted)'!AE154-'Earnings Model'!AE154</f>
        <v>0</v>
      </c>
      <c r="AF154" s="169">
        <f>'Earnings Model (adjusted)'!AF154-'Earnings Model'!AF154</f>
        <v>0</v>
      </c>
      <c r="AG154" s="169">
        <f>'Earnings Model (adjusted)'!AG154-'Earnings Model'!AG154</f>
        <v>-5.8284776392224409E-4</v>
      </c>
      <c r="AH154" s="169">
        <f>'Earnings Model (adjusted)'!AH154-'Earnings Model'!AH154</f>
        <v>0</v>
      </c>
      <c r="AI154" s="169">
        <f>'Earnings Model (adjusted)'!AI154-'Earnings Model'!AI154</f>
        <v>0</v>
      </c>
      <c r="AJ154" s="169">
        <f>'Earnings Model (adjusted)'!AJ154-'Earnings Model'!AJ154</f>
        <v>0</v>
      </c>
      <c r="AK154" s="169">
        <f>'Earnings Model (adjusted)'!AK154-'Earnings Model'!AK154</f>
        <v>0</v>
      </c>
      <c r="AL154" s="169">
        <f>'Earnings Model (adjusted)'!AL154-'Earnings Model'!AL154</f>
        <v>-3.8949159204260814E-4</v>
      </c>
      <c r="AM154" s="169">
        <f>'Earnings Model (adjusted)'!AM154-'Earnings Model'!AM154</f>
        <v>0</v>
      </c>
      <c r="AN154" s="169">
        <f>'Earnings Model (adjusted)'!AN154-'Earnings Model'!AN154</f>
        <v>0</v>
      </c>
      <c r="AO154" s="169">
        <f>'Earnings Model (adjusted)'!AO154-'Earnings Model'!AO154</f>
        <v>0</v>
      </c>
      <c r="AP154" s="169">
        <f>'Earnings Model (adjusted)'!AP154-'Earnings Model'!AP154</f>
        <v>0</v>
      </c>
      <c r="AQ154" s="169">
        <f>'Earnings Model (adjusted)'!AQ154-'Earnings Model'!AQ154</f>
        <v>-2.6491382149166492E-4</v>
      </c>
    </row>
    <row r="155" spans="1:43" s="43" customFormat="1" outlineLevel="1" x14ac:dyDescent="0.25">
      <c r="A155" s="307"/>
      <c r="B155" s="595" t="s">
        <v>229</v>
      </c>
      <c r="C155" s="596"/>
      <c r="D155" s="53"/>
      <c r="E155" s="53">
        <f>-E30/((((E209+E212)+(D209+D212))/2))</f>
        <v>8.0557251242696429E-3</v>
      </c>
      <c r="F155" s="53">
        <f>-F30/((((F209+F212)+(E209+E212))/2))</f>
        <v>8.4807318557490342E-3</v>
      </c>
      <c r="G155" s="53">
        <f>-G30/((((G209+G212)+(F209+F212))/2))</f>
        <v>8.572925858076421E-3</v>
      </c>
      <c r="H155" s="55"/>
      <c r="I155" s="53">
        <f>-I30/((((I209+I212)+(G209+G212))/2))</f>
        <v>8.0554679008449908E-3</v>
      </c>
      <c r="J155" s="53">
        <f>-J30/((((J209+J212)+(I209+I212))/2))</f>
        <v>7.730372102084551E-3</v>
      </c>
      <c r="K155" s="53">
        <f>-K30/((((K209+K212)+(J209+J212))/2))</f>
        <v>7.8322294946980078E-3</v>
      </c>
      <c r="L155" s="53">
        <f>-L30/((((L209+L212)+(K209+K212))/2))</f>
        <v>7.5346594333936109E-3</v>
      </c>
      <c r="M155" s="55">
        <f>-M30/((((M209+M212)+(H209+H212))/2))</f>
        <v>3.1756877082932039E-2</v>
      </c>
      <c r="N155" s="53">
        <f>-N30/((((N209+N212)+(L209+L212))/2))</f>
        <v>7.481930548840208E-3</v>
      </c>
      <c r="O155" s="53">
        <f>-O30/((((O209+O212)+(N209+N212))/2))</f>
        <v>7.5250206938069089E-3</v>
      </c>
      <c r="P155" s="53">
        <f>-P30/((((P209+P212)+(O209+O212))/2))</f>
        <v>7.7494216976973845E-3</v>
      </c>
      <c r="Q155" s="169">
        <f>'Earnings Model (adjusted)'!Q155-'Earnings Model'!Q155</f>
        <v>0</v>
      </c>
      <c r="R155" s="169">
        <f>'Earnings Model (adjusted)'!R155-'Earnings Model'!R155</f>
        <v>0</v>
      </c>
      <c r="S155" s="169">
        <f>'Earnings Model (adjusted)'!S155-'Earnings Model'!S155</f>
        <v>0</v>
      </c>
      <c r="T155" s="169">
        <f>'Earnings Model (adjusted)'!T155-'Earnings Model'!T155</f>
        <v>0</v>
      </c>
      <c r="U155" s="169">
        <f>'Earnings Model (adjusted)'!U155-'Earnings Model'!U155</f>
        <v>0</v>
      </c>
      <c r="V155" s="169">
        <f>'Earnings Model (adjusted)'!V155-'Earnings Model'!V155</f>
        <v>0</v>
      </c>
      <c r="W155" s="169">
        <f>'Earnings Model (adjusted)'!W155-'Earnings Model'!W155</f>
        <v>0</v>
      </c>
      <c r="X155" s="169">
        <f>'Earnings Model (adjusted)'!X155-'Earnings Model'!X155</f>
        <v>0</v>
      </c>
      <c r="Y155" s="169">
        <f>'Earnings Model (adjusted)'!Y155-'Earnings Model'!Y155</f>
        <v>0</v>
      </c>
      <c r="Z155" s="169">
        <f>'Earnings Model (adjusted)'!Z155-'Earnings Model'!Z155</f>
        <v>0</v>
      </c>
      <c r="AA155" s="169">
        <f>'Earnings Model (adjusted)'!AA155-'Earnings Model'!AA155</f>
        <v>0</v>
      </c>
      <c r="AB155" s="169">
        <f>'Earnings Model (adjusted)'!AB155-'Earnings Model'!AB155</f>
        <v>0</v>
      </c>
      <c r="AC155" s="169">
        <f>'Earnings Model (adjusted)'!AC155-'Earnings Model'!AC155</f>
        <v>0</v>
      </c>
      <c r="AD155" s="169">
        <f>'Earnings Model (adjusted)'!AD155-'Earnings Model'!AD155</f>
        <v>0</v>
      </c>
      <c r="AE155" s="169">
        <f>'Earnings Model (adjusted)'!AE155-'Earnings Model'!AE155</f>
        <v>0</v>
      </c>
      <c r="AF155" s="169">
        <f>'Earnings Model (adjusted)'!AF155-'Earnings Model'!AF155</f>
        <v>0</v>
      </c>
      <c r="AG155" s="169">
        <f>'Earnings Model (adjusted)'!AG155-'Earnings Model'!AG155</f>
        <v>0</v>
      </c>
      <c r="AH155" s="169">
        <f>'Earnings Model (adjusted)'!AH155-'Earnings Model'!AH155</f>
        <v>0</v>
      </c>
      <c r="AI155" s="169">
        <f>'Earnings Model (adjusted)'!AI155-'Earnings Model'!AI155</f>
        <v>0</v>
      </c>
      <c r="AJ155" s="169">
        <f>'Earnings Model (adjusted)'!AJ155-'Earnings Model'!AJ155</f>
        <v>0</v>
      </c>
      <c r="AK155" s="169">
        <f>'Earnings Model (adjusted)'!AK155-'Earnings Model'!AK155</f>
        <v>0</v>
      </c>
      <c r="AL155" s="169">
        <f>'Earnings Model (adjusted)'!AL155-'Earnings Model'!AL155</f>
        <v>0</v>
      </c>
      <c r="AM155" s="169">
        <f>'Earnings Model (adjusted)'!AM155-'Earnings Model'!AM155</f>
        <v>0</v>
      </c>
      <c r="AN155" s="169">
        <f>'Earnings Model (adjusted)'!AN155-'Earnings Model'!AN155</f>
        <v>0</v>
      </c>
      <c r="AO155" s="169">
        <f>'Earnings Model (adjusted)'!AO155-'Earnings Model'!AO155</f>
        <v>0</v>
      </c>
      <c r="AP155" s="169">
        <f>'Earnings Model (adjusted)'!AP155-'Earnings Model'!AP155</f>
        <v>0</v>
      </c>
      <c r="AQ155" s="169">
        <f>'Earnings Model (adjusted)'!AQ155-'Earnings Model'!AQ155</f>
        <v>0</v>
      </c>
    </row>
    <row r="156" spans="1:43" s="43" customFormat="1" outlineLevel="1" x14ac:dyDescent="0.25">
      <c r="A156" s="307"/>
      <c r="B156" s="539" t="s">
        <v>316</v>
      </c>
      <c r="C156" s="540"/>
      <c r="D156" s="53"/>
      <c r="E156" s="53"/>
      <c r="F156" s="53"/>
      <c r="G156" s="53"/>
      <c r="H156" s="55"/>
      <c r="I156" s="53">
        <f t="shared" ref="I156:P156" si="111">I42/D42-1</f>
        <v>5.9389868457878192E-2</v>
      </c>
      <c r="J156" s="53">
        <f t="shared" si="111"/>
        <v>-0.47460546003783222</v>
      </c>
      <c r="K156" s="53">
        <f t="shared" si="111"/>
        <v>-1.5922286955663072</v>
      </c>
      <c r="L156" s="277">
        <f t="shared" si="111"/>
        <v>-0.26631134736842188</v>
      </c>
      <c r="M156" s="330">
        <f t="shared" si="111"/>
        <v>-0.59372113780519853</v>
      </c>
      <c r="N156" s="277">
        <f t="shared" si="111"/>
        <v>-0.23228377390823718</v>
      </c>
      <c r="O156" s="277">
        <f t="shared" si="111"/>
        <v>0.96992458477270005</v>
      </c>
      <c r="P156" s="277">
        <f t="shared" si="111"/>
        <v>-3.1776350920116565</v>
      </c>
      <c r="Q156" s="169">
        <f>'Earnings Model (adjusted)'!Q156-'Earnings Model'!Q156</f>
        <v>6.0306506703102336E-2</v>
      </c>
      <c r="R156" s="169">
        <f>'Earnings Model (adjusted)'!R156-'Earnings Model'!R156</f>
        <v>2.6713059365077285E-2</v>
      </c>
      <c r="S156" s="169">
        <f>'Earnings Model (adjusted)'!S156-'Earnings Model'!S156</f>
        <v>0.11879227167761641</v>
      </c>
      <c r="T156" s="169">
        <f>'Earnings Model (adjusted)'!T156-'Earnings Model'!T156</f>
        <v>0.1126941137840447</v>
      </c>
      <c r="U156" s="169">
        <f>'Earnings Model (adjusted)'!U156-'Earnings Model'!U156</f>
        <v>7.5442154302376885E-2</v>
      </c>
      <c r="V156" s="169">
        <f>'Earnings Model (adjusted)'!V156-'Earnings Model'!V156</f>
        <v>2.083234855556193E-2</v>
      </c>
      <c r="W156" s="169">
        <f>'Earnings Model (adjusted)'!W156-'Earnings Model'!W156</f>
        <v>7.4143649444426307E-2</v>
      </c>
      <c r="X156" s="169">
        <f>'Earnings Model (adjusted)'!X156-'Earnings Model'!X156</f>
        <v>-1.1704114973702051E-2</v>
      </c>
      <c r="Y156" s="169">
        <f>'Earnings Model (adjusted)'!Y156-'Earnings Model'!Y156</f>
        <v>-1.2273977521255031E-2</v>
      </c>
      <c r="Z156" s="169">
        <f>'Earnings Model (adjusted)'!Z156-'Earnings Model'!Z156</f>
        <v>-5.9191728066274596E-3</v>
      </c>
      <c r="AA156" s="169">
        <f>'Earnings Model (adjusted)'!AA156-'Earnings Model'!AA156</f>
        <v>9.4528097861341642E-3</v>
      </c>
      <c r="AB156" s="169">
        <f>'Earnings Model (adjusted)'!AB156-'Earnings Model'!AB156</f>
        <v>-4.0627990078023757E-3</v>
      </c>
      <c r="AC156" s="169">
        <f>'Earnings Model (adjusted)'!AC156-'Earnings Model'!AC156</f>
        <v>-4.0788121071531069E-3</v>
      </c>
      <c r="AD156" s="169">
        <f>'Earnings Model (adjusted)'!AD156-'Earnings Model'!AD156</f>
        <v>-5.3745121622230663E-3</v>
      </c>
      <c r="AE156" s="169">
        <f>'Earnings Model (adjusted)'!AE156-'Earnings Model'!AE156</f>
        <v>-8.5996745438896571E-3</v>
      </c>
      <c r="AF156" s="169">
        <f>'Earnings Model (adjusted)'!AF156-'Earnings Model'!AF156</f>
        <v>-1.0858429019090288E-2</v>
      </c>
      <c r="AG156" s="169">
        <f>'Earnings Model (adjusted)'!AG156-'Earnings Model'!AG156</f>
        <v>-7.374054539604602E-3</v>
      </c>
      <c r="AH156" s="169">
        <f>'Earnings Model (adjusted)'!AH156-'Earnings Model'!AH156</f>
        <v>7.2747234130725591E-3</v>
      </c>
      <c r="AI156" s="169">
        <f>'Earnings Model (adjusted)'!AI156-'Earnings Model'!AI156</f>
        <v>7.4254407614682272E-3</v>
      </c>
      <c r="AJ156" s="169">
        <f>'Earnings Model (adjusted)'!AJ156-'Earnings Model'!AJ156</f>
        <v>4.6871813987652278E-3</v>
      </c>
      <c r="AK156" s="169">
        <f>'Earnings Model (adjusted)'!AK156-'Earnings Model'!AK156</f>
        <v>4.3731290076503004E-3</v>
      </c>
      <c r="AL156" s="169">
        <f>'Earnings Model (adjusted)'!AL156-'Earnings Model'!AL156</f>
        <v>5.8801016758218694E-3</v>
      </c>
      <c r="AM156" s="169">
        <f>'Earnings Model (adjusted)'!AM156-'Earnings Model'!AM156</f>
        <v>-4.3755125696449682E-3</v>
      </c>
      <c r="AN156" s="169">
        <f>'Earnings Model (adjusted)'!AN156-'Earnings Model'!AN156</f>
        <v>-4.7803332845790525E-3</v>
      </c>
      <c r="AO156" s="169">
        <f>'Earnings Model (adjusted)'!AO156-'Earnings Model'!AO156</f>
        <v>-3.9385170552970195E-3</v>
      </c>
      <c r="AP156" s="169">
        <f>'Earnings Model (adjusted)'!AP156-'Earnings Model'!AP156</f>
        <v>-3.2454281339699964E-3</v>
      </c>
      <c r="AQ156" s="169">
        <f>'Earnings Model (adjusted)'!AQ156-'Earnings Model'!AQ156</f>
        <v>-4.007021900425789E-3</v>
      </c>
    </row>
    <row r="157" spans="1:43" s="43" customFormat="1" outlineLevel="1" x14ac:dyDescent="0.25">
      <c r="A157" s="307"/>
      <c r="B157" s="539" t="s">
        <v>317</v>
      </c>
      <c r="C157" s="540"/>
      <c r="D157" s="53"/>
      <c r="E157" s="53"/>
      <c r="F157" s="53"/>
      <c r="G157" s="53"/>
      <c r="H157" s="55"/>
      <c r="I157" s="53">
        <f>I260/D260-1</f>
        <v>-0.22820512820512895</v>
      </c>
      <c r="J157" s="53">
        <f t="shared" ref="J157:P157" si="112">J260/E260-1</f>
        <v>-4.4869364754098413</v>
      </c>
      <c r="K157" s="53">
        <f t="shared" si="112"/>
        <v>-1.314434752864716</v>
      </c>
      <c r="L157" s="277">
        <f t="shared" si="112"/>
        <v>0.34527569713924766</v>
      </c>
      <c r="M157" s="330">
        <f t="shared" si="112"/>
        <v>-0.68340961778517451</v>
      </c>
      <c r="N157" s="277">
        <f t="shared" si="112"/>
        <v>-2.1785305811139466E-4</v>
      </c>
      <c r="O157" s="277">
        <f t="shared" si="112"/>
        <v>-1.649232351428781</v>
      </c>
      <c r="P157" s="277">
        <f t="shared" si="112"/>
        <v>-5.7565950503127619</v>
      </c>
      <c r="Q157" s="169">
        <f>'Earnings Model (adjusted)'!Q157-'Earnings Model'!Q157</f>
        <v>2.9950809983343318E-2</v>
      </c>
      <c r="R157" s="169">
        <f>'Earnings Model (adjusted)'!R157-'Earnings Model'!R157</f>
        <v>2.79432172000047E-2</v>
      </c>
      <c r="S157" s="169">
        <f>'Earnings Model (adjusted)'!S157-'Earnings Model'!S157</f>
        <v>3.9396715899197465E-2</v>
      </c>
      <c r="T157" s="169">
        <f>'Earnings Model (adjusted)'!T157-'Earnings Model'!T157</f>
        <v>9.5507881751700996E-2</v>
      </c>
      <c r="U157" s="169">
        <f>'Earnings Model (adjusted)'!U157-'Earnings Model'!U157</f>
        <v>5.5137359562028365E-2</v>
      </c>
      <c r="V157" s="169">
        <f>'Earnings Model (adjusted)'!V157-'Earnings Model'!V157</f>
        <v>-1.3225532956790964E-3</v>
      </c>
      <c r="W157" s="169">
        <f>'Earnings Model (adjusted)'!W157-'Earnings Model'!W157</f>
        <v>4.3801323500451073E-2</v>
      </c>
      <c r="X157" s="169">
        <f>'Earnings Model (adjusted)'!X157-'Earnings Model'!X157</f>
        <v>5.4188880109236059E-3</v>
      </c>
      <c r="Y157" s="169">
        <f>'Earnings Model (adjusted)'!Y157-'Earnings Model'!Y157</f>
        <v>-9.9497886387880374E-3</v>
      </c>
      <c r="Z157" s="169">
        <f>'Earnings Model (adjusted)'!Z157-'Earnings Model'!Z157</f>
        <v>-9.3375313926258308E-3</v>
      </c>
      <c r="AA157" s="169">
        <f>'Earnings Model (adjusted)'!AA157-'Earnings Model'!AA157</f>
        <v>5.7110645566485041E-2</v>
      </c>
      <c r="AB157" s="169">
        <f>'Earnings Model (adjusted)'!AB157-'Earnings Model'!AB157</f>
        <v>8.2953932945928344E-3</v>
      </c>
      <c r="AC157" s="169">
        <f>'Earnings Model (adjusted)'!AC157-'Earnings Model'!AC157</f>
        <v>-6.2270690558170472E-3</v>
      </c>
      <c r="AD157" s="169">
        <f>'Earnings Model (adjusted)'!AD157-'Earnings Model'!AD157</f>
        <v>-5.9491875317823073E-3</v>
      </c>
      <c r="AE157" s="169">
        <f>'Earnings Model (adjusted)'!AE157-'Earnings Model'!AE157</f>
        <v>-6.421408555860042E-3</v>
      </c>
      <c r="AF157" s="169">
        <f>'Earnings Model (adjusted)'!AF157-'Earnings Model'!AF157</f>
        <v>-1.2829181326370676E-2</v>
      </c>
      <c r="AG157" s="169">
        <f>'Earnings Model (adjusted)'!AG157-'Earnings Model'!AG157</f>
        <v>-8.2038873491445674E-3</v>
      </c>
      <c r="AH157" s="169">
        <f>'Earnings Model (adjusted)'!AH157-'Earnings Model'!AH157</f>
        <v>8.9090457608176354E-3</v>
      </c>
      <c r="AI157" s="169">
        <f>'Earnings Model (adjusted)'!AI157-'Earnings Model'!AI157</f>
        <v>7.7018359480829357E-3</v>
      </c>
      <c r="AJ157" s="169">
        <f>'Earnings Model (adjusted)'!AJ157-'Earnings Model'!AJ157</f>
        <v>2.6911693533662184E-3</v>
      </c>
      <c r="AK157" s="169">
        <f>'Earnings Model (adjusted)'!AK157-'Earnings Model'!AK157</f>
        <v>-9.6672888749349539E-4</v>
      </c>
      <c r="AL157" s="169">
        <f>'Earnings Model (adjusted)'!AL157-'Earnings Model'!AL157</f>
        <v>5.7723525086283978E-3</v>
      </c>
      <c r="AM157" s="169">
        <f>'Earnings Model (adjusted)'!AM157-'Earnings Model'!AM157</f>
        <v>-3.7951803997415823E-4</v>
      </c>
      <c r="AN157" s="169">
        <f>'Earnings Model (adjusted)'!AN157-'Earnings Model'!AN157</f>
        <v>-3.7178743886738808E-3</v>
      </c>
      <c r="AO157" s="169">
        <f>'Earnings Model (adjusted)'!AO157-'Earnings Model'!AO157</f>
        <v>-5.6492444848028622E-3</v>
      </c>
      <c r="AP157" s="169">
        <f>'Earnings Model (adjusted)'!AP157-'Earnings Model'!AP157</f>
        <v>-5.4026689028241481E-3</v>
      </c>
      <c r="AQ157" s="169">
        <f>'Earnings Model (adjusted)'!AQ157-'Earnings Model'!AQ157</f>
        <v>-3.166702241726993E-3</v>
      </c>
    </row>
    <row r="158" spans="1:43" s="43" customFormat="1" outlineLevel="1" x14ac:dyDescent="0.25">
      <c r="A158" s="307"/>
      <c r="B158" s="539" t="s">
        <v>318</v>
      </c>
      <c r="C158" s="540"/>
      <c r="D158" s="53"/>
      <c r="E158" s="53"/>
      <c r="F158" s="53"/>
      <c r="G158" s="53"/>
      <c r="H158" s="55"/>
      <c r="I158" s="53">
        <f>I280/D280-1</f>
        <v>-0.24171750450899188</v>
      </c>
      <c r="J158" s="53">
        <f>J280/E280-1</f>
        <v>-33.453989933677448</v>
      </c>
      <c r="K158" s="53">
        <f t="shared" ref="K158:P158" si="113">K280/F280-1</f>
        <v>-1.7639678308907127</v>
      </c>
      <c r="L158" s="277">
        <f t="shared" si="113"/>
        <v>0.87416525188253669</v>
      </c>
      <c r="M158" s="330">
        <f t="shared" si="113"/>
        <v>-0.84567973555230591</v>
      </c>
      <c r="N158" s="277">
        <f t="shared" si="113"/>
        <v>6.4224699752012393E-2</v>
      </c>
      <c r="O158" s="277">
        <f t="shared" si="113"/>
        <v>-1.4151710838766089</v>
      </c>
      <c r="P158" s="277">
        <f t="shared" si="113"/>
        <v>-3.4316192734058633</v>
      </c>
      <c r="Q158" s="169">
        <f>'Earnings Model (adjusted)'!Q158-'Earnings Model'!Q158</f>
        <v>3.5899758299622997E-2</v>
      </c>
      <c r="R158" s="169">
        <f>'Earnings Model (adjusted)'!R158-'Earnings Model'!R158</f>
        <v>9.7056690431019277E-2</v>
      </c>
      <c r="S158" s="169">
        <f>'Earnings Model (adjusted)'!S158-'Earnings Model'!S158</f>
        <v>4.1766166010062111E-2</v>
      </c>
      <c r="T158" s="169">
        <f>'Earnings Model (adjusted)'!T158-'Earnings Model'!T158</f>
        <v>0.12194814435522072</v>
      </c>
      <c r="U158" s="169">
        <f>'Earnings Model (adjusted)'!U158-'Earnings Model'!U158</f>
        <v>6.2305881274680841E-2</v>
      </c>
      <c r="V158" s="169">
        <f>'Earnings Model (adjusted)'!V158-'Earnings Model'!V158</f>
        <v>-5.2013480595215933E-2</v>
      </c>
      <c r="W158" s="169">
        <f>'Earnings Model (adjusted)'!W158-'Earnings Model'!W158</f>
        <v>5.4047619202777453E-2</v>
      </c>
      <c r="X158" s="169">
        <f>'Earnings Model (adjusted)'!X158-'Earnings Model'!X158</f>
        <v>6.0050259835338071E-3</v>
      </c>
      <c r="Y158" s="169">
        <f>'Earnings Model (adjusted)'!Y158-'Earnings Model'!Y158</f>
        <v>-2.6141543619043306E-2</v>
      </c>
      <c r="Z158" s="169">
        <f>'Earnings Model (adjusted)'!Z158-'Earnings Model'!Z158</f>
        <v>-1.2296113482613391E-2</v>
      </c>
      <c r="AA158" s="169">
        <f>'Earnings Model (adjusted)'!AA158-'Earnings Model'!AA158</f>
        <v>9.7088466987026001E-2</v>
      </c>
      <c r="AB158" s="169">
        <f>'Earnings Model (adjusted)'!AB158-'Earnings Model'!AB158</f>
        <v>1.0584575362648119E-2</v>
      </c>
      <c r="AC158" s="169">
        <f>'Earnings Model (adjusted)'!AC158-'Earnings Model'!AC158</f>
        <v>-8.5002740240138763E-3</v>
      </c>
      <c r="AD158" s="169">
        <f>'Earnings Model (adjusted)'!AD158-'Earnings Model'!AD158</f>
        <v>-1.5696941339686798E-2</v>
      </c>
      <c r="AE158" s="169">
        <f>'Earnings Model (adjusted)'!AE158-'Earnings Model'!AE158</f>
        <v>-9.9108925548394566E-3</v>
      </c>
      <c r="AF158" s="169">
        <f>'Earnings Model (adjusted)'!AF158-'Earnings Model'!AF158</f>
        <v>-1.0657309979014928E-2</v>
      </c>
      <c r="AG158" s="169">
        <f>'Earnings Model (adjusted)'!AG158-'Earnings Model'!AG158</f>
        <v>-1.2715520109779721E-2</v>
      </c>
      <c r="AH158" s="169">
        <f>'Earnings Model (adjusted)'!AH158-'Earnings Model'!AH158</f>
        <v>9.9778305389339739E-3</v>
      </c>
      <c r="AI158" s="169">
        <f>'Earnings Model (adjusted)'!AI158-'Earnings Model'!AI158</f>
        <v>1.0201313241759991E-2</v>
      </c>
      <c r="AJ158" s="169">
        <f>'Earnings Model (adjusted)'!AJ158-'Earnings Model'!AJ158</f>
        <v>3.6789252419973106E-3</v>
      </c>
      <c r="AK158" s="169">
        <f>'Earnings Model (adjusted)'!AK158-'Earnings Model'!AK158</f>
        <v>-5.2118526204143478E-3</v>
      </c>
      <c r="AL158" s="169">
        <f>'Earnings Model (adjusted)'!AL158-'Earnings Model'!AL158</f>
        <v>7.3271266032037818E-3</v>
      </c>
      <c r="AM158" s="169">
        <f>'Earnings Model (adjusted)'!AM158-'Earnings Model'!AM158</f>
        <v>-2.2813260578358197E-4</v>
      </c>
      <c r="AN158" s="169">
        <f>'Earnings Model (adjusted)'!AN158-'Earnings Model'!AN158</f>
        <v>-4.5938014057853582E-3</v>
      </c>
      <c r="AO158" s="169">
        <f>'Earnings Model (adjusted)'!AO158-'Earnings Model'!AO158</f>
        <v>-6.9271077475869802E-3</v>
      </c>
      <c r="AP158" s="169">
        <f>'Earnings Model (adjusted)'!AP158-'Earnings Model'!AP158</f>
        <v>-8.3366409750424975E-3</v>
      </c>
      <c r="AQ158" s="169">
        <f>'Earnings Model (adjusted)'!AQ158-'Earnings Model'!AQ158</f>
        <v>-3.7397981053353124E-3</v>
      </c>
    </row>
    <row r="159" spans="1:43" ht="18" x14ac:dyDescent="0.4">
      <c r="A159" s="254"/>
      <c r="B159" s="565" t="s">
        <v>306</v>
      </c>
      <c r="C159" s="566"/>
      <c r="D159" s="32" t="s">
        <v>119</v>
      </c>
      <c r="E159" s="32" t="s">
        <v>243</v>
      </c>
      <c r="F159" s="32" t="s">
        <v>247</v>
      </c>
      <c r="G159" s="32" t="s">
        <v>257</v>
      </c>
      <c r="H159" s="86" t="s">
        <v>258</v>
      </c>
      <c r="I159" s="32" t="s">
        <v>259</v>
      </c>
      <c r="J159" s="32" t="s">
        <v>260</v>
      </c>
      <c r="K159" s="32" t="s">
        <v>261</v>
      </c>
      <c r="L159" s="32" t="s">
        <v>322</v>
      </c>
      <c r="M159" s="86" t="s">
        <v>333</v>
      </c>
      <c r="N159" s="32" t="s">
        <v>339</v>
      </c>
      <c r="O159" s="32" t="s">
        <v>347</v>
      </c>
      <c r="P159" s="32" t="s">
        <v>349</v>
      </c>
      <c r="Q159" s="169" t="e">
        <f>'Earnings Model (adjusted)'!Q159-'Earnings Model'!Q159</f>
        <v>#VALUE!</v>
      </c>
      <c r="R159" s="169" t="e">
        <f>'Earnings Model (adjusted)'!R159-'Earnings Model'!R159</f>
        <v>#VALUE!</v>
      </c>
      <c r="S159" s="169" t="e">
        <f>'Earnings Model (adjusted)'!S159-'Earnings Model'!S159</f>
        <v>#VALUE!</v>
      </c>
      <c r="T159" s="169" t="e">
        <f>'Earnings Model (adjusted)'!T159-'Earnings Model'!T159</f>
        <v>#VALUE!</v>
      </c>
      <c r="U159" s="169" t="e">
        <f>'Earnings Model (adjusted)'!U159-'Earnings Model'!U159</f>
        <v>#VALUE!</v>
      </c>
      <c r="V159" s="169" t="e">
        <f>'Earnings Model (adjusted)'!V159-'Earnings Model'!V159</f>
        <v>#VALUE!</v>
      </c>
      <c r="W159" s="169" t="e">
        <f>'Earnings Model (adjusted)'!W159-'Earnings Model'!W159</f>
        <v>#VALUE!</v>
      </c>
      <c r="X159" s="169" t="e">
        <f>'Earnings Model (adjusted)'!X159-'Earnings Model'!X159</f>
        <v>#VALUE!</v>
      </c>
      <c r="Y159" s="169" t="e">
        <f>'Earnings Model (adjusted)'!Y159-'Earnings Model'!Y159</f>
        <v>#VALUE!</v>
      </c>
      <c r="Z159" s="169" t="e">
        <f>'Earnings Model (adjusted)'!Z159-'Earnings Model'!Z159</f>
        <v>#VALUE!</v>
      </c>
      <c r="AA159" s="169" t="e">
        <f>'Earnings Model (adjusted)'!AA159-'Earnings Model'!AA159</f>
        <v>#VALUE!</v>
      </c>
      <c r="AB159" s="169" t="e">
        <f>'Earnings Model (adjusted)'!AB159-'Earnings Model'!AB159</f>
        <v>#VALUE!</v>
      </c>
      <c r="AC159" s="169" t="e">
        <f>'Earnings Model (adjusted)'!AC159-'Earnings Model'!AC159</f>
        <v>#VALUE!</v>
      </c>
      <c r="AD159" s="169" t="e">
        <f>'Earnings Model (adjusted)'!AD159-'Earnings Model'!AD159</f>
        <v>#VALUE!</v>
      </c>
      <c r="AE159" s="169" t="e">
        <f>'Earnings Model (adjusted)'!AE159-'Earnings Model'!AE159</f>
        <v>#VALUE!</v>
      </c>
      <c r="AF159" s="169" t="e">
        <f>'Earnings Model (adjusted)'!AF159-'Earnings Model'!AF159</f>
        <v>#VALUE!</v>
      </c>
      <c r="AG159" s="169" t="e">
        <f>'Earnings Model (adjusted)'!AG159-'Earnings Model'!AG159</f>
        <v>#VALUE!</v>
      </c>
      <c r="AH159" s="169" t="e">
        <f>'Earnings Model (adjusted)'!AH159-'Earnings Model'!AH159</f>
        <v>#VALUE!</v>
      </c>
      <c r="AI159" s="169" t="e">
        <f>'Earnings Model (adjusted)'!AI159-'Earnings Model'!AI159</f>
        <v>#VALUE!</v>
      </c>
      <c r="AJ159" s="169" t="e">
        <f>'Earnings Model (adjusted)'!AJ159-'Earnings Model'!AJ159</f>
        <v>#VALUE!</v>
      </c>
      <c r="AK159" s="169" t="e">
        <f>'Earnings Model (adjusted)'!AK159-'Earnings Model'!AK159</f>
        <v>#VALUE!</v>
      </c>
      <c r="AL159" s="169" t="e">
        <f>'Earnings Model (adjusted)'!AL159-'Earnings Model'!AL159</f>
        <v>#VALUE!</v>
      </c>
      <c r="AM159" s="169" t="e">
        <f>'Earnings Model (adjusted)'!AM159-'Earnings Model'!AM159</f>
        <v>#VALUE!</v>
      </c>
      <c r="AN159" s="169" t="e">
        <f>'Earnings Model (adjusted)'!AN159-'Earnings Model'!AN159</f>
        <v>#VALUE!</v>
      </c>
      <c r="AO159" s="169" t="e">
        <f>'Earnings Model (adjusted)'!AO159-'Earnings Model'!AO159</f>
        <v>#VALUE!</v>
      </c>
      <c r="AP159" s="169" t="e">
        <f>'Earnings Model (adjusted)'!AP159-'Earnings Model'!AP159</f>
        <v>#VALUE!</v>
      </c>
      <c r="AQ159" s="169" t="e">
        <f>'Earnings Model (adjusted)'!AQ159-'Earnings Model'!AQ159</f>
        <v>#VALUE!</v>
      </c>
    </row>
    <row r="160" spans="1:43" outlineLevel="1" x14ac:dyDescent="0.25">
      <c r="A160" s="254"/>
      <c r="B160" s="595" t="s">
        <v>51</v>
      </c>
      <c r="C160" s="596"/>
      <c r="D160" s="53"/>
      <c r="E160" s="53">
        <f>(E38+E164+E167+E170)/D38-1</f>
        <v>2.777764747303535E-2</v>
      </c>
      <c r="F160" s="53">
        <f>(F38+F164+F167+F170)/E38-1</f>
        <v>-1.7269004124131682E-2</v>
      </c>
      <c r="G160" s="53">
        <f>(G38+G164+G167+G170)/F38-1</f>
        <v>1.9258933156590885E-2</v>
      </c>
      <c r="H160" s="21"/>
      <c r="I160" s="53">
        <f>(I38+I164+I167+I170)/G38-1</f>
        <v>-1.436336111538794E-2</v>
      </c>
      <c r="J160" s="53">
        <f>(J38+J164+J167+J170)/I38-1</f>
        <v>-1.1333810572689007E-3</v>
      </c>
      <c r="K160" s="53">
        <f>(K38+K164+K167+K170)/J38-1</f>
        <v>-2.8161802355349819E-3</v>
      </c>
      <c r="L160" s="53">
        <f>(L38+L164+L167+L170)/K38-1</f>
        <v>-9.5210569021197955E-4</v>
      </c>
      <c r="M160" s="21"/>
      <c r="N160" s="277">
        <v>-1.4291996843950673E-2</v>
      </c>
      <c r="O160" s="53">
        <f>(O38+O164+O167+O170)/N38-1</f>
        <v>2.1276595744681437E-3</v>
      </c>
      <c r="P160" s="53">
        <f>(P38+P164+P167+P170)/O38-1</f>
        <v>8.4925690021231404E-4</v>
      </c>
      <c r="Q160" s="169">
        <f>'Earnings Model (adjusted)'!Q160-'Earnings Model'!Q160</f>
        <v>0</v>
      </c>
      <c r="R160" s="169">
        <f>'Earnings Model (adjusted)'!R160-'Earnings Model'!R160</f>
        <v>0</v>
      </c>
      <c r="S160" s="169">
        <f>'Earnings Model (adjusted)'!S160-'Earnings Model'!S160</f>
        <v>0</v>
      </c>
      <c r="T160" s="169">
        <f>'Earnings Model (adjusted)'!T160-'Earnings Model'!T160</f>
        <v>0</v>
      </c>
      <c r="U160" s="169">
        <f>'Earnings Model (adjusted)'!U160-'Earnings Model'!U160</f>
        <v>0</v>
      </c>
      <c r="V160" s="169">
        <f>'Earnings Model (adjusted)'!V160-'Earnings Model'!V160</f>
        <v>0</v>
      </c>
      <c r="W160" s="169">
        <f>'Earnings Model (adjusted)'!W160-'Earnings Model'!W160</f>
        <v>0</v>
      </c>
      <c r="X160" s="169">
        <f>'Earnings Model (adjusted)'!X160-'Earnings Model'!X160</f>
        <v>0</v>
      </c>
      <c r="Y160" s="169">
        <f>'Earnings Model (adjusted)'!Y160-'Earnings Model'!Y160</f>
        <v>0</v>
      </c>
      <c r="Z160" s="169">
        <f>'Earnings Model (adjusted)'!Z160-'Earnings Model'!Z160</f>
        <v>0</v>
      </c>
      <c r="AA160" s="169">
        <f>'Earnings Model (adjusted)'!AA160-'Earnings Model'!AA160</f>
        <v>0</v>
      </c>
      <c r="AB160" s="169">
        <f>'Earnings Model (adjusted)'!AB160-'Earnings Model'!AB160</f>
        <v>0</v>
      </c>
      <c r="AC160" s="169">
        <f>'Earnings Model (adjusted)'!AC160-'Earnings Model'!AC160</f>
        <v>0</v>
      </c>
      <c r="AD160" s="169">
        <f>'Earnings Model (adjusted)'!AD160-'Earnings Model'!AD160</f>
        <v>0</v>
      </c>
      <c r="AE160" s="169">
        <f>'Earnings Model (adjusted)'!AE160-'Earnings Model'!AE160</f>
        <v>0</v>
      </c>
      <c r="AF160" s="169">
        <f>'Earnings Model (adjusted)'!AF160-'Earnings Model'!AF160</f>
        <v>0</v>
      </c>
      <c r="AG160" s="169">
        <f>'Earnings Model (adjusted)'!AG160-'Earnings Model'!AG160</f>
        <v>0</v>
      </c>
      <c r="AH160" s="169">
        <f>'Earnings Model (adjusted)'!AH160-'Earnings Model'!AH160</f>
        <v>0</v>
      </c>
      <c r="AI160" s="169">
        <f>'Earnings Model (adjusted)'!AI160-'Earnings Model'!AI160</f>
        <v>0</v>
      </c>
      <c r="AJ160" s="169">
        <f>'Earnings Model (adjusted)'!AJ160-'Earnings Model'!AJ160</f>
        <v>0</v>
      </c>
      <c r="AK160" s="169">
        <f>'Earnings Model (adjusted)'!AK160-'Earnings Model'!AK160</f>
        <v>0</v>
      </c>
      <c r="AL160" s="169">
        <f>'Earnings Model (adjusted)'!AL160-'Earnings Model'!AL160</f>
        <v>0</v>
      </c>
      <c r="AM160" s="169">
        <f>'Earnings Model (adjusted)'!AM160-'Earnings Model'!AM160</f>
        <v>0</v>
      </c>
      <c r="AN160" s="169">
        <f>'Earnings Model (adjusted)'!AN160-'Earnings Model'!AN160</f>
        <v>0</v>
      </c>
      <c r="AO160" s="169">
        <f>'Earnings Model (adjusted)'!AO160-'Earnings Model'!AO160</f>
        <v>0</v>
      </c>
      <c r="AP160" s="169">
        <f>'Earnings Model (adjusted)'!AP160-'Earnings Model'!AP160</f>
        <v>0</v>
      </c>
      <c r="AQ160" s="169">
        <f>'Earnings Model (adjusted)'!AQ160-'Earnings Model'!AQ160</f>
        <v>0</v>
      </c>
    </row>
    <row r="161" spans="1:43" outlineLevel="1" x14ac:dyDescent="0.25">
      <c r="A161" s="254"/>
      <c r="B161" s="595" t="s">
        <v>52</v>
      </c>
      <c r="C161" s="596"/>
      <c r="D161" s="53"/>
      <c r="E161" s="53">
        <f>(E39+E164+E167+E170)/D39-1</f>
        <v>2.7604785512613583E-2</v>
      </c>
      <c r="F161" s="53">
        <f>(F39+F164+F167+F170)/E39-1</f>
        <v>-1.6710442080933863E-2</v>
      </c>
      <c r="G161" s="53">
        <f>(G39+G164+G167+G170)/F39-1</f>
        <v>1.9089589576967603E-2</v>
      </c>
      <c r="H161" s="21"/>
      <c r="I161" s="53">
        <f>(I39+I164+I167+I170)/G39-1</f>
        <v>-1.5386652077945762E-2</v>
      </c>
      <c r="J161" s="53">
        <f>(J39+J164+J167+J170)/I39-1</f>
        <v>-2.5506658270361138E-3</v>
      </c>
      <c r="K161" s="53">
        <f>(K39+K164+K167+K170)/J39-1</f>
        <v>-1.0332853392055585E-2</v>
      </c>
      <c r="L161" s="53">
        <f>(L39+L164+L167+L170)/K39-1</f>
        <v>8.9858793324775199E-3</v>
      </c>
      <c r="M161" s="21"/>
      <c r="N161" s="277">
        <v>-1.4291996843950673E-2</v>
      </c>
      <c r="O161" s="53">
        <f>(O39+O164+O167+O170)/N39-1</f>
        <v>1.5215553677092597E-3</v>
      </c>
      <c r="P161" s="53">
        <f>(P39+P164+P167+P170)/O39-1</f>
        <v>1.1816340310601969E-3</v>
      </c>
      <c r="Q161" s="169">
        <f>'Earnings Model (adjusted)'!Q161-'Earnings Model'!Q161</f>
        <v>0</v>
      </c>
      <c r="R161" s="169">
        <f>'Earnings Model (adjusted)'!R161-'Earnings Model'!R161</f>
        <v>0</v>
      </c>
      <c r="S161" s="169">
        <f>'Earnings Model (adjusted)'!S161-'Earnings Model'!S161</f>
        <v>0</v>
      </c>
      <c r="T161" s="169">
        <f>'Earnings Model (adjusted)'!T161-'Earnings Model'!T161</f>
        <v>0</v>
      </c>
      <c r="U161" s="169">
        <f>'Earnings Model (adjusted)'!U161-'Earnings Model'!U161</f>
        <v>0</v>
      </c>
      <c r="V161" s="169">
        <f>'Earnings Model (adjusted)'!V161-'Earnings Model'!V161</f>
        <v>0</v>
      </c>
      <c r="W161" s="169">
        <f>'Earnings Model (adjusted)'!W161-'Earnings Model'!W161</f>
        <v>0</v>
      </c>
      <c r="X161" s="169">
        <f>'Earnings Model (adjusted)'!X161-'Earnings Model'!X161</f>
        <v>0</v>
      </c>
      <c r="Y161" s="169">
        <f>'Earnings Model (adjusted)'!Y161-'Earnings Model'!Y161</f>
        <v>0</v>
      </c>
      <c r="Z161" s="169">
        <f>'Earnings Model (adjusted)'!Z161-'Earnings Model'!Z161</f>
        <v>0</v>
      </c>
      <c r="AA161" s="169">
        <f>'Earnings Model (adjusted)'!AA161-'Earnings Model'!AA161</f>
        <v>0</v>
      </c>
      <c r="AB161" s="169">
        <f>'Earnings Model (adjusted)'!AB161-'Earnings Model'!AB161</f>
        <v>0</v>
      </c>
      <c r="AC161" s="169">
        <f>'Earnings Model (adjusted)'!AC161-'Earnings Model'!AC161</f>
        <v>0</v>
      </c>
      <c r="AD161" s="169">
        <f>'Earnings Model (adjusted)'!AD161-'Earnings Model'!AD161</f>
        <v>0</v>
      </c>
      <c r="AE161" s="169">
        <f>'Earnings Model (adjusted)'!AE161-'Earnings Model'!AE161</f>
        <v>0</v>
      </c>
      <c r="AF161" s="169">
        <f>'Earnings Model (adjusted)'!AF161-'Earnings Model'!AF161</f>
        <v>0</v>
      </c>
      <c r="AG161" s="169">
        <f>'Earnings Model (adjusted)'!AG161-'Earnings Model'!AG161</f>
        <v>0</v>
      </c>
      <c r="AH161" s="169">
        <f>'Earnings Model (adjusted)'!AH161-'Earnings Model'!AH161</f>
        <v>0</v>
      </c>
      <c r="AI161" s="169">
        <f>'Earnings Model (adjusted)'!AI161-'Earnings Model'!AI161</f>
        <v>0</v>
      </c>
      <c r="AJ161" s="169">
        <f>'Earnings Model (adjusted)'!AJ161-'Earnings Model'!AJ161</f>
        <v>0</v>
      </c>
      <c r="AK161" s="169">
        <f>'Earnings Model (adjusted)'!AK161-'Earnings Model'!AK161</f>
        <v>0</v>
      </c>
      <c r="AL161" s="169">
        <f>'Earnings Model (adjusted)'!AL161-'Earnings Model'!AL161</f>
        <v>0</v>
      </c>
      <c r="AM161" s="169">
        <f>'Earnings Model (adjusted)'!AM161-'Earnings Model'!AM161</f>
        <v>0</v>
      </c>
      <c r="AN161" s="169">
        <f>'Earnings Model (adjusted)'!AN161-'Earnings Model'!AN161</f>
        <v>0</v>
      </c>
      <c r="AO161" s="169">
        <f>'Earnings Model (adjusted)'!AO161-'Earnings Model'!AO161</f>
        <v>0</v>
      </c>
      <c r="AP161" s="169">
        <f>'Earnings Model (adjusted)'!AP161-'Earnings Model'!AP161</f>
        <v>0</v>
      </c>
      <c r="AQ161" s="169">
        <f>'Earnings Model (adjusted)'!AQ161-'Earnings Model'!AQ161</f>
        <v>0</v>
      </c>
    </row>
    <row r="162" spans="1:43" outlineLevel="1" x14ac:dyDescent="0.25">
      <c r="A162" s="254"/>
      <c r="B162" s="595" t="s">
        <v>313</v>
      </c>
      <c r="C162" s="596"/>
      <c r="D162" s="67"/>
      <c r="E162" s="271">
        <v>69.922678056926543</v>
      </c>
      <c r="F162" s="271">
        <v>83.13076202744692</v>
      </c>
      <c r="G162" s="271">
        <v>92.52</v>
      </c>
      <c r="H162" s="68"/>
      <c r="I162" s="271">
        <v>85.23</v>
      </c>
      <c r="J162" s="271">
        <v>78.08</v>
      </c>
      <c r="K162" s="271">
        <v>0</v>
      </c>
      <c r="L162" s="271">
        <v>72</v>
      </c>
      <c r="M162" s="68"/>
      <c r="N162" s="271">
        <v>88</v>
      </c>
      <c r="O162" s="271">
        <v>122.5</v>
      </c>
      <c r="P162" s="271">
        <f>O162</f>
        <v>122.5</v>
      </c>
      <c r="Q162" s="169">
        <f>'Earnings Model (adjusted)'!Q162-'Earnings Model'!Q162</f>
        <v>0</v>
      </c>
      <c r="R162" s="169">
        <f>'Earnings Model (adjusted)'!R162-'Earnings Model'!R162</f>
        <v>0</v>
      </c>
      <c r="S162" s="169">
        <f>'Earnings Model (adjusted)'!S162-'Earnings Model'!S162</f>
        <v>0</v>
      </c>
      <c r="T162" s="169">
        <f>'Earnings Model (adjusted)'!T162-'Earnings Model'!T162</f>
        <v>0</v>
      </c>
      <c r="U162" s="169">
        <f>'Earnings Model (adjusted)'!U162-'Earnings Model'!U162</f>
        <v>0</v>
      </c>
      <c r="V162" s="169">
        <f>'Earnings Model (adjusted)'!V162-'Earnings Model'!V162</f>
        <v>0</v>
      </c>
      <c r="W162" s="169">
        <f>'Earnings Model (adjusted)'!W162-'Earnings Model'!W162</f>
        <v>0</v>
      </c>
      <c r="X162" s="169">
        <f>'Earnings Model (adjusted)'!X162-'Earnings Model'!X162</f>
        <v>0</v>
      </c>
      <c r="Y162" s="169">
        <f>'Earnings Model (adjusted)'!Y162-'Earnings Model'!Y162</f>
        <v>0</v>
      </c>
      <c r="Z162" s="169">
        <f>'Earnings Model (adjusted)'!Z162-'Earnings Model'!Z162</f>
        <v>0</v>
      </c>
      <c r="AA162" s="169">
        <f>'Earnings Model (adjusted)'!AA162-'Earnings Model'!AA162</f>
        <v>0</v>
      </c>
      <c r="AB162" s="169">
        <f>'Earnings Model (adjusted)'!AB162-'Earnings Model'!AB162</f>
        <v>0</v>
      </c>
      <c r="AC162" s="169">
        <f>'Earnings Model (adjusted)'!AC162-'Earnings Model'!AC162</f>
        <v>0</v>
      </c>
      <c r="AD162" s="169">
        <f>'Earnings Model (adjusted)'!AD162-'Earnings Model'!AD162</f>
        <v>0</v>
      </c>
      <c r="AE162" s="169">
        <f>'Earnings Model (adjusted)'!AE162-'Earnings Model'!AE162</f>
        <v>0</v>
      </c>
      <c r="AF162" s="169">
        <f>'Earnings Model (adjusted)'!AF162-'Earnings Model'!AF162</f>
        <v>0</v>
      </c>
      <c r="AG162" s="169">
        <f>'Earnings Model (adjusted)'!AG162-'Earnings Model'!AG162</f>
        <v>0</v>
      </c>
      <c r="AH162" s="169">
        <f>'Earnings Model (adjusted)'!AH162-'Earnings Model'!AH162</f>
        <v>0</v>
      </c>
      <c r="AI162" s="169">
        <f>'Earnings Model (adjusted)'!AI162-'Earnings Model'!AI162</f>
        <v>0</v>
      </c>
      <c r="AJ162" s="169">
        <f>'Earnings Model (adjusted)'!AJ162-'Earnings Model'!AJ162</f>
        <v>0</v>
      </c>
      <c r="AK162" s="169">
        <f>'Earnings Model (adjusted)'!AK162-'Earnings Model'!AK162</f>
        <v>0</v>
      </c>
      <c r="AL162" s="169">
        <f>'Earnings Model (adjusted)'!AL162-'Earnings Model'!AL162</f>
        <v>0</v>
      </c>
      <c r="AM162" s="169">
        <f>'Earnings Model (adjusted)'!AM162-'Earnings Model'!AM162</f>
        <v>0</v>
      </c>
      <c r="AN162" s="169">
        <f>'Earnings Model (adjusted)'!AN162-'Earnings Model'!AN162</f>
        <v>0</v>
      </c>
      <c r="AO162" s="169">
        <f>'Earnings Model (adjusted)'!AO162-'Earnings Model'!AO162</f>
        <v>0</v>
      </c>
      <c r="AP162" s="169">
        <f>'Earnings Model (adjusted)'!AP162-'Earnings Model'!AP162</f>
        <v>0</v>
      </c>
      <c r="AQ162" s="169">
        <f>'Earnings Model (adjusted)'!AQ162-'Earnings Model'!AQ162</f>
        <v>0</v>
      </c>
    </row>
    <row r="163" spans="1:43" outlineLevel="1" x14ac:dyDescent="0.25">
      <c r="A163" s="254"/>
      <c r="B163" s="595" t="s">
        <v>314</v>
      </c>
      <c r="C163" s="596"/>
      <c r="D163" s="34"/>
      <c r="E163" s="261">
        <v>713.2</v>
      </c>
      <c r="F163" s="261">
        <f>954.3-713.2</f>
        <v>241.09999999999991</v>
      </c>
      <c r="G163" s="256">
        <v>2177.1942404399997</v>
      </c>
      <c r="H163" s="35">
        <f>+SUM(D163:G163)</f>
        <v>3131.4942404399999</v>
      </c>
      <c r="I163" s="256">
        <v>1107.9389472300002</v>
      </c>
      <c r="J163" s="256">
        <v>567.02921856000012</v>
      </c>
      <c r="K163" s="256">
        <v>0</v>
      </c>
      <c r="L163" s="256">
        <v>0</v>
      </c>
      <c r="M163" s="35">
        <f>+SUM(I163:L163)</f>
        <v>1674.9681657900003</v>
      </c>
      <c r="N163" s="256">
        <v>0</v>
      </c>
      <c r="O163" s="256">
        <v>0</v>
      </c>
      <c r="P163" s="256">
        <v>0</v>
      </c>
      <c r="Q163" s="169">
        <f>'Earnings Model (adjusted)'!Q163-'Earnings Model'!Q163</f>
        <v>0</v>
      </c>
      <c r="R163" s="169">
        <f>'Earnings Model (adjusted)'!R163-'Earnings Model'!R163</f>
        <v>0</v>
      </c>
      <c r="S163" s="169">
        <f>'Earnings Model (adjusted)'!S163-'Earnings Model'!S163</f>
        <v>0</v>
      </c>
      <c r="T163" s="169">
        <f>'Earnings Model (adjusted)'!T163-'Earnings Model'!T163</f>
        <v>0</v>
      </c>
      <c r="U163" s="169">
        <f>'Earnings Model (adjusted)'!U163-'Earnings Model'!U163</f>
        <v>0</v>
      </c>
      <c r="V163" s="169">
        <f>'Earnings Model (adjusted)'!V163-'Earnings Model'!V163</f>
        <v>0</v>
      </c>
      <c r="W163" s="169">
        <f>'Earnings Model (adjusted)'!W163-'Earnings Model'!W163</f>
        <v>0</v>
      </c>
      <c r="X163" s="169">
        <f>'Earnings Model (adjusted)'!X163-'Earnings Model'!X163</f>
        <v>0</v>
      </c>
      <c r="Y163" s="169">
        <f>'Earnings Model (adjusted)'!Y163-'Earnings Model'!Y163</f>
        <v>0</v>
      </c>
      <c r="Z163" s="169">
        <f>'Earnings Model (adjusted)'!Z163-'Earnings Model'!Z163</f>
        <v>0</v>
      </c>
      <c r="AA163" s="169">
        <f>'Earnings Model (adjusted)'!AA163-'Earnings Model'!AA163</f>
        <v>0</v>
      </c>
      <c r="AB163" s="169">
        <f>'Earnings Model (adjusted)'!AB163-'Earnings Model'!AB163</f>
        <v>0</v>
      </c>
      <c r="AC163" s="169">
        <f>'Earnings Model (adjusted)'!AC163-'Earnings Model'!AC163</f>
        <v>0</v>
      </c>
      <c r="AD163" s="169">
        <f>'Earnings Model (adjusted)'!AD163-'Earnings Model'!AD163</f>
        <v>0</v>
      </c>
      <c r="AE163" s="169">
        <f>'Earnings Model (adjusted)'!AE163-'Earnings Model'!AE163</f>
        <v>0</v>
      </c>
      <c r="AF163" s="169">
        <f>'Earnings Model (adjusted)'!AF163-'Earnings Model'!AF163</f>
        <v>0</v>
      </c>
      <c r="AG163" s="169">
        <f>'Earnings Model (adjusted)'!AG163-'Earnings Model'!AG163</f>
        <v>0</v>
      </c>
      <c r="AH163" s="169">
        <f>'Earnings Model (adjusted)'!AH163-'Earnings Model'!AH163</f>
        <v>0</v>
      </c>
      <c r="AI163" s="169">
        <f>'Earnings Model (adjusted)'!AI163-'Earnings Model'!AI163</f>
        <v>0</v>
      </c>
      <c r="AJ163" s="169">
        <f>'Earnings Model (adjusted)'!AJ163-'Earnings Model'!AJ163</f>
        <v>0</v>
      </c>
      <c r="AK163" s="169">
        <f>'Earnings Model (adjusted)'!AK163-'Earnings Model'!AK163</f>
        <v>0</v>
      </c>
      <c r="AL163" s="169">
        <f>'Earnings Model (adjusted)'!AL163-'Earnings Model'!AL163</f>
        <v>0</v>
      </c>
      <c r="AM163" s="169">
        <f>'Earnings Model (adjusted)'!AM163-'Earnings Model'!AM163</f>
        <v>0</v>
      </c>
      <c r="AN163" s="169">
        <f>'Earnings Model (adjusted)'!AN163-'Earnings Model'!AN163</f>
        <v>0</v>
      </c>
      <c r="AO163" s="169">
        <f>'Earnings Model (adjusted)'!AO163-'Earnings Model'!AO163</f>
        <v>0</v>
      </c>
      <c r="AP163" s="169">
        <f>'Earnings Model (adjusted)'!AP163-'Earnings Model'!AP163</f>
        <v>0</v>
      </c>
      <c r="AQ163" s="169">
        <f>'Earnings Model (adjusted)'!AQ163-'Earnings Model'!AQ163</f>
        <v>0</v>
      </c>
    </row>
    <row r="164" spans="1:43" outlineLevel="1" x14ac:dyDescent="0.25">
      <c r="A164" s="254"/>
      <c r="B164" s="595" t="s">
        <v>315</v>
      </c>
      <c r="C164" s="596"/>
      <c r="D164" s="336"/>
      <c r="E164" s="336">
        <f>IF((E163)&gt;0,(E163/E162),0)</f>
        <v>10.199838161509755</v>
      </c>
      <c r="F164" s="339">
        <f>IF((F163)&gt;0,(F163/F162),0)</f>
        <v>2.9002500893760241</v>
      </c>
      <c r="G164" s="339">
        <f>IF((G163)&gt;0,(G163/G162),0)</f>
        <v>23.532146999999998</v>
      </c>
      <c r="H164" s="170">
        <f>+SUM(D164:G164)</f>
        <v>36.632235250885778</v>
      </c>
      <c r="I164" s="336">
        <f>IF((I163)&gt;0,(I163/I162),0)</f>
        <v>12.999401000000001</v>
      </c>
      <c r="J164" s="339">
        <f>IF((J163)&gt;0,(J163/J162),0)</f>
        <v>7.262157000000002</v>
      </c>
      <c r="K164" s="336">
        <f>IF((K163)&gt;0,(K163/K162),0)</f>
        <v>0</v>
      </c>
      <c r="L164" s="336">
        <f>IF((L163)&gt;0,(L163/L162),0)</f>
        <v>0</v>
      </c>
      <c r="M164" s="170">
        <f>+SUM(I164:L164)</f>
        <v>20.261558000000001</v>
      </c>
      <c r="N164" s="336">
        <f>IF((N163)&gt;0,(N163/N162),0)</f>
        <v>0</v>
      </c>
      <c r="O164" s="336">
        <f>IF((O163)&gt;0,(O163/O162),0)</f>
        <v>0</v>
      </c>
      <c r="P164" s="336">
        <f>IF((P163)&gt;0,(P163/P162),0)</f>
        <v>0</v>
      </c>
      <c r="Q164" s="169">
        <f>'Earnings Model (adjusted)'!Q164-'Earnings Model'!Q164</f>
        <v>0</v>
      </c>
      <c r="R164" s="169">
        <f>'Earnings Model (adjusted)'!R164-'Earnings Model'!R164</f>
        <v>0</v>
      </c>
      <c r="S164" s="169">
        <f>'Earnings Model (adjusted)'!S164-'Earnings Model'!S164</f>
        <v>0</v>
      </c>
      <c r="T164" s="169">
        <f>'Earnings Model (adjusted)'!T164-'Earnings Model'!T164</f>
        <v>0</v>
      </c>
      <c r="U164" s="169">
        <f>'Earnings Model (adjusted)'!U164-'Earnings Model'!U164</f>
        <v>0</v>
      </c>
      <c r="V164" s="169">
        <f>'Earnings Model (adjusted)'!V164-'Earnings Model'!V164</f>
        <v>0</v>
      </c>
      <c r="W164" s="169">
        <f>'Earnings Model (adjusted)'!W164-'Earnings Model'!W164</f>
        <v>0</v>
      </c>
      <c r="X164" s="169">
        <f>'Earnings Model (adjusted)'!X164-'Earnings Model'!X164</f>
        <v>0</v>
      </c>
      <c r="Y164" s="169">
        <f>'Earnings Model (adjusted)'!Y164-'Earnings Model'!Y164</f>
        <v>0</v>
      </c>
      <c r="Z164" s="169">
        <f>'Earnings Model (adjusted)'!Z164-'Earnings Model'!Z164</f>
        <v>0</v>
      </c>
      <c r="AA164" s="169">
        <f>'Earnings Model (adjusted)'!AA164-'Earnings Model'!AA164</f>
        <v>0</v>
      </c>
      <c r="AB164" s="169">
        <f>'Earnings Model (adjusted)'!AB164-'Earnings Model'!AB164</f>
        <v>0</v>
      </c>
      <c r="AC164" s="169">
        <f>'Earnings Model (adjusted)'!AC164-'Earnings Model'!AC164</f>
        <v>0</v>
      </c>
      <c r="AD164" s="169">
        <f>'Earnings Model (adjusted)'!AD164-'Earnings Model'!AD164</f>
        <v>0</v>
      </c>
      <c r="AE164" s="169">
        <f>'Earnings Model (adjusted)'!AE164-'Earnings Model'!AE164</f>
        <v>0</v>
      </c>
      <c r="AF164" s="169">
        <f>'Earnings Model (adjusted)'!AF164-'Earnings Model'!AF164</f>
        <v>0</v>
      </c>
      <c r="AG164" s="169">
        <f>'Earnings Model (adjusted)'!AG164-'Earnings Model'!AG164</f>
        <v>0</v>
      </c>
      <c r="AH164" s="169">
        <f>'Earnings Model (adjusted)'!AH164-'Earnings Model'!AH164</f>
        <v>0</v>
      </c>
      <c r="AI164" s="169">
        <f>'Earnings Model (adjusted)'!AI164-'Earnings Model'!AI164</f>
        <v>0</v>
      </c>
      <c r="AJ164" s="169">
        <f>'Earnings Model (adjusted)'!AJ164-'Earnings Model'!AJ164</f>
        <v>0</v>
      </c>
      <c r="AK164" s="169">
        <f>'Earnings Model (adjusted)'!AK164-'Earnings Model'!AK164</f>
        <v>0</v>
      </c>
      <c r="AL164" s="169">
        <f>'Earnings Model (adjusted)'!AL164-'Earnings Model'!AL164</f>
        <v>0</v>
      </c>
      <c r="AM164" s="169">
        <f>'Earnings Model (adjusted)'!AM164-'Earnings Model'!AM164</f>
        <v>0</v>
      </c>
      <c r="AN164" s="169">
        <f>'Earnings Model (adjusted)'!AN164-'Earnings Model'!AN164</f>
        <v>0</v>
      </c>
      <c r="AO164" s="169">
        <f>'Earnings Model (adjusted)'!AO164-'Earnings Model'!AO164</f>
        <v>0</v>
      </c>
      <c r="AP164" s="169">
        <f>'Earnings Model (adjusted)'!AP164-'Earnings Model'!AP164</f>
        <v>0</v>
      </c>
      <c r="AQ164" s="169">
        <f>'Earnings Model (adjusted)'!AQ164-'Earnings Model'!AQ164</f>
        <v>0</v>
      </c>
    </row>
    <row r="165" spans="1:43" outlineLevel="1" x14ac:dyDescent="0.25">
      <c r="A165" s="254"/>
      <c r="B165" s="607" t="s">
        <v>307</v>
      </c>
      <c r="C165" s="608"/>
      <c r="D165" s="340">
        <v>55.58</v>
      </c>
      <c r="E165" s="341">
        <v>65.03</v>
      </c>
      <c r="F165" s="233"/>
      <c r="G165" s="233"/>
      <c r="H165" s="209"/>
      <c r="I165" s="233"/>
      <c r="J165" s="233"/>
      <c r="K165" s="233"/>
      <c r="L165" s="233"/>
      <c r="M165" s="209"/>
      <c r="N165" s="233"/>
      <c r="O165" s="233"/>
      <c r="P165" s="233"/>
      <c r="Q165" s="169">
        <f>'Earnings Model (adjusted)'!Q165-'Earnings Model'!Q165</f>
        <v>0</v>
      </c>
      <c r="R165" s="169">
        <f>'Earnings Model (adjusted)'!R165-'Earnings Model'!R165</f>
        <v>0</v>
      </c>
      <c r="S165" s="169">
        <f>'Earnings Model (adjusted)'!S165-'Earnings Model'!S165</f>
        <v>0</v>
      </c>
      <c r="T165" s="169">
        <f>'Earnings Model (adjusted)'!T165-'Earnings Model'!T165</f>
        <v>0</v>
      </c>
      <c r="U165" s="169">
        <f>'Earnings Model (adjusted)'!U165-'Earnings Model'!U165</f>
        <v>0</v>
      </c>
      <c r="V165" s="169">
        <f>'Earnings Model (adjusted)'!V165-'Earnings Model'!V165</f>
        <v>0</v>
      </c>
      <c r="W165" s="169">
        <f>'Earnings Model (adjusted)'!W165-'Earnings Model'!W165</f>
        <v>0</v>
      </c>
      <c r="X165" s="169">
        <f>'Earnings Model (adjusted)'!X165-'Earnings Model'!X165</f>
        <v>0</v>
      </c>
      <c r="Y165" s="169">
        <f>'Earnings Model (adjusted)'!Y165-'Earnings Model'!Y165</f>
        <v>0</v>
      </c>
      <c r="Z165" s="169">
        <f>'Earnings Model (adjusted)'!Z165-'Earnings Model'!Z165</f>
        <v>0</v>
      </c>
      <c r="AA165" s="169">
        <f>'Earnings Model (adjusted)'!AA165-'Earnings Model'!AA165</f>
        <v>0</v>
      </c>
      <c r="AB165" s="169">
        <f>'Earnings Model (adjusted)'!AB165-'Earnings Model'!AB165</f>
        <v>0</v>
      </c>
      <c r="AC165" s="169">
        <f>'Earnings Model (adjusted)'!AC165-'Earnings Model'!AC165</f>
        <v>0</v>
      </c>
      <c r="AD165" s="169">
        <f>'Earnings Model (adjusted)'!AD165-'Earnings Model'!AD165</f>
        <v>0</v>
      </c>
      <c r="AE165" s="169">
        <f>'Earnings Model (adjusted)'!AE165-'Earnings Model'!AE165</f>
        <v>0</v>
      </c>
      <c r="AF165" s="169">
        <f>'Earnings Model (adjusted)'!AF165-'Earnings Model'!AF165</f>
        <v>0</v>
      </c>
      <c r="AG165" s="169">
        <f>'Earnings Model (adjusted)'!AG165-'Earnings Model'!AG165</f>
        <v>0</v>
      </c>
      <c r="AH165" s="169">
        <f>'Earnings Model (adjusted)'!AH165-'Earnings Model'!AH165</f>
        <v>0</v>
      </c>
      <c r="AI165" s="169">
        <f>'Earnings Model (adjusted)'!AI165-'Earnings Model'!AI165</f>
        <v>0</v>
      </c>
      <c r="AJ165" s="169">
        <f>'Earnings Model (adjusted)'!AJ165-'Earnings Model'!AJ165</f>
        <v>0</v>
      </c>
      <c r="AK165" s="169">
        <f>'Earnings Model (adjusted)'!AK165-'Earnings Model'!AK165</f>
        <v>0</v>
      </c>
      <c r="AL165" s="169">
        <f>'Earnings Model (adjusted)'!AL165-'Earnings Model'!AL165</f>
        <v>0</v>
      </c>
      <c r="AM165" s="169">
        <f>'Earnings Model (adjusted)'!AM165-'Earnings Model'!AM165</f>
        <v>0</v>
      </c>
      <c r="AN165" s="169">
        <f>'Earnings Model (adjusted)'!AN165-'Earnings Model'!AN165</f>
        <v>0</v>
      </c>
      <c r="AO165" s="169">
        <f>'Earnings Model (adjusted)'!AO165-'Earnings Model'!AO165</f>
        <v>0</v>
      </c>
      <c r="AP165" s="169">
        <f>'Earnings Model (adjusted)'!AP165-'Earnings Model'!AP165</f>
        <v>0</v>
      </c>
      <c r="AQ165" s="169">
        <f>'Earnings Model (adjusted)'!AQ165-'Earnings Model'!AQ165</f>
        <v>0</v>
      </c>
    </row>
    <row r="166" spans="1:43" outlineLevel="1" x14ac:dyDescent="0.25">
      <c r="A166" s="254"/>
      <c r="B166" s="609" t="s">
        <v>308</v>
      </c>
      <c r="C166" s="610"/>
      <c r="D166" s="342">
        <f>71.968334*55.58</f>
        <v>4000.0000037199998</v>
      </c>
      <c r="E166" s="343">
        <v>318.64700000000005</v>
      </c>
      <c r="F166" s="336"/>
      <c r="G166" s="336"/>
      <c r="H166" s="170"/>
      <c r="I166" s="336"/>
      <c r="J166" s="336"/>
      <c r="K166" s="336"/>
      <c r="L166" s="336"/>
      <c r="M166" s="170"/>
      <c r="N166" s="336"/>
      <c r="O166" s="336"/>
      <c r="P166" s="336"/>
      <c r="Q166" s="169">
        <f>'Earnings Model (adjusted)'!Q166-'Earnings Model'!Q166</f>
        <v>0</v>
      </c>
      <c r="R166" s="169">
        <f>'Earnings Model (adjusted)'!R166-'Earnings Model'!R166</f>
        <v>0</v>
      </c>
      <c r="S166" s="169">
        <f>'Earnings Model (adjusted)'!S166-'Earnings Model'!S166</f>
        <v>0</v>
      </c>
      <c r="T166" s="169">
        <f>'Earnings Model (adjusted)'!T166-'Earnings Model'!T166</f>
        <v>0</v>
      </c>
      <c r="U166" s="169">
        <f>'Earnings Model (adjusted)'!U166-'Earnings Model'!U166</f>
        <v>0</v>
      </c>
      <c r="V166" s="169">
        <f>'Earnings Model (adjusted)'!V166-'Earnings Model'!V166</f>
        <v>0</v>
      </c>
      <c r="W166" s="169">
        <f>'Earnings Model (adjusted)'!W166-'Earnings Model'!W166</f>
        <v>0</v>
      </c>
      <c r="X166" s="169">
        <f>'Earnings Model (adjusted)'!X166-'Earnings Model'!X166</f>
        <v>0</v>
      </c>
      <c r="Y166" s="169">
        <f>'Earnings Model (adjusted)'!Y166-'Earnings Model'!Y166</f>
        <v>0</v>
      </c>
      <c r="Z166" s="169">
        <f>'Earnings Model (adjusted)'!Z166-'Earnings Model'!Z166</f>
        <v>0</v>
      </c>
      <c r="AA166" s="169">
        <f>'Earnings Model (adjusted)'!AA166-'Earnings Model'!AA166</f>
        <v>0</v>
      </c>
      <c r="AB166" s="169">
        <f>'Earnings Model (adjusted)'!AB166-'Earnings Model'!AB166</f>
        <v>0</v>
      </c>
      <c r="AC166" s="169">
        <f>'Earnings Model (adjusted)'!AC166-'Earnings Model'!AC166</f>
        <v>0</v>
      </c>
      <c r="AD166" s="169">
        <f>'Earnings Model (adjusted)'!AD166-'Earnings Model'!AD166</f>
        <v>0</v>
      </c>
      <c r="AE166" s="169">
        <f>'Earnings Model (adjusted)'!AE166-'Earnings Model'!AE166</f>
        <v>0</v>
      </c>
      <c r="AF166" s="169">
        <f>'Earnings Model (adjusted)'!AF166-'Earnings Model'!AF166</f>
        <v>0</v>
      </c>
      <c r="AG166" s="169">
        <f>'Earnings Model (adjusted)'!AG166-'Earnings Model'!AG166</f>
        <v>0</v>
      </c>
      <c r="AH166" s="169">
        <f>'Earnings Model (adjusted)'!AH166-'Earnings Model'!AH166</f>
        <v>0</v>
      </c>
      <c r="AI166" s="169">
        <f>'Earnings Model (adjusted)'!AI166-'Earnings Model'!AI166</f>
        <v>0</v>
      </c>
      <c r="AJ166" s="169">
        <f>'Earnings Model (adjusted)'!AJ166-'Earnings Model'!AJ166</f>
        <v>0</v>
      </c>
      <c r="AK166" s="169">
        <f>'Earnings Model (adjusted)'!AK166-'Earnings Model'!AK166</f>
        <v>0</v>
      </c>
      <c r="AL166" s="169">
        <f>'Earnings Model (adjusted)'!AL166-'Earnings Model'!AL166</f>
        <v>0</v>
      </c>
      <c r="AM166" s="169">
        <f>'Earnings Model (adjusted)'!AM166-'Earnings Model'!AM166</f>
        <v>0</v>
      </c>
      <c r="AN166" s="169">
        <f>'Earnings Model (adjusted)'!AN166-'Earnings Model'!AN166</f>
        <v>0</v>
      </c>
      <c r="AO166" s="169">
        <f>'Earnings Model (adjusted)'!AO166-'Earnings Model'!AO166</f>
        <v>0</v>
      </c>
      <c r="AP166" s="169">
        <f>'Earnings Model (adjusted)'!AP166-'Earnings Model'!AP166</f>
        <v>0</v>
      </c>
      <c r="AQ166" s="169">
        <f>'Earnings Model (adjusted)'!AQ166-'Earnings Model'!AQ166</f>
        <v>0</v>
      </c>
    </row>
    <row r="167" spans="1:43" outlineLevel="1" x14ac:dyDescent="0.25">
      <c r="A167" s="254"/>
      <c r="B167" s="611" t="s">
        <v>309</v>
      </c>
      <c r="C167" s="612"/>
      <c r="D167" s="344">
        <f>IF((D166)&gt;0,(D166/D165),0)</f>
        <v>71.968333999999999</v>
      </c>
      <c r="E167" s="337">
        <f>IF((E166)&gt;0,(E166/E165),0)</f>
        <v>4.9000000000000004</v>
      </c>
      <c r="F167" s="337"/>
      <c r="G167" s="337"/>
      <c r="H167" s="338"/>
      <c r="I167" s="337"/>
      <c r="J167" s="337"/>
      <c r="K167" s="337"/>
      <c r="L167" s="337"/>
      <c r="M167" s="338"/>
      <c r="N167" s="337"/>
      <c r="O167" s="337"/>
      <c r="P167" s="337"/>
      <c r="Q167" s="169">
        <f>'Earnings Model (adjusted)'!Q167-'Earnings Model'!Q167</f>
        <v>0</v>
      </c>
      <c r="R167" s="169">
        <f>'Earnings Model (adjusted)'!R167-'Earnings Model'!R167</f>
        <v>0</v>
      </c>
      <c r="S167" s="169">
        <f>'Earnings Model (adjusted)'!S167-'Earnings Model'!S167</f>
        <v>0</v>
      </c>
      <c r="T167" s="169">
        <f>'Earnings Model (adjusted)'!T167-'Earnings Model'!T167</f>
        <v>0</v>
      </c>
      <c r="U167" s="169">
        <f>'Earnings Model (adjusted)'!U167-'Earnings Model'!U167</f>
        <v>0</v>
      </c>
      <c r="V167" s="169">
        <f>'Earnings Model (adjusted)'!V167-'Earnings Model'!V167</f>
        <v>0</v>
      </c>
      <c r="W167" s="169">
        <f>'Earnings Model (adjusted)'!W167-'Earnings Model'!W167</f>
        <v>0</v>
      </c>
      <c r="X167" s="169">
        <f>'Earnings Model (adjusted)'!X167-'Earnings Model'!X167</f>
        <v>0</v>
      </c>
      <c r="Y167" s="169">
        <f>'Earnings Model (adjusted)'!Y167-'Earnings Model'!Y167</f>
        <v>0</v>
      </c>
      <c r="Z167" s="169">
        <f>'Earnings Model (adjusted)'!Z167-'Earnings Model'!Z167</f>
        <v>0</v>
      </c>
      <c r="AA167" s="169">
        <f>'Earnings Model (adjusted)'!AA167-'Earnings Model'!AA167</f>
        <v>0</v>
      </c>
      <c r="AB167" s="169">
        <f>'Earnings Model (adjusted)'!AB167-'Earnings Model'!AB167</f>
        <v>0</v>
      </c>
      <c r="AC167" s="169">
        <f>'Earnings Model (adjusted)'!AC167-'Earnings Model'!AC167</f>
        <v>0</v>
      </c>
      <c r="AD167" s="169">
        <f>'Earnings Model (adjusted)'!AD167-'Earnings Model'!AD167</f>
        <v>0</v>
      </c>
      <c r="AE167" s="169">
        <f>'Earnings Model (adjusted)'!AE167-'Earnings Model'!AE167</f>
        <v>0</v>
      </c>
      <c r="AF167" s="169">
        <f>'Earnings Model (adjusted)'!AF167-'Earnings Model'!AF167</f>
        <v>0</v>
      </c>
      <c r="AG167" s="169">
        <f>'Earnings Model (adjusted)'!AG167-'Earnings Model'!AG167</f>
        <v>0</v>
      </c>
      <c r="AH167" s="169">
        <f>'Earnings Model (adjusted)'!AH167-'Earnings Model'!AH167</f>
        <v>0</v>
      </c>
      <c r="AI167" s="169">
        <f>'Earnings Model (adjusted)'!AI167-'Earnings Model'!AI167</f>
        <v>0</v>
      </c>
      <c r="AJ167" s="169">
        <f>'Earnings Model (adjusted)'!AJ167-'Earnings Model'!AJ167</f>
        <v>0</v>
      </c>
      <c r="AK167" s="169">
        <f>'Earnings Model (adjusted)'!AK167-'Earnings Model'!AK167</f>
        <v>0</v>
      </c>
      <c r="AL167" s="169">
        <f>'Earnings Model (adjusted)'!AL167-'Earnings Model'!AL167</f>
        <v>0</v>
      </c>
      <c r="AM167" s="169">
        <f>'Earnings Model (adjusted)'!AM167-'Earnings Model'!AM167</f>
        <v>0</v>
      </c>
      <c r="AN167" s="169">
        <f>'Earnings Model (adjusted)'!AN167-'Earnings Model'!AN167</f>
        <v>0</v>
      </c>
      <c r="AO167" s="169">
        <f>'Earnings Model (adjusted)'!AO167-'Earnings Model'!AO167</f>
        <v>0</v>
      </c>
      <c r="AP167" s="169">
        <f>'Earnings Model (adjusted)'!AP167-'Earnings Model'!AP167</f>
        <v>0</v>
      </c>
      <c r="AQ167" s="169">
        <f>'Earnings Model (adjusted)'!AQ167-'Earnings Model'!AQ167</f>
        <v>0</v>
      </c>
    </row>
    <row r="168" spans="1:43" outlineLevel="1" x14ac:dyDescent="0.25">
      <c r="A168" s="254"/>
      <c r="B168" s="539" t="s">
        <v>310</v>
      </c>
      <c r="C168" s="540"/>
      <c r="D168" s="336"/>
      <c r="E168" s="67">
        <v>71.959999999999994</v>
      </c>
      <c r="F168" s="67">
        <v>76.5</v>
      </c>
      <c r="G168" s="336"/>
      <c r="H168" s="170"/>
      <c r="I168" s="336"/>
      <c r="J168" s="336"/>
      <c r="K168" s="336"/>
      <c r="L168" s="336"/>
      <c r="M168" s="170"/>
      <c r="N168" s="336"/>
      <c r="O168" s="336"/>
      <c r="P168" s="336"/>
      <c r="Q168" s="169">
        <f>'Earnings Model (adjusted)'!Q168-'Earnings Model'!Q168</f>
        <v>0</v>
      </c>
      <c r="R168" s="169">
        <f>'Earnings Model (adjusted)'!R168-'Earnings Model'!R168</f>
        <v>0</v>
      </c>
      <c r="S168" s="169">
        <f>'Earnings Model (adjusted)'!S168-'Earnings Model'!S168</f>
        <v>0</v>
      </c>
      <c r="T168" s="169">
        <f>'Earnings Model (adjusted)'!T168-'Earnings Model'!T168</f>
        <v>0</v>
      </c>
      <c r="U168" s="169">
        <f>'Earnings Model (adjusted)'!U168-'Earnings Model'!U168</f>
        <v>0</v>
      </c>
      <c r="V168" s="169">
        <f>'Earnings Model (adjusted)'!V168-'Earnings Model'!V168</f>
        <v>0</v>
      </c>
      <c r="W168" s="169">
        <f>'Earnings Model (adjusted)'!W168-'Earnings Model'!W168</f>
        <v>0</v>
      </c>
      <c r="X168" s="169">
        <f>'Earnings Model (adjusted)'!X168-'Earnings Model'!X168</f>
        <v>0</v>
      </c>
      <c r="Y168" s="169">
        <f>'Earnings Model (adjusted)'!Y168-'Earnings Model'!Y168</f>
        <v>0</v>
      </c>
      <c r="Z168" s="169">
        <f>'Earnings Model (adjusted)'!Z168-'Earnings Model'!Z168</f>
        <v>0</v>
      </c>
      <c r="AA168" s="169">
        <f>'Earnings Model (adjusted)'!AA168-'Earnings Model'!AA168</f>
        <v>0</v>
      </c>
      <c r="AB168" s="169">
        <f>'Earnings Model (adjusted)'!AB168-'Earnings Model'!AB168</f>
        <v>0</v>
      </c>
      <c r="AC168" s="169">
        <f>'Earnings Model (adjusted)'!AC168-'Earnings Model'!AC168</f>
        <v>0</v>
      </c>
      <c r="AD168" s="169">
        <f>'Earnings Model (adjusted)'!AD168-'Earnings Model'!AD168</f>
        <v>0</v>
      </c>
      <c r="AE168" s="169">
        <f>'Earnings Model (adjusted)'!AE168-'Earnings Model'!AE168</f>
        <v>0</v>
      </c>
      <c r="AF168" s="169">
        <f>'Earnings Model (adjusted)'!AF168-'Earnings Model'!AF168</f>
        <v>0</v>
      </c>
      <c r="AG168" s="169">
        <f>'Earnings Model (adjusted)'!AG168-'Earnings Model'!AG168</f>
        <v>0</v>
      </c>
      <c r="AH168" s="169">
        <f>'Earnings Model (adjusted)'!AH168-'Earnings Model'!AH168</f>
        <v>0</v>
      </c>
      <c r="AI168" s="169">
        <f>'Earnings Model (adjusted)'!AI168-'Earnings Model'!AI168</f>
        <v>0</v>
      </c>
      <c r="AJ168" s="169">
        <f>'Earnings Model (adjusted)'!AJ168-'Earnings Model'!AJ168</f>
        <v>0</v>
      </c>
      <c r="AK168" s="169">
        <f>'Earnings Model (adjusted)'!AK168-'Earnings Model'!AK168</f>
        <v>0</v>
      </c>
      <c r="AL168" s="169">
        <f>'Earnings Model (adjusted)'!AL168-'Earnings Model'!AL168</f>
        <v>0</v>
      </c>
      <c r="AM168" s="169">
        <f>'Earnings Model (adjusted)'!AM168-'Earnings Model'!AM168</f>
        <v>0</v>
      </c>
      <c r="AN168" s="169">
        <f>'Earnings Model (adjusted)'!AN168-'Earnings Model'!AN168</f>
        <v>0</v>
      </c>
      <c r="AO168" s="169">
        <f>'Earnings Model (adjusted)'!AO168-'Earnings Model'!AO168</f>
        <v>0</v>
      </c>
      <c r="AP168" s="169">
        <f>'Earnings Model (adjusted)'!AP168-'Earnings Model'!AP168</f>
        <v>0</v>
      </c>
      <c r="AQ168" s="169">
        <f>'Earnings Model (adjusted)'!AQ168-'Earnings Model'!AQ168</f>
        <v>0</v>
      </c>
    </row>
    <row r="169" spans="1:43" outlineLevel="1" x14ac:dyDescent="0.25">
      <c r="A169" s="254"/>
      <c r="B169" s="539" t="s">
        <v>311</v>
      </c>
      <c r="C169" s="540"/>
      <c r="D169" s="336"/>
      <c r="E169" s="34">
        <v>1597.5119999999997</v>
      </c>
      <c r="F169" s="34">
        <v>298.35000000000002</v>
      </c>
      <c r="G169" s="336"/>
      <c r="H169" s="170"/>
      <c r="I169" s="336"/>
      <c r="J169" s="336"/>
      <c r="K169" s="336"/>
      <c r="L169" s="336"/>
      <c r="M169" s="170"/>
      <c r="N169" s="462"/>
      <c r="O169" s="336"/>
      <c r="P169" s="336"/>
      <c r="Q169" s="169">
        <f>'Earnings Model (adjusted)'!Q169-'Earnings Model'!Q169</f>
        <v>0</v>
      </c>
      <c r="R169" s="169">
        <f>'Earnings Model (adjusted)'!R169-'Earnings Model'!R169</f>
        <v>0</v>
      </c>
      <c r="S169" s="169">
        <f>'Earnings Model (adjusted)'!S169-'Earnings Model'!S169</f>
        <v>0</v>
      </c>
      <c r="T169" s="169">
        <f>'Earnings Model (adjusted)'!T169-'Earnings Model'!T169</f>
        <v>0</v>
      </c>
      <c r="U169" s="169">
        <f>'Earnings Model (adjusted)'!U169-'Earnings Model'!U169</f>
        <v>0</v>
      </c>
      <c r="V169" s="169">
        <f>'Earnings Model (adjusted)'!V169-'Earnings Model'!V169</f>
        <v>0</v>
      </c>
      <c r="W169" s="169">
        <f>'Earnings Model (adjusted)'!W169-'Earnings Model'!W169</f>
        <v>0</v>
      </c>
      <c r="X169" s="169">
        <f>'Earnings Model (adjusted)'!X169-'Earnings Model'!X169</f>
        <v>0</v>
      </c>
      <c r="Y169" s="169">
        <f>'Earnings Model (adjusted)'!Y169-'Earnings Model'!Y169</f>
        <v>0</v>
      </c>
      <c r="Z169" s="169">
        <f>'Earnings Model (adjusted)'!Z169-'Earnings Model'!Z169</f>
        <v>0</v>
      </c>
      <c r="AA169" s="169">
        <f>'Earnings Model (adjusted)'!AA169-'Earnings Model'!AA169</f>
        <v>0</v>
      </c>
      <c r="AB169" s="169">
        <f>'Earnings Model (adjusted)'!AB169-'Earnings Model'!AB169</f>
        <v>0</v>
      </c>
      <c r="AC169" s="169">
        <f>'Earnings Model (adjusted)'!AC169-'Earnings Model'!AC169</f>
        <v>0</v>
      </c>
      <c r="AD169" s="169">
        <f>'Earnings Model (adjusted)'!AD169-'Earnings Model'!AD169</f>
        <v>0</v>
      </c>
      <c r="AE169" s="169">
        <f>'Earnings Model (adjusted)'!AE169-'Earnings Model'!AE169</f>
        <v>0</v>
      </c>
      <c r="AF169" s="169">
        <f>'Earnings Model (adjusted)'!AF169-'Earnings Model'!AF169</f>
        <v>0</v>
      </c>
      <c r="AG169" s="169">
        <f>'Earnings Model (adjusted)'!AG169-'Earnings Model'!AG169</f>
        <v>0</v>
      </c>
      <c r="AH169" s="169">
        <f>'Earnings Model (adjusted)'!AH169-'Earnings Model'!AH169</f>
        <v>0</v>
      </c>
      <c r="AI169" s="169">
        <f>'Earnings Model (adjusted)'!AI169-'Earnings Model'!AI169</f>
        <v>0</v>
      </c>
      <c r="AJ169" s="169">
        <f>'Earnings Model (adjusted)'!AJ169-'Earnings Model'!AJ169</f>
        <v>0</v>
      </c>
      <c r="AK169" s="169">
        <f>'Earnings Model (adjusted)'!AK169-'Earnings Model'!AK169</f>
        <v>0</v>
      </c>
      <c r="AL169" s="169">
        <f>'Earnings Model (adjusted)'!AL169-'Earnings Model'!AL169</f>
        <v>0</v>
      </c>
      <c r="AM169" s="169">
        <f>'Earnings Model (adjusted)'!AM169-'Earnings Model'!AM169</f>
        <v>0</v>
      </c>
      <c r="AN169" s="169">
        <f>'Earnings Model (adjusted)'!AN169-'Earnings Model'!AN169</f>
        <v>0</v>
      </c>
      <c r="AO169" s="169">
        <f>'Earnings Model (adjusted)'!AO169-'Earnings Model'!AO169</f>
        <v>0</v>
      </c>
      <c r="AP169" s="169">
        <f>'Earnings Model (adjusted)'!AP169-'Earnings Model'!AP169</f>
        <v>0</v>
      </c>
      <c r="AQ169" s="169">
        <f>'Earnings Model (adjusted)'!AQ169-'Earnings Model'!AQ169</f>
        <v>0</v>
      </c>
    </row>
    <row r="170" spans="1:43" outlineLevel="1" x14ac:dyDescent="0.25">
      <c r="A170" s="254"/>
      <c r="B170" s="539" t="s">
        <v>312</v>
      </c>
      <c r="C170" s="540"/>
      <c r="D170" s="336"/>
      <c r="E170" s="336">
        <f>IF((E169)&gt;0,(E169/E168),0)</f>
        <v>22.2</v>
      </c>
      <c r="F170" s="336">
        <f>IF((F169)&gt;0,(F169/F168),0)</f>
        <v>3.9000000000000004</v>
      </c>
      <c r="G170" s="336"/>
      <c r="H170" s="170"/>
      <c r="I170" s="336"/>
      <c r="J170" s="336"/>
      <c r="K170" s="336"/>
      <c r="L170" s="336"/>
      <c r="M170" s="170"/>
      <c r="N170" s="336"/>
      <c r="O170" s="336"/>
      <c r="P170" s="336"/>
      <c r="Q170" s="169">
        <f>'Earnings Model (adjusted)'!Q170-'Earnings Model'!Q170</f>
        <v>0</v>
      </c>
      <c r="R170" s="169">
        <f>'Earnings Model (adjusted)'!R170-'Earnings Model'!R170</f>
        <v>0</v>
      </c>
      <c r="S170" s="169">
        <f>'Earnings Model (adjusted)'!S170-'Earnings Model'!S170</f>
        <v>0</v>
      </c>
      <c r="T170" s="169">
        <f>'Earnings Model (adjusted)'!T170-'Earnings Model'!T170</f>
        <v>0</v>
      </c>
      <c r="U170" s="169">
        <f>'Earnings Model (adjusted)'!U170-'Earnings Model'!U170</f>
        <v>0</v>
      </c>
      <c r="V170" s="169">
        <f>'Earnings Model (adjusted)'!V170-'Earnings Model'!V170</f>
        <v>0</v>
      </c>
      <c r="W170" s="169">
        <f>'Earnings Model (adjusted)'!W170-'Earnings Model'!W170</f>
        <v>0</v>
      </c>
      <c r="X170" s="169">
        <f>'Earnings Model (adjusted)'!X170-'Earnings Model'!X170</f>
        <v>0</v>
      </c>
      <c r="Y170" s="169">
        <f>'Earnings Model (adjusted)'!Y170-'Earnings Model'!Y170</f>
        <v>0</v>
      </c>
      <c r="Z170" s="169">
        <f>'Earnings Model (adjusted)'!Z170-'Earnings Model'!Z170</f>
        <v>0</v>
      </c>
      <c r="AA170" s="169">
        <f>'Earnings Model (adjusted)'!AA170-'Earnings Model'!AA170</f>
        <v>0</v>
      </c>
      <c r="AB170" s="169">
        <f>'Earnings Model (adjusted)'!AB170-'Earnings Model'!AB170</f>
        <v>0</v>
      </c>
      <c r="AC170" s="169">
        <f>'Earnings Model (adjusted)'!AC170-'Earnings Model'!AC170</f>
        <v>0</v>
      </c>
      <c r="AD170" s="169">
        <f>'Earnings Model (adjusted)'!AD170-'Earnings Model'!AD170</f>
        <v>0</v>
      </c>
      <c r="AE170" s="169">
        <f>'Earnings Model (adjusted)'!AE170-'Earnings Model'!AE170</f>
        <v>0</v>
      </c>
      <c r="AF170" s="169">
        <f>'Earnings Model (adjusted)'!AF170-'Earnings Model'!AF170</f>
        <v>0</v>
      </c>
      <c r="AG170" s="169">
        <f>'Earnings Model (adjusted)'!AG170-'Earnings Model'!AG170</f>
        <v>0</v>
      </c>
      <c r="AH170" s="169">
        <f>'Earnings Model (adjusted)'!AH170-'Earnings Model'!AH170</f>
        <v>0</v>
      </c>
      <c r="AI170" s="169">
        <f>'Earnings Model (adjusted)'!AI170-'Earnings Model'!AI170</f>
        <v>0</v>
      </c>
      <c r="AJ170" s="169">
        <f>'Earnings Model (adjusted)'!AJ170-'Earnings Model'!AJ170</f>
        <v>0</v>
      </c>
      <c r="AK170" s="169">
        <f>'Earnings Model (adjusted)'!AK170-'Earnings Model'!AK170</f>
        <v>0</v>
      </c>
      <c r="AL170" s="169">
        <f>'Earnings Model (adjusted)'!AL170-'Earnings Model'!AL170</f>
        <v>0</v>
      </c>
      <c r="AM170" s="169">
        <f>'Earnings Model (adjusted)'!AM170-'Earnings Model'!AM170</f>
        <v>0</v>
      </c>
      <c r="AN170" s="169">
        <f>'Earnings Model (adjusted)'!AN170-'Earnings Model'!AN170</f>
        <v>0</v>
      </c>
      <c r="AO170" s="169">
        <f>'Earnings Model (adjusted)'!AO170-'Earnings Model'!AO170</f>
        <v>0</v>
      </c>
      <c r="AP170" s="169">
        <f>'Earnings Model (adjusted)'!AP170-'Earnings Model'!AP170</f>
        <v>0</v>
      </c>
      <c r="AQ170" s="169">
        <f>'Earnings Model (adjusted)'!AQ170-'Earnings Model'!AQ170</f>
        <v>0</v>
      </c>
    </row>
    <row r="171" spans="1:43" ht="18" x14ac:dyDescent="0.4">
      <c r="A171" s="254"/>
      <c r="B171" s="565" t="s">
        <v>75</v>
      </c>
      <c r="C171" s="566"/>
      <c r="D171" s="32" t="s">
        <v>119</v>
      </c>
      <c r="E171" s="32" t="s">
        <v>243</v>
      </c>
      <c r="F171" s="32" t="s">
        <v>247</v>
      </c>
      <c r="G171" s="32" t="s">
        <v>257</v>
      </c>
      <c r="H171" s="86" t="s">
        <v>258</v>
      </c>
      <c r="I171" s="32" t="s">
        <v>259</v>
      </c>
      <c r="J171" s="32" t="s">
        <v>260</v>
      </c>
      <c r="K171" s="32" t="s">
        <v>261</v>
      </c>
      <c r="L171" s="32" t="s">
        <v>322</v>
      </c>
      <c r="M171" s="86" t="s">
        <v>333</v>
      </c>
      <c r="N171" s="32" t="s">
        <v>339</v>
      </c>
      <c r="O171" s="32" t="s">
        <v>347</v>
      </c>
      <c r="P171" s="32" t="s">
        <v>349</v>
      </c>
      <c r="Q171" s="169" t="e">
        <f>'Earnings Model (adjusted)'!Q171-'Earnings Model'!Q171</f>
        <v>#VALUE!</v>
      </c>
      <c r="R171" s="169" t="e">
        <f>'Earnings Model (adjusted)'!R171-'Earnings Model'!R171</f>
        <v>#VALUE!</v>
      </c>
      <c r="S171" s="169" t="e">
        <f>'Earnings Model (adjusted)'!S171-'Earnings Model'!S171</f>
        <v>#VALUE!</v>
      </c>
      <c r="T171" s="169" t="e">
        <f>'Earnings Model (adjusted)'!T171-'Earnings Model'!T171</f>
        <v>#VALUE!</v>
      </c>
      <c r="U171" s="169" t="e">
        <f>'Earnings Model (adjusted)'!U171-'Earnings Model'!U171</f>
        <v>#VALUE!</v>
      </c>
      <c r="V171" s="169" t="e">
        <f>'Earnings Model (adjusted)'!V171-'Earnings Model'!V171</f>
        <v>#VALUE!</v>
      </c>
      <c r="W171" s="169" t="e">
        <f>'Earnings Model (adjusted)'!W171-'Earnings Model'!W171</f>
        <v>#VALUE!</v>
      </c>
      <c r="X171" s="169" t="e">
        <f>'Earnings Model (adjusted)'!X171-'Earnings Model'!X171</f>
        <v>#VALUE!</v>
      </c>
      <c r="Y171" s="169" t="e">
        <f>'Earnings Model (adjusted)'!Y171-'Earnings Model'!Y171</f>
        <v>#VALUE!</v>
      </c>
      <c r="Z171" s="169" t="e">
        <f>'Earnings Model (adjusted)'!Z171-'Earnings Model'!Z171</f>
        <v>#VALUE!</v>
      </c>
      <c r="AA171" s="169" t="e">
        <f>'Earnings Model (adjusted)'!AA171-'Earnings Model'!AA171</f>
        <v>#VALUE!</v>
      </c>
      <c r="AB171" s="169" t="e">
        <f>'Earnings Model (adjusted)'!AB171-'Earnings Model'!AB171</f>
        <v>#VALUE!</v>
      </c>
      <c r="AC171" s="169" t="e">
        <f>'Earnings Model (adjusted)'!AC171-'Earnings Model'!AC171</f>
        <v>#VALUE!</v>
      </c>
      <c r="AD171" s="169" t="e">
        <f>'Earnings Model (adjusted)'!AD171-'Earnings Model'!AD171</f>
        <v>#VALUE!</v>
      </c>
      <c r="AE171" s="169" t="e">
        <f>'Earnings Model (adjusted)'!AE171-'Earnings Model'!AE171</f>
        <v>#VALUE!</v>
      </c>
      <c r="AF171" s="169" t="e">
        <f>'Earnings Model (adjusted)'!AF171-'Earnings Model'!AF171</f>
        <v>#VALUE!</v>
      </c>
      <c r="AG171" s="169" t="e">
        <f>'Earnings Model (adjusted)'!AG171-'Earnings Model'!AG171</f>
        <v>#VALUE!</v>
      </c>
      <c r="AH171" s="169" t="e">
        <f>'Earnings Model (adjusted)'!AH171-'Earnings Model'!AH171</f>
        <v>#VALUE!</v>
      </c>
      <c r="AI171" s="169" t="e">
        <f>'Earnings Model (adjusted)'!AI171-'Earnings Model'!AI171</f>
        <v>#VALUE!</v>
      </c>
      <c r="AJ171" s="169" t="e">
        <f>'Earnings Model (adjusted)'!AJ171-'Earnings Model'!AJ171</f>
        <v>#VALUE!</v>
      </c>
      <c r="AK171" s="169" t="e">
        <f>'Earnings Model (adjusted)'!AK171-'Earnings Model'!AK171</f>
        <v>#VALUE!</v>
      </c>
      <c r="AL171" s="169" t="e">
        <f>'Earnings Model (adjusted)'!AL171-'Earnings Model'!AL171</f>
        <v>#VALUE!</v>
      </c>
      <c r="AM171" s="169" t="e">
        <f>'Earnings Model (adjusted)'!AM171-'Earnings Model'!AM171</f>
        <v>#VALUE!</v>
      </c>
      <c r="AN171" s="169" t="e">
        <f>'Earnings Model (adjusted)'!AN171-'Earnings Model'!AN171</f>
        <v>#VALUE!</v>
      </c>
      <c r="AO171" s="169" t="e">
        <f>'Earnings Model (adjusted)'!AO171-'Earnings Model'!AO171</f>
        <v>#VALUE!</v>
      </c>
      <c r="AP171" s="169" t="e">
        <f>'Earnings Model (adjusted)'!AP171-'Earnings Model'!AP171</f>
        <v>#VALUE!</v>
      </c>
      <c r="AQ171" s="169" t="e">
        <f>'Earnings Model (adjusted)'!AQ171-'Earnings Model'!AQ171</f>
        <v>#VALUE!</v>
      </c>
    </row>
    <row r="172" spans="1:43" outlineLevel="1" x14ac:dyDescent="0.25">
      <c r="A172" s="254"/>
      <c r="B172" s="595" t="s">
        <v>189</v>
      </c>
      <c r="C172" s="596"/>
      <c r="D172" s="258">
        <f>-(22+5.3+0.6+20.9)</f>
        <v>-48.8</v>
      </c>
      <c r="E172" s="258">
        <v>-45.1</v>
      </c>
      <c r="F172" s="258">
        <v>-39.6</v>
      </c>
      <c r="G172" s="258">
        <f>-146.2+133.5</f>
        <v>-12.699999999999989</v>
      </c>
      <c r="H172" s="368">
        <f>SUM(D172:G172)</f>
        <v>-146.19999999999999</v>
      </c>
      <c r="I172" s="258">
        <v>-7.1</v>
      </c>
      <c r="J172" s="258">
        <v>0.1</v>
      </c>
      <c r="K172" s="261">
        <f>-K22</f>
        <v>-78.099999999999994</v>
      </c>
      <c r="L172" s="256">
        <v>-195.5</v>
      </c>
      <c r="M172" s="35"/>
      <c r="N172" s="34">
        <v>-72.2</v>
      </c>
      <c r="O172" s="34">
        <v>-23</v>
      </c>
      <c r="P172" s="34">
        <v>-19.8</v>
      </c>
      <c r="Q172" s="169">
        <f>'Earnings Model (adjusted)'!Q172-'Earnings Model'!Q172</f>
        <v>0</v>
      </c>
      <c r="R172" s="169">
        <f>'Earnings Model (adjusted)'!R172-'Earnings Model'!R172</f>
        <v>0</v>
      </c>
      <c r="S172" s="169">
        <f>'Earnings Model (adjusted)'!S172-'Earnings Model'!S172</f>
        <v>0</v>
      </c>
      <c r="T172" s="169">
        <f>'Earnings Model (adjusted)'!T172-'Earnings Model'!T172</f>
        <v>0</v>
      </c>
      <c r="U172" s="169">
        <f>'Earnings Model (adjusted)'!U172-'Earnings Model'!U172</f>
        <v>0</v>
      </c>
      <c r="V172" s="169">
        <f>'Earnings Model (adjusted)'!V172-'Earnings Model'!V172</f>
        <v>0</v>
      </c>
      <c r="W172" s="169">
        <f>'Earnings Model (adjusted)'!W172-'Earnings Model'!W172</f>
        <v>0</v>
      </c>
      <c r="X172" s="169">
        <f>'Earnings Model (adjusted)'!X172-'Earnings Model'!X172</f>
        <v>0</v>
      </c>
      <c r="Y172" s="169">
        <f>'Earnings Model (adjusted)'!Y172-'Earnings Model'!Y172</f>
        <v>0</v>
      </c>
      <c r="Z172" s="169">
        <f>'Earnings Model (adjusted)'!Z172-'Earnings Model'!Z172</f>
        <v>0</v>
      </c>
      <c r="AA172" s="169">
        <f>'Earnings Model (adjusted)'!AA172-'Earnings Model'!AA172</f>
        <v>0</v>
      </c>
      <c r="AB172" s="169">
        <f>'Earnings Model (adjusted)'!AB172-'Earnings Model'!AB172</f>
        <v>0</v>
      </c>
      <c r="AC172" s="169">
        <f>'Earnings Model (adjusted)'!AC172-'Earnings Model'!AC172</f>
        <v>0</v>
      </c>
      <c r="AD172" s="169">
        <f>'Earnings Model (adjusted)'!AD172-'Earnings Model'!AD172</f>
        <v>0</v>
      </c>
      <c r="AE172" s="169">
        <f>'Earnings Model (adjusted)'!AE172-'Earnings Model'!AE172</f>
        <v>0</v>
      </c>
      <c r="AF172" s="169">
        <f>'Earnings Model (adjusted)'!AF172-'Earnings Model'!AF172</f>
        <v>0</v>
      </c>
      <c r="AG172" s="169">
        <f>'Earnings Model (adjusted)'!AG172-'Earnings Model'!AG172</f>
        <v>0</v>
      </c>
      <c r="AH172" s="169">
        <f>'Earnings Model (adjusted)'!AH172-'Earnings Model'!AH172</f>
        <v>0</v>
      </c>
      <c r="AI172" s="169">
        <f>'Earnings Model (adjusted)'!AI172-'Earnings Model'!AI172</f>
        <v>0</v>
      </c>
      <c r="AJ172" s="169">
        <f>'Earnings Model (adjusted)'!AJ172-'Earnings Model'!AJ172</f>
        <v>0</v>
      </c>
      <c r="AK172" s="169">
        <f>'Earnings Model (adjusted)'!AK172-'Earnings Model'!AK172</f>
        <v>0</v>
      </c>
      <c r="AL172" s="169">
        <f>'Earnings Model (adjusted)'!AL172-'Earnings Model'!AL172</f>
        <v>0</v>
      </c>
      <c r="AM172" s="169">
        <f>'Earnings Model (adjusted)'!AM172-'Earnings Model'!AM172</f>
        <v>0</v>
      </c>
      <c r="AN172" s="169">
        <f>'Earnings Model (adjusted)'!AN172-'Earnings Model'!AN172</f>
        <v>0</v>
      </c>
      <c r="AO172" s="169">
        <f>'Earnings Model (adjusted)'!AO172-'Earnings Model'!AO172</f>
        <v>0</v>
      </c>
      <c r="AP172" s="169">
        <f>'Earnings Model (adjusted)'!AP172-'Earnings Model'!AP172</f>
        <v>0</v>
      </c>
      <c r="AQ172" s="169">
        <f>'Earnings Model (adjusted)'!AQ172-'Earnings Model'!AQ172</f>
        <v>0</v>
      </c>
    </row>
    <row r="173" spans="1:43" outlineLevel="1" x14ac:dyDescent="0.25">
      <c r="A173" s="254"/>
      <c r="B173" s="539" t="s">
        <v>188</v>
      </c>
      <c r="C173" s="540"/>
      <c r="D173" s="258">
        <f>-(5.3+0.5)</f>
        <v>-5.8</v>
      </c>
      <c r="E173" s="258">
        <v>-4.3</v>
      </c>
      <c r="F173" s="258">
        <v>-2.2999999999999998</v>
      </c>
      <c r="G173" s="258">
        <v>-0.2</v>
      </c>
      <c r="H173" s="368">
        <f t="shared" ref="H173:H176" si="114">SUM(D173:G173)</f>
        <v>-12.599999999999998</v>
      </c>
      <c r="I173" s="258">
        <v>-5.6</v>
      </c>
      <c r="J173" s="258">
        <v>-6.8</v>
      </c>
      <c r="K173" s="261">
        <v>-35.04</v>
      </c>
      <c r="L173" s="256">
        <v>0</v>
      </c>
      <c r="M173" s="35"/>
      <c r="N173" s="34">
        <v>0</v>
      </c>
      <c r="O173" s="34">
        <v>0</v>
      </c>
      <c r="P173" s="34">
        <v>22.8</v>
      </c>
      <c r="Q173" s="169">
        <f>'Earnings Model (adjusted)'!Q173-'Earnings Model'!Q173</f>
        <v>0</v>
      </c>
      <c r="R173" s="169">
        <f>'Earnings Model (adjusted)'!R173-'Earnings Model'!R173</f>
        <v>0</v>
      </c>
      <c r="S173" s="169">
        <f>'Earnings Model (adjusted)'!S173-'Earnings Model'!S173</f>
        <v>0</v>
      </c>
      <c r="T173" s="169">
        <f>'Earnings Model (adjusted)'!T173-'Earnings Model'!T173</f>
        <v>0</v>
      </c>
      <c r="U173" s="169">
        <f>'Earnings Model (adjusted)'!U173-'Earnings Model'!U173</f>
        <v>0</v>
      </c>
      <c r="V173" s="169">
        <f>'Earnings Model (adjusted)'!V173-'Earnings Model'!V173</f>
        <v>0</v>
      </c>
      <c r="W173" s="169">
        <f>'Earnings Model (adjusted)'!W173-'Earnings Model'!W173</f>
        <v>0</v>
      </c>
      <c r="X173" s="169">
        <f>'Earnings Model (adjusted)'!X173-'Earnings Model'!X173</f>
        <v>0</v>
      </c>
      <c r="Y173" s="169">
        <f>'Earnings Model (adjusted)'!Y173-'Earnings Model'!Y173</f>
        <v>0</v>
      </c>
      <c r="Z173" s="169">
        <f>'Earnings Model (adjusted)'!Z173-'Earnings Model'!Z173</f>
        <v>0</v>
      </c>
      <c r="AA173" s="169">
        <f>'Earnings Model (adjusted)'!AA173-'Earnings Model'!AA173</f>
        <v>0</v>
      </c>
      <c r="AB173" s="169">
        <f>'Earnings Model (adjusted)'!AB173-'Earnings Model'!AB173</f>
        <v>0</v>
      </c>
      <c r="AC173" s="169">
        <f>'Earnings Model (adjusted)'!AC173-'Earnings Model'!AC173</f>
        <v>0</v>
      </c>
      <c r="AD173" s="169">
        <f>'Earnings Model (adjusted)'!AD173-'Earnings Model'!AD173</f>
        <v>0</v>
      </c>
      <c r="AE173" s="169">
        <f>'Earnings Model (adjusted)'!AE173-'Earnings Model'!AE173</f>
        <v>0</v>
      </c>
      <c r="AF173" s="169">
        <f>'Earnings Model (adjusted)'!AF173-'Earnings Model'!AF173</f>
        <v>0</v>
      </c>
      <c r="AG173" s="169">
        <f>'Earnings Model (adjusted)'!AG173-'Earnings Model'!AG173</f>
        <v>0</v>
      </c>
      <c r="AH173" s="169">
        <f>'Earnings Model (adjusted)'!AH173-'Earnings Model'!AH173</f>
        <v>0</v>
      </c>
      <c r="AI173" s="169">
        <f>'Earnings Model (adjusted)'!AI173-'Earnings Model'!AI173</f>
        <v>0</v>
      </c>
      <c r="AJ173" s="169">
        <f>'Earnings Model (adjusted)'!AJ173-'Earnings Model'!AJ173</f>
        <v>0</v>
      </c>
      <c r="AK173" s="169">
        <f>'Earnings Model (adjusted)'!AK173-'Earnings Model'!AK173</f>
        <v>0</v>
      </c>
      <c r="AL173" s="169">
        <f>'Earnings Model (adjusted)'!AL173-'Earnings Model'!AL173</f>
        <v>0</v>
      </c>
      <c r="AM173" s="169">
        <f>'Earnings Model (adjusted)'!AM173-'Earnings Model'!AM173</f>
        <v>0</v>
      </c>
      <c r="AN173" s="169">
        <f>'Earnings Model (adjusted)'!AN173-'Earnings Model'!AN173</f>
        <v>0</v>
      </c>
      <c r="AO173" s="169">
        <f>'Earnings Model (adjusted)'!AO173-'Earnings Model'!AO173</f>
        <v>0</v>
      </c>
      <c r="AP173" s="169">
        <f>'Earnings Model (adjusted)'!AP173-'Earnings Model'!AP173</f>
        <v>0</v>
      </c>
      <c r="AQ173" s="169">
        <f>'Earnings Model (adjusted)'!AQ173-'Earnings Model'!AQ173</f>
        <v>0</v>
      </c>
    </row>
    <row r="174" spans="1:43" outlineLevel="1" x14ac:dyDescent="0.25">
      <c r="A174" s="254"/>
      <c r="B174" s="595" t="s">
        <v>305</v>
      </c>
      <c r="C174" s="596"/>
      <c r="D174" s="258">
        <f>-(60.6-0.3)</f>
        <v>-60.300000000000004</v>
      </c>
      <c r="E174" s="258">
        <v>-68.2</v>
      </c>
      <c r="F174" s="258">
        <v>-69</v>
      </c>
      <c r="G174" s="258">
        <f>-262+197.5</f>
        <v>-64.5</v>
      </c>
      <c r="H174" s="368">
        <f>SUM(D174:G174)</f>
        <v>-262</v>
      </c>
      <c r="I174" s="258">
        <v>-58.9</v>
      </c>
      <c r="J174" s="258">
        <v>-60.1</v>
      </c>
      <c r="K174" s="261">
        <v>-60.54</v>
      </c>
      <c r="L174" s="256">
        <v>-64</v>
      </c>
      <c r="M174" s="35"/>
      <c r="N174" s="34">
        <v>-62.7</v>
      </c>
      <c r="O174" s="34">
        <v>-65.2</v>
      </c>
      <c r="P174" s="34">
        <v>-54.7</v>
      </c>
      <c r="Q174" s="169">
        <f>'Earnings Model (adjusted)'!Q174-'Earnings Model'!Q174</f>
        <v>0</v>
      </c>
      <c r="R174" s="169">
        <f>'Earnings Model (adjusted)'!R174-'Earnings Model'!R174</f>
        <v>0</v>
      </c>
      <c r="S174" s="169">
        <f>'Earnings Model (adjusted)'!S174-'Earnings Model'!S174</f>
        <v>0</v>
      </c>
      <c r="T174" s="169">
        <f>'Earnings Model (adjusted)'!T174-'Earnings Model'!T174</f>
        <v>0</v>
      </c>
      <c r="U174" s="169">
        <f>'Earnings Model (adjusted)'!U174-'Earnings Model'!U174</f>
        <v>0</v>
      </c>
      <c r="V174" s="169">
        <f>'Earnings Model (adjusted)'!V174-'Earnings Model'!V174</f>
        <v>0</v>
      </c>
      <c r="W174" s="169">
        <f>'Earnings Model (adjusted)'!W174-'Earnings Model'!W174</f>
        <v>0</v>
      </c>
      <c r="X174" s="169">
        <f>'Earnings Model (adjusted)'!X174-'Earnings Model'!X174</f>
        <v>0</v>
      </c>
      <c r="Y174" s="169">
        <f>'Earnings Model (adjusted)'!Y174-'Earnings Model'!Y174</f>
        <v>0</v>
      </c>
      <c r="Z174" s="169">
        <f>'Earnings Model (adjusted)'!Z174-'Earnings Model'!Z174</f>
        <v>0</v>
      </c>
      <c r="AA174" s="169">
        <f>'Earnings Model (adjusted)'!AA174-'Earnings Model'!AA174</f>
        <v>0</v>
      </c>
      <c r="AB174" s="169">
        <f>'Earnings Model (adjusted)'!AB174-'Earnings Model'!AB174</f>
        <v>0</v>
      </c>
      <c r="AC174" s="169">
        <f>'Earnings Model (adjusted)'!AC174-'Earnings Model'!AC174</f>
        <v>0</v>
      </c>
      <c r="AD174" s="169">
        <f>'Earnings Model (adjusted)'!AD174-'Earnings Model'!AD174</f>
        <v>0</v>
      </c>
      <c r="AE174" s="169">
        <f>'Earnings Model (adjusted)'!AE174-'Earnings Model'!AE174</f>
        <v>0</v>
      </c>
      <c r="AF174" s="169">
        <f>'Earnings Model (adjusted)'!AF174-'Earnings Model'!AF174</f>
        <v>0</v>
      </c>
      <c r="AG174" s="169">
        <f>'Earnings Model (adjusted)'!AG174-'Earnings Model'!AG174</f>
        <v>0</v>
      </c>
      <c r="AH174" s="169">
        <f>'Earnings Model (adjusted)'!AH174-'Earnings Model'!AH174</f>
        <v>0</v>
      </c>
      <c r="AI174" s="169">
        <f>'Earnings Model (adjusted)'!AI174-'Earnings Model'!AI174</f>
        <v>0</v>
      </c>
      <c r="AJ174" s="169">
        <f>'Earnings Model (adjusted)'!AJ174-'Earnings Model'!AJ174</f>
        <v>0</v>
      </c>
      <c r="AK174" s="169">
        <f>'Earnings Model (adjusted)'!AK174-'Earnings Model'!AK174</f>
        <v>0</v>
      </c>
      <c r="AL174" s="169">
        <f>'Earnings Model (adjusted)'!AL174-'Earnings Model'!AL174</f>
        <v>0</v>
      </c>
      <c r="AM174" s="169">
        <f>'Earnings Model (adjusted)'!AM174-'Earnings Model'!AM174</f>
        <v>0</v>
      </c>
      <c r="AN174" s="169">
        <f>'Earnings Model (adjusted)'!AN174-'Earnings Model'!AN174</f>
        <v>0</v>
      </c>
      <c r="AO174" s="169">
        <f>'Earnings Model (adjusted)'!AO174-'Earnings Model'!AO174</f>
        <v>0</v>
      </c>
      <c r="AP174" s="169">
        <f>'Earnings Model (adjusted)'!AP174-'Earnings Model'!AP174</f>
        <v>0</v>
      </c>
      <c r="AQ174" s="169">
        <f>'Earnings Model (adjusted)'!AQ174-'Earnings Model'!AQ174</f>
        <v>0</v>
      </c>
    </row>
    <row r="175" spans="1:43" outlineLevel="1" x14ac:dyDescent="0.25">
      <c r="A175" s="254"/>
      <c r="B175" s="539" t="s">
        <v>190</v>
      </c>
      <c r="C175" s="540"/>
      <c r="D175" s="258">
        <v>-23.1</v>
      </c>
      <c r="E175" s="258">
        <v>-23.8</v>
      </c>
      <c r="F175" s="258">
        <v>-14.4</v>
      </c>
      <c r="G175" s="258">
        <v>0</v>
      </c>
      <c r="H175" s="368">
        <f t="shared" si="114"/>
        <v>-61.300000000000004</v>
      </c>
      <c r="I175" s="258"/>
      <c r="J175" s="258"/>
      <c r="K175" s="256"/>
      <c r="L175" s="256"/>
      <c r="M175" s="35"/>
      <c r="N175" s="34"/>
      <c r="O175" s="34"/>
      <c r="P175" s="34"/>
      <c r="Q175" s="169">
        <f>'Earnings Model (adjusted)'!Q175-'Earnings Model'!Q175</f>
        <v>0</v>
      </c>
      <c r="R175" s="169">
        <f>'Earnings Model (adjusted)'!R175-'Earnings Model'!R175</f>
        <v>0</v>
      </c>
      <c r="S175" s="169">
        <f>'Earnings Model (adjusted)'!S175-'Earnings Model'!S175</f>
        <v>0</v>
      </c>
      <c r="T175" s="169">
        <f>'Earnings Model (adjusted)'!T175-'Earnings Model'!T175</f>
        <v>0</v>
      </c>
      <c r="U175" s="169">
        <f>'Earnings Model (adjusted)'!U175-'Earnings Model'!U175</f>
        <v>0</v>
      </c>
      <c r="V175" s="169">
        <f>'Earnings Model (adjusted)'!V175-'Earnings Model'!V175</f>
        <v>0</v>
      </c>
      <c r="W175" s="169">
        <f>'Earnings Model (adjusted)'!W175-'Earnings Model'!W175</f>
        <v>0</v>
      </c>
      <c r="X175" s="169">
        <f>'Earnings Model (adjusted)'!X175-'Earnings Model'!X175</f>
        <v>0</v>
      </c>
      <c r="Y175" s="169">
        <f>'Earnings Model (adjusted)'!Y175-'Earnings Model'!Y175</f>
        <v>0</v>
      </c>
      <c r="Z175" s="169">
        <f>'Earnings Model (adjusted)'!Z175-'Earnings Model'!Z175</f>
        <v>0</v>
      </c>
      <c r="AA175" s="169">
        <f>'Earnings Model (adjusted)'!AA175-'Earnings Model'!AA175</f>
        <v>0</v>
      </c>
      <c r="AB175" s="169">
        <f>'Earnings Model (adjusted)'!AB175-'Earnings Model'!AB175</f>
        <v>0</v>
      </c>
      <c r="AC175" s="169">
        <f>'Earnings Model (adjusted)'!AC175-'Earnings Model'!AC175</f>
        <v>0</v>
      </c>
      <c r="AD175" s="169">
        <f>'Earnings Model (adjusted)'!AD175-'Earnings Model'!AD175</f>
        <v>0</v>
      </c>
      <c r="AE175" s="169">
        <f>'Earnings Model (adjusted)'!AE175-'Earnings Model'!AE175</f>
        <v>0</v>
      </c>
      <c r="AF175" s="169">
        <f>'Earnings Model (adjusted)'!AF175-'Earnings Model'!AF175</f>
        <v>0</v>
      </c>
      <c r="AG175" s="169">
        <f>'Earnings Model (adjusted)'!AG175-'Earnings Model'!AG175</f>
        <v>0</v>
      </c>
      <c r="AH175" s="169">
        <f>'Earnings Model (adjusted)'!AH175-'Earnings Model'!AH175</f>
        <v>0</v>
      </c>
      <c r="AI175" s="169">
        <f>'Earnings Model (adjusted)'!AI175-'Earnings Model'!AI175</f>
        <v>0</v>
      </c>
      <c r="AJ175" s="169">
        <f>'Earnings Model (adjusted)'!AJ175-'Earnings Model'!AJ175</f>
        <v>0</v>
      </c>
      <c r="AK175" s="169">
        <f>'Earnings Model (adjusted)'!AK175-'Earnings Model'!AK175</f>
        <v>0</v>
      </c>
      <c r="AL175" s="169">
        <f>'Earnings Model (adjusted)'!AL175-'Earnings Model'!AL175</f>
        <v>0</v>
      </c>
      <c r="AM175" s="169">
        <f>'Earnings Model (adjusted)'!AM175-'Earnings Model'!AM175</f>
        <v>0</v>
      </c>
      <c r="AN175" s="169">
        <f>'Earnings Model (adjusted)'!AN175-'Earnings Model'!AN175</f>
        <v>0</v>
      </c>
      <c r="AO175" s="169">
        <f>'Earnings Model (adjusted)'!AO175-'Earnings Model'!AO175</f>
        <v>0</v>
      </c>
      <c r="AP175" s="169">
        <f>'Earnings Model (adjusted)'!AP175-'Earnings Model'!AP175</f>
        <v>0</v>
      </c>
      <c r="AQ175" s="169">
        <f>'Earnings Model (adjusted)'!AQ175-'Earnings Model'!AQ175</f>
        <v>0</v>
      </c>
    </row>
    <row r="176" spans="1:43" ht="17.25" outlineLevel="1" x14ac:dyDescent="0.4">
      <c r="A176" s="254"/>
      <c r="B176" s="539" t="s">
        <v>237</v>
      </c>
      <c r="C176" s="540"/>
      <c r="D176" s="331">
        <v>0</v>
      </c>
      <c r="E176" s="331">
        <v>0</v>
      </c>
      <c r="F176" s="331">
        <v>0</v>
      </c>
      <c r="G176" s="331">
        <v>0</v>
      </c>
      <c r="H176" s="369">
        <f t="shared" si="114"/>
        <v>0</v>
      </c>
      <c r="I176" s="331">
        <v>0</v>
      </c>
      <c r="J176" s="331">
        <v>0</v>
      </c>
      <c r="K176" s="270">
        <v>0</v>
      </c>
      <c r="L176" s="270">
        <v>0</v>
      </c>
      <c r="M176" s="35"/>
      <c r="N176" s="270">
        <v>0</v>
      </c>
      <c r="O176" s="270">
        <v>0</v>
      </c>
      <c r="P176" s="270">
        <v>0</v>
      </c>
      <c r="Q176" s="169">
        <f>'Earnings Model (adjusted)'!Q176-'Earnings Model'!Q176</f>
        <v>0</v>
      </c>
      <c r="R176" s="169">
        <f>'Earnings Model (adjusted)'!R176-'Earnings Model'!R176</f>
        <v>0</v>
      </c>
      <c r="S176" s="169">
        <f>'Earnings Model (adjusted)'!S176-'Earnings Model'!S176</f>
        <v>0</v>
      </c>
      <c r="T176" s="169">
        <f>'Earnings Model (adjusted)'!T176-'Earnings Model'!T176</f>
        <v>0</v>
      </c>
      <c r="U176" s="169">
        <f>'Earnings Model (adjusted)'!U176-'Earnings Model'!U176</f>
        <v>0</v>
      </c>
      <c r="V176" s="169">
        <f>'Earnings Model (adjusted)'!V176-'Earnings Model'!V176</f>
        <v>0</v>
      </c>
      <c r="W176" s="169">
        <f>'Earnings Model (adjusted)'!W176-'Earnings Model'!W176</f>
        <v>0</v>
      </c>
      <c r="X176" s="169">
        <f>'Earnings Model (adjusted)'!X176-'Earnings Model'!X176</f>
        <v>0</v>
      </c>
      <c r="Y176" s="169">
        <f>'Earnings Model (adjusted)'!Y176-'Earnings Model'!Y176</f>
        <v>0</v>
      </c>
      <c r="Z176" s="169">
        <f>'Earnings Model (adjusted)'!Z176-'Earnings Model'!Z176</f>
        <v>0</v>
      </c>
      <c r="AA176" s="169">
        <f>'Earnings Model (adjusted)'!AA176-'Earnings Model'!AA176</f>
        <v>0</v>
      </c>
      <c r="AB176" s="169">
        <f>'Earnings Model (adjusted)'!AB176-'Earnings Model'!AB176</f>
        <v>0</v>
      </c>
      <c r="AC176" s="169">
        <f>'Earnings Model (adjusted)'!AC176-'Earnings Model'!AC176</f>
        <v>0</v>
      </c>
      <c r="AD176" s="169">
        <f>'Earnings Model (adjusted)'!AD176-'Earnings Model'!AD176</f>
        <v>0</v>
      </c>
      <c r="AE176" s="169">
        <f>'Earnings Model (adjusted)'!AE176-'Earnings Model'!AE176</f>
        <v>0</v>
      </c>
      <c r="AF176" s="169">
        <f>'Earnings Model (adjusted)'!AF176-'Earnings Model'!AF176</f>
        <v>0</v>
      </c>
      <c r="AG176" s="169">
        <f>'Earnings Model (adjusted)'!AG176-'Earnings Model'!AG176</f>
        <v>0</v>
      </c>
      <c r="AH176" s="169">
        <f>'Earnings Model (adjusted)'!AH176-'Earnings Model'!AH176</f>
        <v>0</v>
      </c>
      <c r="AI176" s="169">
        <f>'Earnings Model (adjusted)'!AI176-'Earnings Model'!AI176</f>
        <v>0</v>
      </c>
      <c r="AJ176" s="169">
        <f>'Earnings Model (adjusted)'!AJ176-'Earnings Model'!AJ176</f>
        <v>0</v>
      </c>
      <c r="AK176" s="169">
        <f>'Earnings Model (adjusted)'!AK176-'Earnings Model'!AK176</f>
        <v>0</v>
      </c>
      <c r="AL176" s="169">
        <f>'Earnings Model (adjusted)'!AL176-'Earnings Model'!AL176</f>
        <v>0</v>
      </c>
      <c r="AM176" s="169">
        <f>'Earnings Model (adjusted)'!AM176-'Earnings Model'!AM176</f>
        <v>0</v>
      </c>
      <c r="AN176" s="169">
        <f>'Earnings Model (adjusted)'!AN176-'Earnings Model'!AN176</f>
        <v>0</v>
      </c>
      <c r="AO176" s="169">
        <f>'Earnings Model (adjusted)'!AO176-'Earnings Model'!AO176</f>
        <v>0</v>
      </c>
      <c r="AP176" s="169">
        <f>'Earnings Model (adjusted)'!AP176-'Earnings Model'!AP176</f>
        <v>0</v>
      </c>
      <c r="AQ176" s="169">
        <f>'Earnings Model (adjusted)'!AQ176-'Earnings Model'!AQ176</f>
        <v>0</v>
      </c>
    </row>
    <row r="177" spans="1:43" s="20" customFormat="1" outlineLevel="1" x14ac:dyDescent="0.25">
      <c r="A177" s="269"/>
      <c r="B177" s="545" t="s">
        <v>191</v>
      </c>
      <c r="C177" s="542"/>
      <c r="D177" s="171">
        <f t="shared" ref="D177:L177" si="115">SUM(D172:D176)</f>
        <v>-138</v>
      </c>
      <c r="E177" s="171">
        <f t="shared" si="115"/>
        <v>-141.4</v>
      </c>
      <c r="F177" s="171">
        <f t="shared" si="115"/>
        <v>-125.30000000000001</v>
      </c>
      <c r="G177" s="171">
        <f t="shared" si="115"/>
        <v>-77.399999999999991</v>
      </c>
      <c r="H177" s="172">
        <f t="shared" si="115"/>
        <v>-482.09999999999997</v>
      </c>
      <c r="I177" s="171">
        <f t="shared" si="115"/>
        <v>-71.599999999999994</v>
      </c>
      <c r="J177" s="171">
        <f t="shared" si="115"/>
        <v>-66.8</v>
      </c>
      <c r="K177" s="171">
        <f t="shared" si="115"/>
        <v>-173.67999999999998</v>
      </c>
      <c r="L177" s="171">
        <f t="shared" si="115"/>
        <v>-259.5</v>
      </c>
      <c r="M177" s="42"/>
      <c r="N177" s="171">
        <f>SUM(N172:N176)</f>
        <v>-134.9</v>
      </c>
      <c r="O177" s="171">
        <f>SUM(O172:O176)</f>
        <v>-88.2</v>
      </c>
      <c r="P177" s="171">
        <f>SUM(P172:P176)</f>
        <v>-51.7</v>
      </c>
      <c r="Q177" s="169">
        <f>'Earnings Model (adjusted)'!Q177-'Earnings Model'!Q177</f>
        <v>0</v>
      </c>
      <c r="R177" s="169">
        <f>'Earnings Model (adjusted)'!R177-'Earnings Model'!R177</f>
        <v>0</v>
      </c>
      <c r="S177" s="169">
        <f>'Earnings Model (adjusted)'!S177-'Earnings Model'!S177</f>
        <v>0</v>
      </c>
      <c r="T177" s="169">
        <f>'Earnings Model (adjusted)'!T177-'Earnings Model'!T177</f>
        <v>0</v>
      </c>
      <c r="U177" s="169">
        <f>'Earnings Model (adjusted)'!U177-'Earnings Model'!U177</f>
        <v>0</v>
      </c>
      <c r="V177" s="169">
        <f>'Earnings Model (adjusted)'!V177-'Earnings Model'!V177</f>
        <v>0</v>
      </c>
      <c r="W177" s="169">
        <f>'Earnings Model (adjusted)'!W177-'Earnings Model'!W177</f>
        <v>0</v>
      </c>
      <c r="X177" s="169">
        <f>'Earnings Model (adjusted)'!X177-'Earnings Model'!X177</f>
        <v>0</v>
      </c>
      <c r="Y177" s="169">
        <f>'Earnings Model (adjusted)'!Y177-'Earnings Model'!Y177</f>
        <v>0</v>
      </c>
      <c r="Z177" s="169">
        <f>'Earnings Model (adjusted)'!Z177-'Earnings Model'!Z177</f>
        <v>0</v>
      </c>
      <c r="AA177" s="169">
        <f>'Earnings Model (adjusted)'!AA177-'Earnings Model'!AA177</f>
        <v>0</v>
      </c>
      <c r="AB177" s="169">
        <f>'Earnings Model (adjusted)'!AB177-'Earnings Model'!AB177</f>
        <v>0</v>
      </c>
      <c r="AC177" s="169">
        <f>'Earnings Model (adjusted)'!AC177-'Earnings Model'!AC177</f>
        <v>0</v>
      </c>
      <c r="AD177" s="169">
        <f>'Earnings Model (adjusted)'!AD177-'Earnings Model'!AD177</f>
        <v>0</v>
      </c>
      <c r="AE177" s="169">
        <f>'Earnings Model (adjusted)'!AE177-'Earnings Model'!AE177</f>
        <v>0</v>
      </c>
      <c r="AF177" s="169">
        <f>'Earnings Model (adjusted)'!AF177-'Earnings Model'!AF177</f>
        <v>0</v>
      </c>
      <c r="AG177" s="169">
        <f>'Earnings Model (adjusted)'!AG177-'Earnings Model'!AG177</f>
        <v>0</v>
      </c>
      <c r="AH177" s="169">
        <f>'Earnings Model (adjusted)'!AH177-'Earnings Model'!AH177</f>
        <v>0</v>
      </c>
      <c r="AI177" s="169">
        <f>'Earnings Model (adjusted)'!AI177-'Earnings Model'!AI177</f>
        <v>0</v>
      </c>
      <c r="AJ177" s="169">
        <f>'Earnings Model (adjusted)'!AJ177-'Earnings Model'!AJ177</f>
        <v>0</v>
      </c>
      <c r="AK177" s="169">
        <f>'Earnings Model (adjusted)'!AK177-'Earnings Model'!AK177</f>
        <v>0</v>
      </c>
      <c r="AL177" s="169">
        <f>'Earnings Model (adjusted)'!AL177-'Earnings Model'!AL177</f>
        <v>0</v>
      </c>
      <c r="AM177" s="169">
        <f>'Earnings Model (adjusted)'!AM177-'Earnings Model'!AM177</f>
        <v>0</v>
      </c>
      <c r="AN177" s="169">
        <f>'Earnings Model (adjusted)'!AN177-'Earnings Model'!AN177</f>
        <v>0</v>
      </c>
      <c r="AO177" s="169">
        <f>'Earnings Model (adjusted)'!AO177-'Earnings Model'!AO177</f>
        <v>0</v>
      </c>
      <c r="AP177" s="169">
        <f>'Earnings Model (adjusted)'!AP177-'Earnings Model'!AP177</f>
        <v>0</v>
      </c>
      <c r="AQ177" s="169">
        <f>'Earnings Model (adjusted)'!AQ177-'Earnings Model'!AQ177</f>
        <v>0</v>
      </c>
    </row>
    <row r="178" spans="1:43" ht="17.25" outlineLevel="1" x14ac:dyDescent="0.4">
      <c r="A178" s="254"/>
      <c r="B178" s="539" t="s">
        <v>345</v>
      </c>
      <c r="C178" s="540"/>
      <c r="D178" s="173">
        <v>0</v>
      </c>
      <c r="E178" s="173">
        <v>0</v>
      </c>
      <c r="F178" s="173">
        <v>0</v>
      </c>
      <c r="G178" s="173">
        <v>0</v>
      </c>
      <c r="H178" s="35"/>
      <c r="I178" s="173">
        <v>0</v>
      </c>
      <c r="J178" s="173">
        <v>0</v>
      </c>
      <c r="K178" s="173">
        <v>0</v>
      </c>
      <c r="L178" s="173">
        <v>0</v>
      </c>
      <c r="M178" s="35"/>
      <c r="N178" s="173">
        <v>0</v>
      </c>
      <c r="O178" s="173">
        <v>0</v>
      </c>
      <c r="P178" s="173">
        <v>0</v>
      </c>
      <c r="Q178" s="169">
        <f>'Earnings Model (adjusted)'!Q178-'Earnings Model'!Q178</f>
        <v>0</v>
      </c>
      <c r="R178" s="169">
        <f>'Earnings Model (adjusted)'!R178-'Earnings Model'!R178</f>
        <v>0</v>
      </c>
      <c r="S178" s="169">
        <f>'Earnings Model (adjusted)'!S178-'Earnings Model'!S178</f>
        <v>0</v>
      </c>
      <c r="T178" s="169">
        <f>'Earnings Model (adjusted)'!T178-'Earnings Model'!T178</f>
        <v>0</v>
      </c>
      <c r="U178" s="169">
        <f>'Earnings Model (adjusted)'!U178-'Earnings Model'!U178</f>
        <v>0</v>
      </c>
      <c r="V178" s="169">
        <f>'Earnings Model (adjusted)'!V178-'Earnings Model'!V178</f>
        <v>0</v>
      </c>
      <c r="W178" s="169">
        <f>'Earnings Model (adjusted)'!W178-'Earnings Model'!W178</f>
        <v>0</v>
      </c>
      <c r="X178" s="169">
        <f>'Earnings Model (adjusted)'!X178-'Earnings Model'!X178</f>
        <v>0</v>
      </c>
      <c r="Y178" s="169">
        <f>'Earnings Model (adjusted)'!Y178-'Earnings Model'!Y178</f>
        <v>0</v>
      </c>
      <c r="Z178" s="169">
        <f>'Earnings Model (adjusted)'!Z178-'Earnings Model'!Z178</f>
        <v>0</v>
      </c>
      <c r="AA178" s="169">
        <f>'Earnings Model (adjusted)'!AA178-'Earnings Model'!AA178</f>
        <v>0</v>
      </c>
      <c r="AB178" s="169">
        <f>'Earnings Model (adjusted)'!AB178-'Earnings Model'!AB178</f>
        <v>0</v>
      </c>
      <c r="AC178" s="169">
        <f>'Earnings Model (adjusted)'!AC178-'Earnings Model'!AC178</f>
        <v>0</v>
      </c>
      <c r="AD178" s="169">
        <f>'Earnings Model (adjusted)'!AD178-'Earnings Model'!AD178</f>
        <v>0</v>
      </c>
      <c r="AE178" s="169">
        <f>'Earnings Model (adjusted)'!AE178-'Earnings Model'!AE178</f>
        <v>0</v>
      </c>
      <c r="AF178" s="169">
        <f>'Earnings Model (adjusted)'!AF178-'Earnings Model'!AF178</f>
        <v>0</v>
      </c>
      <c r="AG178" s="169">
        <f>'Earnings Model (adjusted)'!AG178-'Earnings Model'!AG178</f>
        <v>0</v>
      </c>
      <c r="AH178" s="169">
        <f>'Earnings Model (adjusted)'!AH178-'Earnings Model'!AH178</f>
        <v>0</v>
      </c>
      <c r="AI178" s="169">
        <f>'Earnings Model (adjusted)'!AI178-'Earnings Model'!AI178</f>
        <v>0</v>
      </c>
      <c r="AJ178" s="169">
        <f>'Earnings Model (adjusted)'!AJ178-'Earnings Model'!AJ178</f>
        <v>0</v>
      </c>
      <c r="AK178" s="169">
        <f>'Earnings Model (adjusted)'!AK178-'Earnings Model'!AK178</f>
        <v>0</v>
      </c>
      <c r="AL178" s="169">
        <f>'Earnings Model (adjusted)'!AL178-'Earnings Model'!AL178</f>
        <v>0</v>
      </c>
      <c r="AM178" s="169">
        <f>'Earnings Model (adjusted)'!AM178-'Earnings Model'!AM178</f>
        <v>0</v>
      </c>
      <c r="AN178" s="169">
        <f>'Earnings Model (adjusted)'!AN178-'Earnings Model'!AN178</f>
        <v>0</v>
      </c>
      <c r="AO178" s="169">
        <f>'Earnings Model (adjusted)'!AO178-'Earnings Model'!AO178</f>
        <v>0</v>
      </c>
      <c r="AP178" s="169">
        <f>'Earnings Model (adjusted)'!AP178-'Earnings Model'!AP178</f>
        <v>0</v>
      </c>
      <c r="AQ178" s="169">
        <f>'Earnings Model (adjusted)'!AQ178-'Earnings Model'!AQ178</f>
        <v>0</v>
      </c>
    </row>
    <row r="179" spans="1:43" s="20" customFormat="1" outlineLevel="1" x14ac:dyDescent="0.25">
      <c r="A179" s="269"/>
      <c r="B179" s="545" t="s">
        <v>192</v>
      </c>
      <c r="C179" s="542"/>
      <c r="D179" s="171">
        <f t="shared" ref="D179:G179" si="116">-D177+D178</f>
        <v>138</v>
      </c>
      <c r="E179" s="171">
        <f t="shared" si="116"/>
        <v>141.4</v>
      </c>
      <c r="F179" s="171">
        <f t="shared" si="116"/>
        <v>125.30000000000001</v>
      </c>
      <c r="G179" s="171">
        <f t="shared" si="116"/>
        <v>77.399999999999991</v>
      </c>
      <c r="H179" s="42"/>
      <c r="I179" s="171">
        <f t="shared" ref="I179:L179" si="117">-I177+I178</f>
        <v>71.599999999999994</v>
      </c>
      <c r="J179" s="171">
        <f t="shared" si="117"/>
        <v>66.8</v>
      </c>
      <c r="K179" s="171">
        <f t="shared" si="117"/>
        <v>173.67999999999998</v>
      </c>
      <c r="L179" s="171">
        <f t="shared" si="117"/>
        <v>259.5</v>
      </c>
      <c r="M179" s="42"/>
      <c r="N179" s="171">
        <f t="shared" ref="N179:P179" si="118">-N177+N178</f>
        <v>134.9</v>
      </c>
      <c r="O179" s="171">
        <f t="shared" si="118"/>
        <v>88.2</v>
      </c>
      <c r="P179" s="171">
        <f t="shared" si="118"/>
        <v>51.7</v>
      </c>
      <c r="Q179" s="169">
        <f>'Earnings Model (adjusted)'!Q179-'Earnings Model'!Q179</f>
        <v>0</v>
      </c>
      <c r="R179" s="169">
        <f>'Earnings Model (adjusted)'!R179-'Earnings Model'!R179</f>
        <v>0</v>
      </c>
      <c r="S179" s="169">
        <f>'Earnings Model (adjusted)'!S179-'Earnings Model'!S179</f>
        <v>0</v>
      </c>
      <c r="T179" s="169">
        <f>'Earnings Model (adjusted)'!T179-'Earnings Model'!T179</f>
        <v>0</v>
      </c>
      <c r="U179" s="169">
        <f>'Earnings Model (adjusted)'!U179-'Earnings Model'!U179</f>
        <v>0</v>
      </c>
      <c r="V179" s="169">
        <f>'Earnings Model (adjusted)'!V179-'Earnings Model'!V179</f>
        <v>0</v>
      </c>
      <c r="W179" s="169">
        <f>'Earnings Model (adjusted)'!W179-'Earnings Model'!W179</f>
        <v>0</v>
      </c>
      <c r="X179" s="169">
        <f>'Earnings Model (adjusted)'!X179-'Earnings Model'!X179</f>
        <v>0</v>
      </c>
      <c r="Y179" s="169">
        <f>'Earnings Model (adjusted)'!Y179-'Earnings Model'!Y179</f>
        <v>0</v>
      </c>
      <c r="Z179" s="169">
        <f>'Earnings Model (adjusted)'!Z179-'Earnings Model'!Z179</f>
        <v>0</v>
      </c>
      <c r="AA179" s="169">
        <f>'Earnings Model (adjusted)'!AA179-'Earnings Model'!AA179</f>
        <v>0</v>
      </c>
      <c r="AB179" s="169">
        <f>'Earnings Model (adjusted)'!AB179-'Earnings Model'!AB179</f>
        <v>0</v>
      </c>
      <c r="AC179" s="169">
        <f>'Earnings Model (adjusted)'!AC179-'Earnings Model'!AC179</f>
        <v>0</v>
      </c>
      <c r="AD179" s="169">
        <f>'Earnings Model (adjusted)'!AD179-'Earnings Model'!AD179</f>
        <v>0</v>
      </c>
      <c r="AE179" s="169">
        <f>'Earnings Model (adjusted)'!AE179-'Earnings Model'!AE179</f>
        <v>0</v>
      </c>
      <c r="AF179" s="169">
        <f>'Earnings Model (adjusted)'!AF179-'Earnings Model'!AF179</f>
        <v>0</v>
      </c>
      <c r="AG179" s="169">
        <f>'Earnings Model (adjusted)'!AG179-'Earnings Model'!AG179</f>
        <v>0</v>
      </c>
      <c r="AH179" s="169">
        <f>'Earnings Model (adjusted)'!AH179-'Earnings Model'!AH179</f>
        <v>0</v>
      </c>
      <c r="AI179" s="169">
        <f>'Earnings Model (adjusted)'!AI179-'Earnings Model'!AI179</f>
        <v>0</v>
      </c>
      <c r="AJ179" s="169">
        <f>'Earnings Model (adjusted)'!AJ179-'Earnings Model'!AJ179</f>
        <v>0</v>
      </c>
      <c r="AK179" s="169">
        <f>'Earnings Model (adjusted)'!AK179-'Earnings Model'!AK179</f>
        <v>0</v>
      </c>
      <c r="AL179" s="169">
        <f>'Earnings Model (adjusted)'!AL179-'Earnings Model'!AL179</f>
        <v>0</v>
      </c>
      <c r="AM179" s="169">
        <f>'Earnings Model (adjusted)'!AM179-'Earnings Model'!AM179</f>
        <v>0</v>
      </c>
      <c r="AN179" s="169">
        <f>'Earnings Model (adjusted)'!AN179-'Earnings Model'!AN179</f>
        <v>0</v>
      </c>
      <c r="AO179" s="169">
        <f>'Earnings Model (adjusted)'!AO179-'Earnings Model'!AO179</f>
        <v>0</v>
      </c>
      <c r="AP179" s="169">
        <f>'Earnings Model (adjusted)'!AP179-'Earnings Model'!AP179</f>
        <v>0</v>
      </c>
      <c r="AQ179" s="169">
        <f>'Earnings Model (adjusted)'!AQ179-'Earnings Model'!AQ179</f>
        <v>0</v>
      </c>
    </row>
    <row r="180" spans="1:43" outlineLevel="1" x14ac:dyDescent="0.25">
      <c r="A180" s="254"/>
      <c r="B180" s="539" t="s">
        <v>193</v>
      </c>
      <c r="C180" s="540"/>
      <c r="D180" s="169">
        <v>0</v>
      </c>
      <c r="E180" s="256">
        <f>-0.02*E39</f>
        <v>-25.014000000000003</v>
      </c>
      <c r="F180" s="256">
        <f>0.49*F39</f>
        <v>599.27</v>
      </c>
      <c r="G180" s="256">
        <v>0</v>
      </c>
      <c r="H180" s="449"/>
      <c r="I180" s="256">
        <v>0</v>
      </c>
      <c r="J180" s="256">
        <v>0</v>
      </c>
      <c r="K180" s="256">
        <v>0</v>
      </c>
      <c r="L180" s="256">
        <v>0</v>
      </c>
      <c r="M180" s="35"/>
      <c r="N180" s="256">
        <v>0</v>
      </c>
      <c r="O180" s="256">
        <v>0</v>
      </c>
      <c r="P180" s="256">
        <v>0</v>
      </c>
      <c r="Q180" s="169">
        <f>'Earnings Model (adjusted)'!Q180-'Earnings Model'!Q180</f>
        <v>0</v>
      </c>
      <c r="R180" s="169">
        <f>'Earnings Model (adjusted)'!R180-'Earnings Model'!R180</f>
        <v>0</v>
      </c>
      <c r="S180" s="169">
        <f>'Earnings Model (adjusted)'!S180-'Earnings Model'!S180</f>
        <v>0</v>
      </c>
      <c r="T180" s="169">
        <f>'Earnings Model (adjusted)'!T180-'Earnings Model'!T180</f>
        <v>0</v>
      </c>
      <c r="U180" s="169">
        <f>'Earnings Model (adjusted)'!U180-'Earnings Model'!U180</f>
        <v>0</v>
      </c>
      <c r="V180" s="169">
        <f>'Earnings Model (adjusted)'!V180-'Earnings Model'!V180</f>
        <v>0</v>
      </c>
      <c r="W180" s="169">
        <f>'Earnings Model (adjusted)'!W180-'Earnings Model'!W180</f>
        <v>0</v>
      </c>
      <c r="X180" s="169">
        <f>'Earnings Model (adjusted)'!X180-'Earnings Model'!X180</f>
        <v>0</v>
      </c>
      <c r="Y180" s="169">
        <f>'Earnings Model (adjusted)'!Y180-'Earnings Model'!Y180</f>
        <v>0</v>
      </c>
      <c r="Z180" s="169">
        <f>'Earnings Model (adjusted)'!Z180-'Earnings Model'!Z180</f>
        <v>0</v>
      </c>
      <c r="AA180" s="169">
        <f>'Earnings Model (adjusted)'!AA180-'Earnings Model'!AA180</f>
        <v>0</v>
      </c>
      <c r="AB180" s="169">
        <f>'Earnings Model (adjusted)'!AB180-'Earnings Model'!AB180</f>
        <v>0</v>
      </c>
      <c r="AC180" s="169">
        <f>'Earnings Model (adjusted)'!AC180-'Earnings Model'!AC180</f>
        <v>0</v>
      </c>
      <c r="AD180" s="169">
        <f>'Earnings Model (adjusted)'!AD180-'Earnings Model'!AD180</f>
        <v>0</v>
      </c>
      <c r="AE180" s="169">
        <f>'Earnings Model (adjusted)'!AE180-'Earnings Model'!AE180</f>
        <v>0</v>
      </c>
      <c r="AF180" s="169">
        <f>'Earnings Model (adjusted)'!AF180-'Earnings Model'!AF180</f>
        <v>0</v>
      </c>
      <c r="AG180" s="169">
        <f>'Earnings Model (adjusted)'!AG180-'Earnings Model'!AG180</f>
        <v>0</v>
      </c>
      <c r="AH180" s="169">
        <f>'Earnings Model (adjusted)'!AH180-'Earnings Model'!AH180</f>
        <v>0</v>
      </c>
      <c r="AI180" s="169">
        <f>'Earnings Model (adjusted)'!AI180-'Earnings Model'!AI180</f>
        <v>0</v>
      </c>
      <c r="AJ180" s="169">
        <f>'Earnings Model (adjusted)'!AJ180-'Earnings Model'!AJ180</f>
        <v>0</v>
      </c>
      <c r="AK180" s="169">
        <f>'Earnings Model (adjusted)'!AK180-'Earnings Model'!AK180</f>
        <v>0</v>
      </c>
      <c r="AL180" s="169">
        <f>'Earnings Model (adjusted)'!AL180-'Earnings Model'!AL180</f>
        <v>0</v>
      </c>
      <c r="AM180" s="169">
        <f>'Earnings Model (adjusted)'!AM180-'Earnings Model'!AM180</f>
        <v>0</v>
      </c>
      <c r="AN180" s="169">
        <f>'Earnings Model (adjusted)'!AN180-'Earnings Model'!AN180</f>
        <v>0</v>
      </c>
      <c r="AO180" s="169">
        <f>'Earnings Model (adjusted)'!AO180-'Earnings Model'!AO180</f>
        <v>0</v>
      </c>
      <c r="AP180" s="169">
        <f>'Earnings Model (adjusted)'!AP180-'Earnings Model'!AP180</f>
        <v>0</v>
      </c>
      <c r="AQ180" s="169">
        <f>'Earnings Model (adjusted)'!AQ180-'Earnings Model'!AQ180</f>
        <v>0</v>
      </c>
    </row>
    <row r="181" spans="1:43" outlineLevel="1" x14ac:dyDescent="0.25">
      <c r="A181" s="254"/>
      <c r="B181" s="595" t="s">
        <v>199</v>
      </c>
      <c r="C181" s="596"/>
      <c r="D181" s="169">
        <v>-41.449999999998646</v>
      </c>
      <c r="E181" s="34">
        <v>79.193999999999548</v>
      </c>
      <c r="F181" s="34">
        <v>-55.109999999999197</v>
      </c>
      <c r="G181" s="34">
        <v>30</v>
      </c>
      <c r="H181" s="35"/>
      <c r="I181" s="34">
        <v>11</v>
      </c>
      <c r="J181" s="34">
        <v>23</v>
      </c>
      <c r="K181" s="34">
        <f>0.03*K39</f>
        <v>35.055</v>
      </c>
      <c r="L181" s="256">
        <v>50.810000000000372</v>
      </c>
      <c r="M181" s="35"/>
      <c r="N181" s="34">
        <f>0.03*N39</f>
        <v>35.49</v>
      </c>
      <c r="O181" s="34">
        <f>0.01*O39</f>
        <v>11.847999999999999</v>
      </c>
      <c r="P181" s="34">
        <f>0.01*P39</f>
        <v>11.862</v>
      </c>
      <c r="Q181" s="169">
        <f>'Earnings Model (adjusted)'!Q181-'Earnings Model'!Q181</f>
        <v>0</v>
      </c>
      <c r="R181" s="169">
        <f>'Earnings Model (adjusted)'!R181-'Earnings Model'!R181</f>
        <v>0</v>
      </c>
      <c r="S181" s="169">
        <f>'Earnings Model (adjusted)'!S181-'Earnings Model'!S181</f>
        <v>0</v>
      </c>
      <c r="T181" s="169">
        <f>'Earnings Model (adjusted)'!T181-'Earnings Model'!T181</f>
        <v>0</v>
      </c>
      <c r="U181" s="169">
        <f>'Earnings Model (adjusted)'!U181-'Earnings Model'!U181</f>
        <v>0</v>
      </c>
      <c r="V181" s="169">
        <f>'Earnings Model (adjusted)'!V181-'Earnings Model'!V181</f>
        <v>0</v>
      </c>
      <c r="W181" s="169">
        <f>'Earnings Model (adjusted)'!W181-'Earnings Model'!W181</f>
        <v>0</v>
      </c>
      <c r="X181" s="169">
        <f>'Earnings Model (adjusted)'!X181-'Earnings Model'!X181</f>
        <v>0</v>
      </c>
      <c r="Y181" s="169">
        <f>'Earnings Model (adjusted)'!Y181-'Earnings Model'!Y181</f>
        <v>0</v>
      </c>
      <c r="Z181" s="169">
        <f>'Earnings Model (adjusted)'!Z181-'Earnings Model'!Z181</f>
        <v>0</v>
      </c>
      <c r="AA181" s="169">
        <f>'Earnings Model (adjusted)'!AA181-'Earnings Model'!AA181</f>
        <v>0</v>
      </c>
      <c r="AB181" s="169">
        <f>'Earnings Model (adjusted)'!AB181-'Earnings Model'!AB181</f>
        <v>0</v>
      </c>
      <c r="AC181" s="169">
        <f>'Earnings Model (adjusted)'!AC181-'Earnings Model'!AC181</f>
        <v>0</v>
      </c>
      <c r="AD181" s="169">
        <f>'Earnings Model (adjusted)'!AD181-'Earnings Model'!AD181</f>
        <v>0</v>
      </c>
      <c r="AE181" s="169">
        <f>'Earnings Model (adjusted)'!AE181-'Earnings Model'!AE181</f>
        <v>0</v>
      </c>
      <c r="AF181" s="169">
        <f>'Earnings Model (adjusted)'!AF181-'Earnings Model'!AF181</f>
        <v>0</v>
      </c>
      <c r="AG181" s="169">
        <f>'Earnings Model (adjusted)'!AG181-'Earnings Model'!AG181</f>
        <v>0</v>
      </c>
      <c r="AH181" s="169">
        <f>'Earnings Model (adjusted)'!AH181-'Earnings Model'!AH181</f>
        <v>0</v>
      </c>
      <c r="AI181" s="169">
        <f>'Earnings Model (adjusted)'!AI181-'Earnings Model'!AI181</f>
        <v>0</v>
      </c>
      <c r="AJ181" s="169">
        <f>'Earnings Model (adjusted)'!AJ181-'Earnings Model'!AJ181</f>
        <v>0</v>
      </c>
      <c r="AK181" s="169">
        <f>'Earnings Model (adjusted)'!AK181-'Earnings Model'!AK181</f>
        <v>0</v>
      </c>
      <c r="AL181" s="169">
        <f>'Earnings Model (adjusted)'!AL181-'Earnings Model'!AL181</f>
        <v>0</v>
      </c>
      <c r="AM181" s="169">
        <f>'Earnings Model (adjusted)'!AM181-'Earnings Model'!AM181</f>
        <v>0</v>
      </c>
      <c r="AN181" s="169">
        <f>'Earnings Model (adjusted)'!AN181-'Earnings Model'!AN181</f>
        <v>0</v>
      </c>
      <c r="AO181" s="169">
        <f>'Earnings Model (adjusted)'!AO181-'Earnings Model'!AO181</f>
        <v>0</v>
      </c>
      <c r="AP181" s="169">
        <f>'Earnings Model (adjusted)'!AP181-'Earnings Model'!AP181</f>
        <v>0</v>
      </c>
      <c r="AQ181" s="169">
        <f>'Earnings Model (adjusted)'!AQ181-'Earnings Model'!AQ181</f>
        <v>0</v>
      </c>
    </row>
    <row r="182" spans="1:43" outlineLevel="1" x14ac:dyDescent="0.25">
      <c r="A182" s="254"/>
      <c r="B182" s="543" t="s">
        <v>200</v>
      </c>
      <c r="C182" s="544"/>
      <c r="D182" s="230">
        <f t="shared" ref="D182:G182" si="119">D181/D179</f>
        <v>-0.30036231884056991</v>
      </c>
      <c r="E182" s="230">
        <f t="shared" si="119"/>
        <v>0.56007072135784686</v>
      </c>
      <c r="F182" s="230">
        <f t="shared" si="119"/>
        <v>-0.43982442138866074</v>
      </c>
      <c r="G182" s="230">
        <f t="shared" si="119"/>
        <v>0.38759689922480622</v>
      </c>
      <c r="H182" s="73"/>
      <c r="I182" s="230">
        <f t="shared" ref="I182:P182" si="120">I181/I179</f>
        <v>0.15363128491620112</v>
      </c>
      <c r="J182" s="230">
        <f t="shared" si="120"/>
        <v>0.34431137724550898</v>
      </c>
      <c r="K182" s="230">
        <f t="shared" si="120"/>
        <v>0.20183671119299865</v>
      </c>
      <c r="L182" s="230">
        <f t="shared" si="120"/>
        <v>0.1957996146435467</v>
      </c>
      <c r="M182" s="73"/>
      <c r="N182" s="230">
        <f t="shared" si="120"/>
        <v>0.26308376575240922</v>
      </c>
      <c r="O182" s="230">
        <f t="shared" si="120"/>
        <v>0.13433106575963719</v>
      </c>
      <c r="P182" s="230">
        <f t="shared" si="120"/>
        <v>0.22943907156673113</v>
      </c>
      <c r="Q182" s="169">
        <f>'Earnings Model (adjusted)'!Q182-'Earnings Model'!Q182</f>
        <v>0</v>
      </c>
      <c r="R182" s="169">
        <f>'Earnings Model (adjusted)'!R182-'Earnings Model'!R182</f>
        <v>0</v>
      </c>
      <c r="S182" s="169">
        <f>'Earnings Model (adjusted)'!S182-'Earnings Model'!S182</f>
        <v>0</v>
      </c>
      <c r="T182" s="169">
        <f>'Earnings Model (adjusted)'!T182-'Earnings Model'!T182</f>
        <v>0</v>
      </c>
      <c r="U182" s="169">
        <f>'Earnings Model (adjusted)'!U182-'Earnings Model'!U182</f>
        <v>0</v>
      </c>
      <c r="V182" s="169">
        <f>'Earnings Model (adjusted)'!V182-'Earnings Model'!V182</f>
        <v>0</v>
      </c>
      <c r="W182" s="169">
        <f>'Earnings Model (adjusted)'!W182-'Earnings Model'!W182</f>
        <v>0</v>
      </c>
      <c r="X182" s="169">
        <f>'Earnings Model (adjusted)'!X182-'Earnings Model'!X182</f>
        <v>0</v>
      </c>
      <c r="Y182" s="169">
        <f>'Earnings Model (adjusted)'!Y182-'Earnings Model'!Y182</f>
        <v>0</v>
      </c>
      <c r="Z182" s="169">
        <f>'Earnings Model (adjusted)'!Z182-'Earnings Model'!Z182</f>
        <v>0</v>
      </c>
      <c r="AA182" s="169">
        <f>'Earnings Model (adjusted)'!AA182-'Earnings Model'!AA182</f>
        <v>0</v>
      </c>
      <c r="AB182" s="169">
        <f>'Earnings Model (adjusted)'!AB182-'Earnings Model'!AB182</f>
        <v>0</v>
      </c>
      <c r="AC182" s="169">
        <f>'Earnings Model (adjusted)'!AC182-'Earnings Model'!AC182</f>
        <v>0</v>
      </c>
      <c r="AD182" s="169">
        <f>'Earnings Model (adjusted)'!AD182-'Earnings Model'!AD182</f>
        <v>0</v>
      </c>
      <c r="AE182" s="169">
        <f>'Earnings Model (adjusted)'!AE182-'Earnings Model'!AE182</f>
        <v>0</v>
      </c>
      <c r="AF182" s="169">
        <f>'Earnings Model (adjusted)'!AF182-'Earnings Model'!AF182</f>
        <v>0</v>
      </c>
      <c r="AG182" s="169">
        <f>'Earnings Model (adjusted)'!AG182-'Earnings Model'!AG182</f>
        <v>0</v>
      </c>
      <c r="AH182" s="169">
        <f>'Earnings Model (adjusted)'!AH182-'Earnings Model'!AH182</f>
        <v>0</v>
      </c>
      <c r="AI182" s="169">
        <f>'Earnings Model (adjusted)'!AI182-'Earnings Model'!AI182</f>
        <v>0</v>
      </c>
      <c r="AJ182" s="169">
        <f>'Earnings Model (adjusted)'!AJ182-'Earnings Model'!AJ182</f>
        <v>0</v>
      </c>
      <c r="AK182" s="169">
        <f>'Earnings Model (adjusted)'!AK182-'Earnings Model'!AK182</f>
        <v>0</v>
      </c>
      <c r="AL182" s="169">
        <f>'Earnings Model (adjusted)'!AL182-'Earnings Model'!AL182</f>
        <v>0</v>
      </c>
      <c r="AM182" s="169">
        <f>'Earnings Model (adjusted)'!AM182-'Earnings Model'!AM182</f>
        <v>0</v>
      </c>
      <c r="AN182" s="169">
        <f>'Earnings Model (adjusted)'!AN182-'Earnings Model'!AN182</f>
        <v>0</v>
      </c>
      <c r="AO182" s="169">
        <f>'Earnings Model (adjusted)'!AO182-'Earnings Model'!AO182</f>
        <v>0</v>
      </c>
      <c r="AP182" s="169">
        <f>'Earnings Model (adjusted)'!AP182-'Earnings Model'!AP182</f>
        <v>0</v>
      </c>
      <c r="AQ182" s="169">
        <f>'Earnings Model (adjusted)'!AQ182-'Earnings Model'!AQ182</f>
        <v>0</v>
      </c>
    </row>
    <row r="183" spans="1:43" s="186" customFormat="1" x14ac:dyDescent="0.25">
      <c r="A183" s="272"/>
      <c r="B183" s="501" t="s">
        <v>361</v>
      </c>
      <c r="C183" s="501"/>
      <c r="D183" s="502"/>
      <c r="E183" s="503"/>
      <c r="F183" s="503"/>
      <c r="G183" s="503"/>
      <c r="H183" s="503"/>
      <c r="I183" s="503"/>
      <c r="J183" s="503"/>
      <c r="K183" s="503"/>
      <c r="L183" s="503"/>
      <c r="M183" s="503"/>
      <c r="N183" s="504"/>
      <c r="O183" s="195"/>
      <c r="P183" s="195"/>
      <c r="Q183" s="169">
        <f>'Earnings Model (adjusted)'!Q183-'Earnings Model'!Q183</f>
        <v>0</v>
      </c>
      <c r="R183" s="169">
        <f>'Earnings Model (adjusted)'!R183-'Earnings Model'!R183</f>
        <v>0</v>
      </c>
      <c r="S183" s="169">
        <f>'Earnings Model (adjusted)'!S183-'Earnings Model'!S183</f>
        <v>0</v>
      </c>
      <c r="T183" s="169">
        <f>'Earnings Model (adjusted)'!T183-'Earnings Model'!T183</f>
        <v>0</v>
      </c>
      <c r="U183" s="169">
        <f>'Earnings Model (adjusted)'!U183-'Earnings Model'!U183</f>
        <v>0</v>
      </c>
      <c r="V183" s="169">
        <f>'Earnings Model (adjusted)'!V183-'Earnings Model'!V183</f>
        <v>0</v>
      </c>
      <c r="W183" s="169">
        <f>'Earnings Model (adjusted)'!W183-'Earnings Model'!W183</f>
        <v>0</v>
      </c>
      <c r="X183" s="169">
        <f>'Earnings Model (adjusted)'!X183-'Earnings Model'!X183</f>
        <v>0</v>
      </c>
      <c r="Y183" s="169">
        <f>'Earnings Model (adjusted)'!Y183-'Earnings Model'!Y183</f>
        <v>0</v>
      </c>
      <c r="Z183" s="169">
        <f>'Earnings Model (adjusted)'!Z183-'Earnings Model'!Z183</f>
        <v>0</v>
      </c>
      <c r="AA183" s="169">
        <f>'Earnings Model (adjusted)'!AA183-'Earnings Model'!AA183</f>
        <v>0</v>
      </c>
      <c r="AB183" s="169">
        <f>'Earnings Model (adjusted)'!AB183-'Earnings Model'!AB183</f>
        <v>0</v>
      </c>
      <c r="AC183" s="169">
        <f>'Earnings Model (adjusted)'!AC183-'Earnings Model'!AC183</f>
        <v>0</v>
      </c>
      <c r="AD183" s="169">
        <f>'Earnings Model (adjusted)'!AD183-'Earnings Model'!AD183</f>
        <v>0</v>
      </c>
      <c r="AE183" s="169">
        <f>'Earnings Model (adjusted)'!AE183-'Earnings Model'!AE183</f>
        <v>0</v>
      </c>
      <c r="AF183" s="169">
        <f>'Earnings Model (adjusted)'!AF183-'Earnings Model'!AF183</f>
        <v>0</v>
      </c>
      <c r="AG183" s="169">
        <f>'Earnings Model (adjusted)'!AG183-'Earnings Model'!AG183</f>
        <v>0</v>
      </c>
      <c r="AH183" s="169">
        <f>'Earnings Model (adjusted)'!AH183-'Earnings Model'!AH183</f>
        <v>0</v>
      </c>
      <c r="AI183" s="169">
        <f>'Earnings Model (adjusted)'!AI183-'Earnings Model'!AI183</f>
        <v>0</v>
      </c>
      <c r="AJ183" s="169">
        <f>'Earnings Model (adjusted)'!AJ183-'Earnings Model'!AJ183</f>
        <v>0</v>
      </c>
      <c r="AK183" s="169">
        <f>'Earnings Model (adjusted)'!AK183-'Earnings Model'!AK183</f>
        <v>0</v>
      </c>
      <c r="AL183" s="169">
        <f>'Earnings Model (adjusted)'!AL183-'Earnings Model'!AL183</f>
        <v>0</v>
      </c>
      <c r="AM183" s="169">
        <f>'Earnings Model (adjusted)'!AM183-'Earnings Model'!AM183</f>
        <v>0</v>
      </c>
      <c r="AN183" s="169">
        <f>'Earnings Model (adjusted)'!AN183-'Earnings Model'!AN183</f>
        <v>0</v>
      </c>
      <c r="AO183" s="169">
        <f>'Earnings Model (adjusted)'!AO183-'Earnings Model'!AO183</f>
        <v>0</v>
      </c>
      <c r="AP183" s="169">
        <f>'Earnings Model (adjusted)'!AP183-'Earnings Model'!AP183</f>
        <v>0</v>
      </c>
      <c r="AQ183" s="169">
        <f>'Earnings Model (adjusted)'!AQ183-'Earnings Model'!AQ183</f>
        <v>0</v>
      </c>
    </row>
    <row r="184" spans="1:43" ht="15.75" x14ac:dyDescent="0.25">
      <c r="A184" s="254"/>
      <c r="B184" s="565" t="s">
        <v>117</v>
      </c>
      <c r="C184" s="566"/>
      <c r="D184" s="31" t="s">
        <v>106</v>
      </c>
      <c r="E184" s="31" t="s">
        <v>244</v>
      </c>
      <c r="F184" s="31" t="s">
        <v>246</v>
      </c>
      <c r="G184" s="31" t="s">
        <v>337</v>
      </c>
      <c r="H184" s="85" t="s">
        <v>337</v>
      </c>
      <c r="I184" s="31" t="s">
        <v>336</v>
      </c>
      <c r="J184" s="31" t="s">
        <v>335</v>
      </c>
      <c r="K184" s="31" t="s">
        <v>334</v>
      </c>
      <c r="L184" s="31" t="s">
        <v>321</v>
      </c>
      <c r="M184" s="85" t="s">
        <v>321</v>
      </c>
      <c r="N184" s="31" t="s">
        <v>338</v>
      </c>
      <c r="O184" s="31" t="s">
        <v>346</v>
      </c>
      <c r="P184" s="31" t="s">
        <v>348</v>
      </c>
      <c r="Q184" s="169" t="e">
        <f>'Earnings Model (adjusted)'!Q184-'Earnings Model'!Q184</f>
        <v>#VALUE!</v>
      </c>
      <c r="R184" s="169" t="e">
        <f>'Earnings Model (adjusted)'!R184-'Earnings Model'!R184</f>
        <v>#VALUE!</v>
      </c>
      <c r="S184" s="169" t="e">
        <f>'Earnings Model (adjusted)'!S184-'Earnings Model'!S184</f>
        <v>#VALUE!</v>
      </c>
      <c r="T184" s="169" t="e">
        <f>'Earnings Model (adjusted)'!T184-'Earnings Model'!T184</f>
        <v>#VALUE!</v>
      </c>
      <c r="U184" s="169" t="e">
        <f>'Earnings Model (adjusted)'!U184-'Earnings Model'!U184</f>
        <v>#VALUE!</v>
      </c>
      <c r="V184" s="169" t="e">
        <f>'Earnings Model (adjusted)'!V184-'Earnings Model'!V184</f>
        <v>#VALUE!</v>
      </c>
      <c r="W184" s="169" t="e">
        <f>'Earnings Model (adjusted)'!W184-'Earnings Model'!W184</f>
        <v>#VALUE!</v>
      </c>
      <c r="X184" s="169" t="e">
        <f>'Earnings Model (adjusted)'!X184-'Earnings Model'!X184</f>
        <v>#VALUE!</v>
      </c>
      <c r="Y184" s="169" t="e">
        <f>'Earnings Model (adjusted)'!Y184-'Earnings Model'!Y184</f>
        <v>#VALUE!</v>
      </c>
      <c r="Z184" s="169" t="e">
        <f>'Earnings Model (adjusted)'!Z184-'Earnings Model'!Z184</f>
        <v>#VALUE!</v>
      </c>
      <c r="AA184" s="169" t="e">
        <f>'Earnings Model (adjusted)'!AA184-'Earnings Model'!AA184</f>
        <v>#VALUE!</v>
      </c>
      <c r="AB184" s="169" t="e">
        <f>'Earnings Model (adjusted)'!AB184-'Earnings Model'!AB184</f>
        <v>#VALUE!</v>
      </c>
      <c r="AC184" s="169" t="e">
        <f>'Earnings Model (adjusted)'!AC184-'Earnings Model'!AC184</f>
        <v>#VALUE!</v>
      </c>
      <c r="AD184" s="169" t="e">
        <f>'Earnings Model (adjusted)'!AD184-'Earnings Model'!AD184</f>
        <v>#VALUE!</v>
      </c>
      <c r="AE184" s="169" t="e">
        <f>'Earnings Model (adjusted)'!AE184-'Earnings Model'!AE184</f>
        <v>#VALUE!</v>
      </c>
      <c r="AF184" s="169" t="e">
        <f>'Earnings Model (adjusted)'!AF184-'Earnings Model'!AF184</f>
        <v>#VALUE!</v>
      </c>
      <c r="AG184" s="169" t="e">
        <f>'Earnings Model (adjusted)'!AG184-'Earnings Model'!AG184</f>
        <v>#VALUE!</v>
      </c>
      <c r="AH184" s="169" t="e">
        <f>'Earnings Model (adjusted)'!AH184-'Earnings Model'!AH184</f>
        <v>#VALUE!</v>
      </c>
      <c r="AI184" s="169" t="e">
        <f>'Earnings Model (adjusted)'!AI184-'Earnings Model'!AI184</f>
        <v>#VALUE!</v>
      </c>
      <c r="AJ184" s="169" t="e">
        <f>'Earnings Model (adjusted)'!AJ184-'Earnings Model'!AJ184</f>
        <v>#VALUE!</v>
      </c>
      <c r="AK184" s="169" t="e">
        <f>'Earnings Model (adjusted)'!AK184-'Earnings Model'!AK184</f>
        <v>#VALUE!</v>
      </c>
      <c r="AL184" s="169" t="e">
        <f>'Earnings Model (adjusted)'!AL184-'Earnings Model'!AL184</f>
        <v>#VALUE!</v>
      </c>
      <c r="AM184" s="169" t="e">
        <f>'Earnings Model (adjusted)'!AM184-'Earnings Model'!AM184</f>
        <v>#VALUE!</v>
      </c>
      <c r="AN184" s="169" t="e">
        <f>'Earnings Model (adjusted)'!AN184-'Earnings Model'!AN184</f>
        <v>#VALUE!</v>
      </c>
      <c r="AO184" s="169" t="e">
        <f>'Earnings Model (adjusted)'!AO184-'Earnings Model'!AO184</f>
        <v>#VALUE!</v>
      </c>
      <c r="AP184" s="169" t="e">
        <f>'Earnings Model (adjusted)'!AP184-'Earnings Model'!AP184</f>
        <v>#VALUE!</v>
      </c>
      <c r="AQ184" s="169" t="e">
        <f>'Earnings Model (adjusted)'!AQ184-'Earnings Model'!AQ184</f>
        <v>#VALUE!</v>
      </c>
    </row>
    <row r="185" spans="1:43" ht="17.25" x14ac:dyDescent="0.4">
      <c r="A185" s="254"/>
      <c r="B185" s="537" t="s">
        <v>3</v>
      </c>
      <c r="C185" s="538"/>
      <c r="D185" s="32" t="s">
        <v>119</v>
      </c>
      <c r="E185" s="32" t="s">
        <v>243</v>
      </c>
      <c r="F185" s="32" t="s">
        <v>247</v>
      </c>
      <c r="G185" s="32" t="s">
        <v>257</v>
      </c>
      <c r="H185" s="86" t="s">
        <v>258</v>
      </c>
      <c r="I185" s="32" t="s">
        <v>259</v>
      </c>
      <c r="J185" s="32" t="s">
        <v>260</v>
      </c>
      <c r="K185" s="32" t="s">
        <v>261</v>
      </c>
      <c r="L185" s="32" t="s">
        <v>322</v>
      </c>
      <c r="M185" s="86" t="s">
        <v>333</v>
      </c>
      <c r="N185" s="32" t="s">
        <v>339</v>
      </c>
      <c r="O185" s="32" t="s">
        <v>347</v>
      </c>
      <c r="P185" s="32" t="s">
        <v>349</v>
      </c>
      <c r="Q185" s="169" t="e">
        <f>'Earnings Model (adjusted)'!Q185-'Earnings Model'!Q185</f>
        <v>#VALUE!</v>
      </c>
      <c r="R185" s="169" t="e">
        <f>'Earnings Model (adjusted)'!R185-'Earnings Model'!R185</f>
        <v>#VALUE!</v>
      </c>
      <c r="S185" s="169" t="e">
        <f>'Earnings Model (adjusted)'!S185-'Earnings Model'!S185</f>
        <v>#VALUE!</v>
      </c>
      <c r="T185" s="169" t="e">
        <f>'Earnings Model (adjusted)'!T185-'Earnings Model'!T185</f>
        <v>#VALUE!</v>
      </c>
      <c r="U185" s="169" t="e">
        <f>'Earnings Model (adjusted)'!U185-'Earnings Model'!U185</f>
        <v>#VALUE!</v>
      </c>
      <c r="V185" s="169" t="e">
        <f>'Earnings Model (adjusted)'!V185-'Earnings Model'!V185</f>
        <v>#VALUE!</v>
      </c>
      <c r="W185" s="169" t="e">
        <f>'Earnings Model (adjusted)'!W185-'Earnings Model'!W185</f>
        <v>#VALUE!</v>
      </c>
      <c r="X185" s="169" t="e">
        <f>'Earnings Model (adjusted)'!X185-'Earnings Model'!X185</f>
        <v>#VALUE!</v>
      </c>
      <c r="Y185" s="169" t="e">
        <f>'Earnings Model (adjusted)'!Y185-'Earnings Model'!Y185</f>
        <v>#VALUE!</v>
      </c>
      <c r="Z185" s="169" t="e">
        <f>'Earnings Model (adjusted)'!Z185-'Earnings Model'!Z185</f>
        <v>#VALUE!</v>
      </c>
      <c r="AA185" s="169" t="e">
        <f>'Earnings Model (adjusted)'!AA185-'Earnings Model'!AA185</f>
        <v>#VALUE!</v>
      </c>
      <c r="AB185" s="169" t="e">
        <f>'Earnings Model (adjusted)'!AB185-'Earnings Model'!AB185</f>
        <v>#VALUE!</v>
      </c>
      <c r="AC185" s="169" t="e">
        <f>'Earnings Model (adjusted)'!AC185-'Earnings Model'!AC185</f>
        <v>#VALUE!</v>
      </c>
      <c r="AD185" s="169" t="e">
        <f>'Earnings Model (adjusted)'!AD185-'Earnings Model'!AD185</f>
        <v>#VALUE!</v>
      </c>
      <c r="AE185" s="169" t="e">
        <f>'Earnings Model (adjusted)'!AE185-'Earnings Model'!AE185</f>
        <v>#VALUE!</v>
      </c>
      <c r="AF185" s="169" t="e">
        <f>'Earnings Model (adjusted)'!AF185-'Earnings Model'!AF185</f>
        <v>#VALUE!</v>
      </c>
      <c r="AG185" s="169" t="e">
        <f>'Earnings Model (adjusted)'!AG185-'Earnings Model'!AG185</f>
        <v>#VALUE!</v>
      </c>
      <c r="AH185" s="169" t="e">
        <f>'Earnings Model (adjusted)'!AH185-'Earnings Model'!AH185</f>
        <v>#VALUE!</v>
      </c>
      <c r="AI185" s="169" t="e">
        <f>'Earnings Model (adjusted)'!AI185-'Earnings Model'!AI185</f>
        <v>#VALUE!</v>
      </c>
      <c r="AJ185" s="169" t="e">
        <f>'Earnings Model (adjusted)'!AJ185-'Earnings Model'!AJ185</f>
        <v>#VALUE!</v>
      </c>
      <c r="AK185" s="169" t="e">
        <f>'Earnings Model (adjusted)'!AK185-'Earnings Model'!AK185</f>
        <v>#VALUE!</v>
      </c>
      <c r="AL185" s="169" t="e">
        <f>'Earnings Model (adjusted)'!AL185-'Earnings Model'!AL185</f>
        <v>#VALUE!</v>
      </c>
      <c r="AM185" s="169" t="e">
        <f>'Earnings Model (adjusted)'!AM185-'Earnings Model'!AM185</f>
        <v>#VALUE!</v>
      </c>
      <c r="AN185" s="169" t="e">
        <f>'Earnings Model (adjusted)'!AN185-'Earnings Model'!AN185</f>
        <v>#VALUE!</v>
      </c>
      <c r="AO185" s="169" t="e">
        <f>'Earnings Model (adjusted)'!AO185-'Earnings Model'!AO185</f>
        <v>#VALUE!</v>
      </c>
      <c r="AP185" s="169" t="e">
        <f>'Earnings Model (adjusted)'!AP185-'Earnings Model'!AP185</f>
        <v>#VALUE!</v>
      </c>
      <c r="AQ185" s="169" t="e">
        <f>'Earnings Model (adjusted)'!AQ185-'Earnings Model'!AQ185</f>
        <v>#VALUE!</v>
      </c>
    </row>
    <row r="186" spans="1:43" ht="14.65" customHeight="1" x14ac:dyDescent="0.25">
      <c r="A186" s="254"/>
      <c r="B186" s="565" t="s">
        <v>6</v>
      </c>
      <c r="C186" s="566"/>
      <c r="D186" s="31"/>
      <c r="E186" s="31"/>
      <c r="F186" s="31"/>
      <c r="G186" s="297"/>
      <c r="H186" s="298"/>
      <c r="I186" s="297"/>
      <c r="J186" s="31"/>
      <c r="K186" s="31"/>
      <c r="L186" s="297"/>
      <c r="M186" s="298"/>
      <c r="N186" s="297"/>
      <c r="O186" s="31"/>
      <c r="P186" s="31"/>
      <c r="Q186" s="169">
        <f>'Earnings Model (adjusted)'!Q186-'Earnings Model'!Q186</f>
        <v>0</v>
      </c>
      <c r="R186" s="169">
        <f>'Earnings Model (adjusted)'!R186-'Earnings Model'!R186</f>
        <v>0</v>
      </c>
      <c r="S186" s="169">
        <f>'Earnings Model (adjusted)'!S186-'Earnings Model'!S186</f>
        <v>0</v>
      </c>
      <c r="T186" s="169">
        <f>'Earnings Model (adjusted)'!T186-'Earnings Model'!T186</f>
        <v>0</v>
      </c>
      <c r="U186" s="169">
        <f>'Earnings Model (adjusted)'!U186-'Earnings Model'!U186</f>
        <v>0</v>
      </c>
      <c r="V186" s="169">
        <f>'Earnings Model (adjusted)'!V186-'Earnings Model'!V186</f>
        <v>0</v>
      </c>
      <c r="W186" s="169">
        <f>'Earnings Model (adjusted)'!W186-'Earnings Model'!W186</f>
        <v>0</v>
      </c>
      <c r="X186" s="169">
        <f>'Earnings Model (adjusted)'!X186-'Earnings Model'!X186</f>
        <v>0</v>
      </c>
      <c r="Y186" s="169">
        <f>'Earnings Model (adjusted)'!Y186-'Earnings Model'!Y186</f>
        <v>0</v>
      </c>
      <c r="Z186" s="169">
        <f>'Earnings Model (adjusted)'!Z186-'Earnings Model'!Z186</f>
        <v>0</v>
      </c>
      <c r="AA186" s="169">
        <f>'Earnings Model (adjusted)'!AA186-'Earnings Model'!AA186</f>
        <v>0</v>
      </c>
      <c r="AB186" s="169">
        <f>'Earnings Model (adjusted)'!AB186-'Earnings Model'!AB186</f>
        <v>0</v>
      </c>
      <c r="AC186" s="169">
        <f>'Earnings Model (adjusted)'!AC186-'Earnings Model'!AC186</f>
        <v>0</v>
      </c>
      <c r="AD186" s="169">
        <f>'Earnings Model (adjusted)'!AD186-'Earnings Model'!AD186</f>
        <v>0</v>
      </c>
      <c r="AE186" s="169">
        <f>'Earnings Model (adjusted)'!AE186-'Earnings Model'!AE186</f>
        <v>0</v>
      </c>
      <c r="AF186" s="169">
        <f>'Earnings Model (adjusted)'!AF186-'Earnings Model'!AF186</f>
        <v>0</v>
      </c>
      <c r="AG186" s="169">
        <f>'Earnings Model (adjusted)'!AG186-'Earnings Model'!AG186</f>
        <v>0</v>
      </c>
      <c r="AH186" s="169">
        <f>'Earnings Model (adjusted)'!AH186-'Earnings Model'!AH186</f>
        <v>0</v>
      </c>
      <c r="AI186" s="169">
        <f>'Earnings Model (adjusted)'!AI186-'Earnings Model'!AI186</f>
        <v>0</v>
      </c>
      <c r="AJ186" s="169">
        <f>'Earnings Model (adjusted)'!AJ186-'Earnings Model'!AJ186</f>
        <v>0</v>
      </c>
      <c r="AK186" s="169">
        <f>'Earnings Model (adjusted)'!AK186-'Earnings Model'!AK186</f>
        <v>0</v>
      </c>
      <c r="AL186" s="169">
        <f>'Earnings Model (adjusted)'!AL186-'Earnings Model'!AL186</f>
        <v>0</v>
      </c>
      <c r="AM186" s="169">
        <f>'Earnings Model (adjusted)'!AM186-'Earnings Model'!AM186</f>
        <v>0</v>
      </c>
      <c r="AN186" s="169">
        <f>'Earnings Model (adjusted)'!AN186-'Earnings Model'!AN186</f>
        <v>0</v>
      </c>
      <c r="AO186" s="169">
        <f>'Earnings Model (adjusted)'!AO186-'Earnings Model'!AO186</f>
        <v>0</v>
      </c>
      <c r="AP186" s="169">
        <f>'Earnings Model (adjusted)'!AP186-'Earnings Model'!AP186</f>
        <v>0</v>
      </c>
      <c r="AQ186" s="169">
        <f>'Earnings Model (adjusted)'!AQ186-'Earnings Model'!AQ186</f>
        <v>0</v>
      </c>
    </row>
    <row r="187" spans="1:43" ht="14.65" customHeight="1" outlineLevel="1" x14ac:dyDescent="0.25">
      <c r="A187" s="254"/>
      <c r="B187" s="595" t="s">
        <v>35</v>
      </c>
      <c r="C187" s="596"/>
      <c r="D187" s="34">
        <f>D279</f>
        <v>4761.6000000000004</v>
      </c>
      <c r="E187" s="34">
        <f t="shared" ref="E187:G187" si="121">E279</f>
        <v>2055.1000000000004</v>
      </c>
      <c r="F187" s="34">
        <f t="shared" si="121"/>
        <v>4763.4000000000015</v>
      </c>
      <c r="G187" s="256">
        <f t="shared" si="121"/>
        <v>2686.6000000000022</v>
      </c>
      <c r="H187" s="35">
        <f>G187</f>
        <v>2686.6000000000022</v>
      </c>
      <c r="I187" s="34">
        <f>I279</f>
        <v>3040.5000000000036</v>
      </c>
      <c r="J187" s="34">
        <f>J279</f>
        <v>2572.3000000000029</v>
      </c>
      <c r="K187" s="34">
        <f>K279</f>
        <v>3965.9000000000042</v>
      </c>
      <c r="L187" s="256">
        <f>L279</f>
        <v>4350.900000000006</v>
      </c>
      <c r="M187" s="35">
        <f>L187</f>
        <v>4350.900000000006</v>
      </c>
      <c r="N187" s="34">
        <f>N279</f>
        <v>5028.00000000001</v>
      </c>
      <c r="O187" s="34">
        <f>O279</f>
        <v>3880.6000000000104</v>
      </c>
      <c r="P187" s="34">
        <f>P279</f>
        <v>4753.1000000000095</v>
      </c>
      <c r="Q187" s="169">
        <f>'Earnings Model (adjusted)'!Q187-'Earnings Model'!Q187</f>
        <v>43.710285832077716</v>
      </c>
      <c r="R187" s="169">
        <f>'Earnings Model (adjusted)'!R187-'Earnings Model'!R187</f>
        <v>43.710285832077716</v>
      </c>
      <c r="S187" s="169">
        <f>'Earnings Model (adjusted)'!S187-'Earnings Model'!S187</f>
        <v>107.79315483576011</v>
      </c>
      <c r="T187" s="169">
        <f>'Earnings Model (adjusted)'!T187-'Earnings Model'!T187</f>
        <v>184.14967824880978</v>
      </c>
      <c r="U187" s="169">
        <f>'Earnings Model (adjusted)'!U187-'Earnings Model'!U187</f>
        <v>274.77940838769337</v>
      </c>
      <c r="V187" s="169">
        <f>'Earnings Model (adjusted)'!V187-'Earnings Model'!V187</f>
        <v>313.21497468008511</v>
      </c>
      <c r="W187" s="169">
        <f>'Earnings Model (adjusted)'!W187-'Earnings Model'!W187</f>
        <v>313.21497468008511</v>
      </c>
      <c r="X187" s="169">
        <f>'Earnings Model (adjusted)'!X187-'Earnings Model'!X187</f>
        <v>389.59180865058943</v>
      </c>
      <c r="Y187" s="169">
        <f>'Earnings Model (adjusted)'!Y187-'Earnings Model'!Y187</f>
        <v>467.89987025043138</v>
      </c>
      <c r="Z187" s="169">
        <f>'Earnings Model (adjusted)'!Z187-'Earnings Model'!Z187</f>
        <v>545.10517283942136</v>
      </c>
      <c r="AA187" s="169">
        <f>'Earnings Model (adjusted)'!AA187-'Earnings Model'!AA187</f>
        <v>642.22224902774451</v>
      </c>
      <c r="AB187" s="169">
        <f>'Earnings Model (adjusted)'!AB187-'Earnings Model'!AB187</f>
        <v>642.22224902774451</v>
      </c>
      <c r="AC187" s="169">
        <f>'Earnings Model (adjusted)'!AC187-'Earnings Model'!AC187</f>
        <v>711.1239756032337</v>
      </c>
      <c r="AD187" s="169">
        <f>'Earnings Model (adjusted)'!AD187-'Earnings Model'!AD187</f>
        <v>791.60310227181344</v>
      </c>
      <c r="AE187" s="169">
        <f>'Earnings Model (adjusted)'!AE187-'Earnings Model'!AE187</f>
        <v>867.15264334140647</v>
      </c>
      <c r="AF187" s="169">
        <f>'Earnings Model (adjusted)'!AF187-'Earnings Model'!AF187</f>
        <v>952.71163733057438</v>
      </c>
      <c r="AG187" s="169">
        <f>'Earnings Model (adjusted)'!AG187-'Earnings Model'!AG187</f>
        <v>952.71163733057438</v>
      </c>
      <c r="AH187" s="169">
        <f>'Earnings Model (adjusted)'!AH187-'Earnings Model'!AH187</f>
        <v>1051.7051821844825</v>
      </c>
      <c r="AI187" s="169">
        <f>'Earnings Model (adjusted)'!AI187-'Earnings Model'!AI187</f>
        <v>1149.8212052556496</v>
      </c>
      <c r="AJ187" s="169">
        <f>'Earnings Model (adjusted)'!AJ187-'Earnings Model'!AJ187</f>
        <v>1238.1561151327815</v>
      </c>
      <c r="AK187" s="169">
        <f>'Earnings Model (adjusted)'!AK187-'Earnings Model'!AK187</f>
        <v>1333.8407468313785</v>
      </c>
      <c r="AL187" s="169">
        <f>'Earnings Model (adjusted)'!AL187-'Earnings Model'!AL187</f>
        <v>1333.8407468313785</v>
      </c>
      <c r="AM187" s="169">
        <f>'Earnings Model (adjusted)'!AM187-'Earnings Model'!AM187</f>
        <v>1439.311974886994</v>
      </c>
      <c r="AN187" s="169">
        <f>'Earnings Model (adjusted)'!AN187-'Earnings Model'!AN187</f>
        <v>1541.7441008158003</v>
      </c>
      <c r="AO187" s="169">
        <f>'Earnings Model (adjusted)'!AO187-'Earnings Model'!AO187</f>
        <v>1624.6790389326861</v>
      </c>
      <c r="AP187" s="169">
        <f>'Earnings Model (adjusted)'!AP187-'Earnings Model'!AP187</f>
        <v>1722.8942745181012</v>
      </c>
      <c r="AQ187" s="169">
        <f>'Earnings Model (adjusted)'!AQ187-'Earnings Model'!AQ187</f>
        <v>1722.8942745181012</v>
      </c>
    </row>
    <row r="188" spans="1:43" ht="14.65" customHeight="1" outlineLevel="1" x14ac:dyDescent="0.25">
      <c r="A188" s="372"/>
      <c r="B188" s="539" t="s">
        <v>201</v>
      </c>
      <c r="C188" s="540"/>
      <c r="D188" s="34">
        <v>230.2</v>
      </c>
      <c r="E188" s="34">
        <v>76.599999999999994</v>
      </c>
      <c r="F188" s="34">
        <v>72.099999999999994</v>
      </c>
      <c r="G188" s="34">
        <v>70.5</v>
      </c>
      <c r="H188" s="35">
        <f>+G188</f>
        <v>70.5</v>
      </c>
      <c r="I188" s="34">
        <v>68.400000000000006</v>
      </c>
      <c r="J188" s="34">
        <v>52.9</v>
      </c>
      <c r="K188" s="34">
        <v>229.9</v>
      </c>
      <c r="L188" s="34">
        <v>281.2</v>
      </c>
      <c r="M188" s="35">
        <f>+L188</f>
        <v>281.2</v>
      </c>
      <c r="N188" s="34">
        <v>235.5</v>
      </c>
      <c r="O188" s="34">
        <v>123</v>
      </c>
      <c r="P188" s="34">
        <v>153.6</v>
      </c>
      <c r="Q188" s="169">
        <f>'Earnings Model (adjusted)'!Q188-'Earnings Model'!Q188</f>
        <v>0.17955434075045673</v>
      </c>
      <c r="R188" s="169">
        <f>'Earnings Model (adjusted)'!R188-'Earnings Model'!R188</f>
        <v>0.17955434075045673</v>
      </c>
      <c r="S188" s="169">
        <f>'Earnings Model (adjusted)'!S188-'Earnings Model'!S188</f>
        <v>0.68123528078317008</v>
      </c>
      <c r="T188" s="169">
        <f>'Earnings Model (adjusted)'!T188-'Earnings Model'!T188</f>
        <v>1.0954562467434243</v>
      </c>
      <c r="U188" s="169">
        <f>'Earnings Model (adjusted)'!U188-'Earnings Model'!U188</f>
        <v>1.6319964267166256</v>
      </c>
      <c r="V188" s="169">
        <f>'Earnings Model (adjusted)'!V188-'Earnings Model'!V188</f>
        <v>2.0550860205977699</v>
      </c>
      <c r="W188" s="169">
        <f>'Earnings Model (adjusted)'!W188-'Earnings Model'!W188</f>
        <v>2.0550860205977699</v>
      </c>
      <c r="X188" s="169">
        <f>'Earnings Model (adjusted)'!X188-'Earnings Model'!X188</f>
        <v>2.5655414505866077</v>
      </c>
      <c r="Y188" s="169">
        <f>'Earnings Model (adjusted)'!Y188-'Earnings Model'!Y188</f>
        <v>3.057869093172684</v>
      </c>
      <c r="Z188" s="169">
        <f>'Earnings Model (adjusted)'!Z188-'Earnings Model'!Z188</f>
        <v>3.432712496630927</v>
      </c>
      <c r="AA188" s="169">
        <f>'Earnings Model (adjusted)'!AA188-'Earnings Model'!AA188</f>
        <v>4.002593922946744</v>
      </c>
      <c r="AB188" s="169">
        <f>'Earnings Model (adjusted)'!AB188-'Earnings Model'!AB188</f>
        <v>4.002593922946744</v>
      </c>
      <c r="AC188" s="169">
        <f>'Earnings Model (adjusted)'!AC188-'Earnings Model'!AC188</f>
        <v>4.7090329877688646</v>
      </c>
      <c r="AD188" s="169">
        <f>'Earnings Model (adjusted)'!AD188-'Earnings Model'!AD188</f>
        <v>5.2453052833502056</v>
      </c>
      <c r="AE188" s="169">
        <f>'Earnings Model (adjusted)'!AE188-'Earnings Model'!AE188</f>
        <v>5.5157714666052584</v>
      </c>
      <c r="AF188" s="169">
        <f>'Earnings Model (adjusted)'!AF188-'Earnings Model'!AF188</f>
        <v>5.9399337860946559</v>
      </c>
      <c r="AG188" s="169">
        <f>'Earnings Model (adjusted)'!AG188-'Earnings Model'!AG188</f>
        <v>5.9399337860946559</v>
      </c>
      <c r="AH188" s="169">
        <f>'Earnings Model (adjusted)'!AH188-'Earnings Model'!AH188</f>
        <v>6.8876030637322856</v>
      </c>
      <c r="AI188" s="169">
        <f>'Earnings Model (adjusted)'!AI188-'Earnings Model'!AI188</f>
        <v>7.5422146105043453</v>
      </c>
      <c r="AJ188" s="169">
        <f>'Earnings Model (adjusted)'!AJ188-'Earnings Model'!AJ188</f>
        <v>7.8036964813052236</v>
      </c>
      <c r="AK188" s="169">
        <f>'Earnings Model (adjusted)'!AK188-'Earnings Model'!AK188</f>
        <v>8.2621942366949952</v>
      </c>
      <c r="AL188" s="169">
        <f>'Earnings Model (adjusted)'!AL188-'Earnings Model'!AL188</f>
        <v>8.2621942366949952</v>
      </c>
      <c r="AM188" s="169">
        <f>'Earnings Model (adjusted)'!AM188-'Earnings Model'!AM188</f>
        <v>9.3613955736727235</v>
      </c>
      <c r="AN188" s="169">
        <f>'Earnings Model (adjusted)'!AN188-'Earnings Model'!AN188</f>
        <v>10.042485245004741</v>
      </c>
      <c r="AO188" s="169">
        <f>'Earnings Model (adjusted)'!AO188-'Earnings Model'!AO188</f>
        <v>10.246998937638921</v>
      </c>
      <c r="AP188" s="169">
        <f>'Earnings Model (adjusted)'!AP188-'Earnings Model'!AP188</f>
        <v>10.717799064782497</v>
      </c>
      <c r="AQ188" s="169">
        <f>'Earnings Model (adjusted)'!AQ188-'Earnings Model'!AQ188</f>
        <v>10.717799064782497</v>
      </c>
    </row>
    <row r="189" spans="1:43" s="43" customFormat="1" ht="14.65" customHeight="1" outlineLevel="1" x14ac:dyDescent="0.25">
      <c r="A189" s="372"/>
      <c r="B189" s="595" t="s">
        <v>202</v>
      </c>
      <c r="C189" s="596"/>
      <c r="D189" s="34">
        <v>721.4</v>
      </c>
      <c r="E189" s="34">
        <v>703.6</v>
      </c>
      <c r="F189" s="34">
        <v>790.6</v>
      </c>
      <c r="G189" s="34">
        <v>879</v>
      </c>
      <c r="H189" s="35">
        <f>G189</f>
        <v>879</v>
      </c>
      <c r="I189" s="34">
        <v>908.1</v>
      </c>
      <c r="J189" s="34">
        <v>941</v>
      </c>
      <c r="K189" s="34">
        <v>881.1</v>
      </c>
      <c r="L189" s="34">
        <v>883.4</v>
      </c>
      <c r="M189" s="35">
        <f>L189</f>
        <v>883.4</v>
      </c>
      <c r="N189" s="34">
        <v>888</v>
      </c>
      <c r="O189" s="34">
        <v>880.2</v>
      </c>
      <c r="P189" s="34">
        <v>911.2</v>
      </c>
      <c r="Q189" s="169">
        <f>'Earnings Model (adjusted)'!Q189-'Earnings Model'!Q189</f>
        <v>0</v>
      </c>
      <c r="R189" s="169">
        <f>'Earnings Model (adjusted)'!R189-'Earnings Model'!R189</f>
        <v>0</v>
      </c>
      <c r="S189" s="169">
        <f>'Earnings Model (adjusted)'!S189-'Earnings Model'!S189</f>
        <v>10.996146009376503</v>
      </c>
      <c r="T189" s="169">
        <f>'Earnings Model (adjusted)'!T189-'Earnings Model'!T189</f>
        <v>10.727123298134302</v>
      </c>
      <c r="U189" s="169">
        <f>'Earnings Model (adjusted)'!U189-'Earnings Model'!U189</f>
        <v>5.7428295019713005</v>
      </c>
      <c r="V189" s="169">
        <f>'Earnings Model (adjusted)'!V189-'Earnings Model'!V189</f>
        <v>6.1029734211253981</v>
      </c>
      <c r="W189" s="169">
        <f>'Earnings Model (adjusted)'!W189-'Earnings Model'!W189</f>
        <v>6.1029734211253981</v>
      </c>
      <c r="X189" s="169">
        <f>'Earnings Model (adjusted)'!X189-'Earnings Model'!X189</f>
        <v>14.565878562418902</v>
      </c>
      <c r="Y189" s="169">
        <f>'Earnings Model (adjusted)'!Y189-'Earnings Model'!Y189</f>
        <v>14.58612758403865</v>
      </c>
      <c r="Z189" s="169">
        <f>'Earnings Model (adjusted)'!Z189-'Earnings Model'!Z189</f>
        <v>6.148633126980485</v>
      </c>
      <c r="AA189" s="169">
        <f>'Earnings Model (adjusted)'!AA189-'Earnings Model'!AA189</f>
        <v>6.5001416065304056</v>
      </c>
      <c r="AB189" s="169">
        <f>'Earnings Model (adjusted)'!AB189-'Earnings Model'!AB189</f>
        <v>6.5001416065304056</v>
      </c>
      <c r="AC189" s="169">
        <f>'Earnings Model (adjusted)'!AC189-'Earnings Model'!AC189</f>
        <v>18.986500949838273</v>
      </c>
      <c r="AD189" s="169">
        <f>'Earnings Model (adjusted)'!AD189-'Earnings Model'!AD189</f>
        <v>19.055535625063612</v>
      </c>
      <c r="AE189" s="169">
        <f>'Earnings Model (adjusted)'!AE189-'Earnings Model'!AE189</f>
        <v>6.6169308420783182</v>
      </c>
      <c r="AF189" s="169">
        <f>'Earnings Model (adjusted)'!AF189-'Earnings Model'!AF189</f>
        <v>3.3467968970901438</v>
      </c>
      <c r="AG189" s="169">
        <f>'Earnings Model (adjusted)'!AG189-'Earnings Model'!AG189</f>
        <v>3.3467968970901438</v>
      </c>
      <c r="AH189" s="169">
        <f>'Earnings Model (adjusted)'!AH189-'Earnings Model'!AH189</f>
        <v>23.968360521623936</v>
      </c>
      <c r="AI189" s="169">
        <f>'Earnings Model (adjusted)'!AI189-'Earnings Model'!AI189</f>
        <v>24.052274365211588</v>
      </c>
      <c r="AJ189" s="169">
        <f>'Earnings Model (adjusted)'!AJ189-'Earnings Model'!AJ189</f>
        <v>7.0835606069636015</v>
      </c>
      <c r="AK189" s="169">
        <f>'Earnings Model (adjusted)'!AK189-'Earnings Model'!AK189</f>
        <v>3.5820709820352477</v>
      </c>
      <c r="AL189" s="169">
        <f>'Earnings Model (adjusted)'!AL189-'Earnings Model'!AL189</f>
        <v>3.5820709820352477</v>
      </c>
      <c r="AM189" s="169">
        <f>'Earnings Model (adjusted)'!AM189-'Earnings Model'!AM189</f>
        <v>25.648044332148174</v>
      </c>
      <c r="AN189" s="169">
        <f>'Earnings Model (adjusted)'!AN189-'Earnings Model'!AN189</f>
        <v>25.732645211859563</v>
      </c>
      <c r="AO189" s="169">
        <f>'Earnings Model (adjusted)'!AO189-'Earnings Model'!AO189</f>
        <v>7.5769336636919888</v>
      </c>
      <c r="AP189" s="169">
        <f>'Earnings Model (adjusted)'!AP189-'Earnings Model'!AP189</f>
        <v>3.830812118741278</v>
      </c>
      <c r="AQ189" s="169">
        <f>'Earnings Model (adjusted)'!AQ189-'Earnings Model'!AQ189</f>
        <v>3.830812118741278</v>
      </c>
    </row>
    <row r="190" spans="1:43" s="43" customFormat="1" ht="14.65" customHeight="1" outlineLevel="1" x14ac:dyDescent="0.25">
      <c r="A190" s="372"/>
      <c r="B190" s="539" t="s">
        <v>203</v>
      </c>
      <c r="C190" s="540"/>
      <c r="D190" s="34">
        <v>1354.6</v>
      </c>
      <c r="E190" s="34">
        <v>1443</v>
      </c>
      <c r="F190" s="34">
        <v>1517.2</v>
      </c>
      <c r="G190" s="34">
        <v>1529.4</v>
      </c>
      <c r="H190" s="35">
        <f>G190</f>
        <v>1529.4</v>
      </c>
      <c r="I190" s="34">
        <v>1408.7</v>
      </c>
      <c r="J190" s="34">
        <v>1492.2</v>
      </c>
      <c r="K190" s="34">
        <v>1583.8</v>
      </c>
      <c r="L190" s="34">
        <v>1551.4</v>
      </c>
      <c r="M190" s="35">
        <f>L190</f>
        <v>1551.4</v>
      </c>
      <c r="N190" s="34">
        <v>1471.5</v>
      </c>
      <c r="O190" s="34">
        <v>1503.6</v>
      </c>
      <c r="P190" s="34">
        <v>1548.2</v>
      </c>
      <c r="Q190" s="169">
        <f>'Earnings Model (adjusted)'!Q190-'Earnings Model'!Q190</f>
        <v>-17.800384854340791</v>
      </c>
      <c r="R190" s="169">
        <f>'Earnings Model (adjusted)'!R190-'Earnings Model'!R190</f>
        <v>-17.800384854340791</v>
      </c>
      <c r="S190" s="169">
        <f>'Earnings Model (adjusted)'!S190-'Earnings Model'!S190</f>
        <v>-14.961342832062883</v>
      </c>
      <c r="T190" s="169">
        <f>'Earnings Model (adjusted)'!T190-'Earnings Model'!T190</f>
        <v>-14.541450174922147</v>
      </c>
      <c r="U190" s="169">
        <f>'Earnings Model (adjusted)'!U190-'Earnings Model'!U190</f>
        <v>-24.496729573588482</v>
      </c>
      <c r="V190" s="169">
        <f>'Earnings Model (adjusted)'!V190-'Earnings Model'!V190</f>
        <v>-4.9628431296741837</v>
      </c>
      <c r="W190" s="169">
        <f>'Earnings Model (adjusted)'!W190-'Earnings Model'!W190</f>
        <v>-4.9628431296741837</v>
      </c>
      <c r="X190" s="169">
        <f>'Earnings Model (adjusted)'!X190-'Earnings Model'!X190</f>
        <v>-2.3595437870285423</v>
      </c>
      <c r="Y190" s="169">
        <f>'Earnings Model (adjusted)'!Y190-'Earnings Model'!Y190</f>
        <v>-1.4701153833545959</v>
      </c>
      <c r="Z190" s="169">
        <f>'Earnings Model (adjusted)'!Z190-'Earnings Model'!Z190</f>
        <v>-16.264910610708512</v>
      </c>
      <c r="AA190" s="169">
        <f>'Earnings Model (adjusted)'!AA190-'Earnings Model'!AA190</f>
        <v>-22.565763096954925</v>
      </c>
      <c r="AB190" s="169">
        <f>'Earnings Model (adjusted)'!AB190-'Earnings Model'!AB190</f>
        <v>-22.565763096954925</v>
      </c>
      <c r="AC190" s="169">
        <f>'Earnings Model (adjusted)'!AC190-'Earnings Model'!AC190</f>
        <v>9.5646133006578111</v>
      </c>
      <c r="AD190" s="169">
        <f>'Earnings Model (adjusted)'!AD190-'Earnings Model'!AD190</f>
        <v>11.281425738608505</v>
      </c>
      <c r="AE190" s="169">
        <f>'Earnings Model (adjusted)'!AE190-'Earnings Model'!AE190</f>
        <v>-9.7598582215573515</v>
      </c>
      <c r="AF190" s="169">
        <f>'Earnings Model (adjusted)'!AF190-'Earnings Model'!AF190</f>
        <v>-21.153094679695641</v>
      </c>
      <c r="AG190" s="169">
        <f>'Earnings Model (adjusted)'!AG190-'Earnings Model'!AG190</f>
        <v>-21.153094679695641</v>
      </c>
      <c r="AH190" s="169">
        <f>'Earnings Model (adjusted)'!AH190-'Earnings Model'!AH190</f>
        <v>8.1922514051284452</v>
      </c>
      <c r="AI190" s="169">
        <f>'Earnings Model (adjusted)'!AI190-'Earnings Model'!AI190</f>
        <v>10.184111623513672</v>
      </c>
      <c r="AJ190" s="169">
        <f>'Earnings Model (adjusted)'!AJ190-'Earnings Model'!AJ190</f>
        <v>-18.531267223745544</v>
      </c>
      <c r="AK190" s="169">
        <f>'Earnings Model (adjusted)'!AK190-'Earnings Model'!AK190</f>
        <v>-33.60648304537699</v>
      </c>
      <c r="AL190" s="169">
        <f>'Earnings Model (adjusted)'!AL190-'Earnings Model'!AL190</f>
        <v>-33.60648304537699</v>
      </c>
      <c r="AM190" s="169">
        <f>'Earnings Model (adjusted)'!AM190-'Earnings Model'!AM190</f>
        <v>12.007990472776783</v>
      </c>
      <c r="AN190" s="169">
        <f>'Earnings Model (adjusted)'!AN190-'Earnings Model'!AN190</f>
        <v>14.276685432655086</v>
      </c>
      <c r="AO190" s="169">
        <f>'Earnings Model (adjusted)'!AO190-'Earnings Model'!AO190</f>
        <v>-16.350386652428369</v>
      </c>
      <c r="AP190" s="169">
        <f>'Earnings Model (adjusted)'!AP190-'Earnings Model'!AP190</f>
        <v>-31.223652785199192</v>
      </c>
      <c r="AQ190" s="169">
        <f>'Earnings Model (adjusted)'!AQ190-'Earnings Model'!AQ190</f>
        <v>-31.223652785199192</v>
      </c>
    </row>
    <row r="191" spans="1:43" ht="16.149999999999999" customHeight="1" outlineLevel="1" x14ac:dyDescent="0.4">
      <c r="A191" s="372"/>
      <c r="B191" s="595" t="s">
        <v>71</v>
      </c>
      <c r="C191" s="596"/>
      <c r="D191" s="37">
        <v>608.5</v>
      </c>
      <c r="E191" s="270">
        <v>674</v>
      </c>
      <c r="F191" s="270">
        <v>591.6</v>
      </c>
      <c r="G191" s="270">
        <v>488.2</v>
      </c>
      <c r="H191" s="38">
        <f>G191</f>
        <v>488.2</v>
      </c>
      <c r="I191" s="270">
        <v>474</v>
      </c>
      <c r="J191" s="270">
        <v>691.5</v>
      </c>
      <c r="K191" s="270">
        <v>920.3</v>
      </c>
      <c r="L191" s="270">
        <v>739.5</v>
      </c>
      <c r="M191" s="38">
        <f>L191</f>
        <v>739.5</v>
      </c>
      <c r="N191" s="270">
        <v>734.4</v>
      </c>
      <c r="O191" s="270">
        <v>592</v>
      </c>
      <c r="P191" s="270">
        <v>565.6</v>
      </c>
      <c r="Q191" s="169">
        <f>'Earnings Model (adjusted)'!Q191-'Earnings Model'!Q191</f>
        <v>0</v>
      </c>
      <c r="R191" s="169">
        <f>'Earnings Model (adjusted)'!R191-'Earnings Model'!R191</f>
        <v>0</v>
      </c>
      <c r="S191" s="169">
        <f>'Earnings Model (adjusted)'!S191-'Earnings Model'!S191</f>
        <v>0</v>
      </c>
      <c r="T191" s="169">
        <f>'Earnings Model (adjusted)'!T191-'Earnings Model'!T191</f>
        <v>0</v>
      </c>
      <c r="U191" s="169">
        <f>'Earnings Model (adjusted)'!U191-'Earnings Model'!U191</f>
        <v>0</v>
      </c>
      <c r="V191" s="169">
        <f>'Earnings Model (adjusted)'!V191-'Earnings Model'!V191</f>
        <v>0</v>
      </c>
      <c r="W191" s="169">
        <f>'Earnings Model (adjusted)'!W191-'Earnings Model'!W191</f>
        <v>0</v>
      </c>
      <c r="X191" s="169">
        <f>'Earnings Model (adjusted)'!X191-'Earnings Model'!X191</f>
        <v>0</v>
      </c>
      <c r="Y191" s="169">
        <f>'Earnings Model (adjusted)'!Y191-'Earnings Model'!Y191</f>
        <v>0</v>
      </c>
      <c r="Z191" s="169">
        <f>'Earnings Model (adjusted)'!Z191-'Earnings Model'!Z191</f>
        <v>0</v>
      </c>
      <c r="AA191" s="169">
        <f>'Earnings Model (adjusted)'!AA191-'Earnings Model'!AA191</f>
        <v>0</v>
      </c>
      <c r="AB191" s="169">
        <f>'Earnings Model (adjusted)'!AB191-'Earnings Model'!AB191</f>
        <v>0</v>
      </c>
      <c r="AC191" s="169">
        <f>'Earnings Model (adjusted)'!AC191-'Earnings Model'!AC191</f>
        <v>0</v>
      </c>
      <c r="AD191" s="169">
        <f>'Earnings Model (adjusted)'!AD191-'Earnings Model'!AD191</f>
        <v>0</v>
      </c>
      <c r="AE191" s="169">
        <f>'Earnings Model (adjusted)'!AE191-'Earnings Model'!AE191</f>
        <v>0</v>
      </c>
      <c r="AF191" s="169">
        <f>'Earnings Model (adjusted)'!AF191-'Earnings Model'!AF191</f>
        <v>0</v>
      </c>
      <c r="AG191" s="169">
        <f>'Earnings Model (adjusted)'!AG191-'Earnings Model'!AG191</f>
        <v>0</v>
      </c>
      <c r="AH191" s="169">
        <f>'Earnings Model (adjusted)'!AH191-'Earnings Model'!AH191</f>
        <v>0</v>
      </c>
      <c r="AI191" s="169">
        <f>'Earnings Model (adjusted)'!AI191-'Earnings Model'!AI191</f>
        <v>0</v>
      </c>
      <c r="AJ191" s="169">
        <f>'Earnings Model (adjusted)'!AJ191-'Earnings Model'!AJ191</f>
        <v>0</v>
      </c>
      <c r="AK191" s="169">
        <f>'Earnings Model (adjusted)'!AK191-'Earnings Model'!AK191</f>
        <v>0</v>
      </c>
      <c r="AL191" s="169">
        <f>'Earnings Model (adjusted)'!AL191-'Earnings Model'!AL191</f>
        <v>0</v>
      </c>
      <c r="AM191" s="169">
        <f>'Earnings Model (adjusted)'!AM191-'Earnings Model'!AM191</f>
        <v>0</v>
      </c>
      <c r="AN191" s="169">
        <f>'Earnings Model (adjusted)'!AN191-'Earnings Model'!AN191</f>
        <v>0</v>
      </c>
      <c r="AO191" s="169">
        <f>'Earnings Model (adjusted)'!AO191-'Earnings Model'!AO191</f>
        <v>0</v>
      </c>
      <c r="AP191" s="169">
        <f>'Earnings Model (adjusted)'!AP191-'Earnings Model'!AP191</f>
        <v>0</v>
      </c>
      <c r="AQ191" s="169">
        <f>'Earnings Model (adjusted)'!AQ191-'Earnings Model'!AQ191</f>
        <v>0</v>
      </c>
    </row>
    <row r="192" spans="1:43" ht="14.65" customHeight="1" outlineLevel="1" x14ac:dyDescent="0.25">
      <c r="A192" s="372"/>
      <c r="B192" s="545" t="s">
        <v>4</v>
      </c>
      <c r="C192" s="546"/>
      <c r="D192" s="41">
        <f t="shared" ref="D192:P192" si="122">SUM(D187:D191)</f>
        <v>7676.2999999999993</v>
      </c>
      <c r="E192" s="41">
        <f t="shared" si="122"/>
        <v>4952.3</v>
      </c>
      <c r="F192" s="41">
        <f t="shared" si="122"/>
        <v>7734.9000000000024</v>
      </c>
      <c r="G192" s="41">
        <f t="shared" si="122"/>
        <v>5653.7000000000016</v>
      </c>
      <c r="H192" s="42">
        <f t="shared" si="122"/>
        <v>5653.7000000000016</v>
      </c>
      <c r="I192" s="41">
        <f t="shared" si="122"/>
        <v>5899.7000000000035</v>
      </c>
      <c r="J192" s="41">
        <f t="shared" si="122"/>
        <v>5749.9000000000033</v>
      </c>
      <c r="K192" s="41">
        <f t="shared" si="122"/>
        <v>7581.0000000000045</v>
      </c>
      <c r="L192" s="283">
        <f t="shared" si="122"/>
        <v>7806.4000000000051</v>
      </c>
      <c r="M192" s="42">
        <f t="shared" si="122"/>
        <v>7806.4000000000051</v>
      </c>
      <c r="N192" s="41">
        <f t="shared" si="122"/>
        <v>8357.4000000000106</v>
      </c>
      <c r="O192" s="41">
        <f t="shared" si="122"/>
        <v>6979.4000000000106</v>
      </c>
      <c r="P192" s="41">
        <f t="shared" si="122"/>
        <v>7931.7000000000098</v>
      </c>
      <c r="Q192" s="169">
        <f>'Earnings Model (adjusted)'!Q192-'Earnings Model'!Q192</f>
        <v>26.089455318488035</v>
      </c>
      <c r="R192" s="169">
        <f>'Earnings Model (adjusted)'!R192-'Earnings Model'!R192</f>
        <v>26.089455318488035</v>
      </c>
      <c r="S192" s="169">
        <f>'Earnings Model (adjusted)'!S192-'Earnings Model'!S192</f>
        <v>104.50919329385761</v>
      </c>
      <c r="T192" s="169">
        <f>'Earnings Model (adjusted)'!T192-'Earnings Model'!T192</f>
        <v>181.43080761876445</v>
      </c>
      <c r="U192" s="169">
        <f>'Earnings Model (adjusted)'!U192-'Earnings Model'!U192</f>
        <v>257.6575047427923</v>
      </c>
      <c r="V192" s="169">
        <f>'Earnings Model (adjusted)'!V192-'Earnings Model'!V192</f>
        <v>316.41019099213372</v>
      </c>
      <c r="W192" s="169">
        <f>'Earnings Model (adjusted)'!W192-'Earnings Model'!W192</f>
        <v>316.41019099213372</v>
      </c>
      <c r="X192" s="169">
        <f>'Earnings Model (adjusted)'!X192-'Earnings Model'!X192</f>
        <v>404.36368487656546</v>
      </c>
      <c r="Y192" s="169">
        <f>'Earnings Model (adjusted)'!Y192-'Earnings Model'!Y192</f>
        <v>484.07375154428792</v>
      </c>
      <c r="Z192" s="169">
        <f>'Earnings Model (adjusted)'!Z192-'Earnings Model'!Z192</f>
        <v>538.42160785232409</v>
      </c>
      <c r="AA192" s="169">
        <f>'Earnings Model (adjusted)'!AA192-'Earnings Model'!AA192</f>
        <v>630.15922146026605</v>
      </c>
      <c r="AB192" s="169">
        <f>'Earnings Model (adjusted)'!AB192-'Earnings Model'!AB192</f>
        <v>630.15922146026605</v>
      </c>
      <c r="AC192" s="169">
        <f>'Earnings Model (adjusted)'!AC192-'Earnings Model'!AC192</f>
        <v>744.38412284149763</v>
      </c>
      <c r="AD192" s="169">
        <f>'Earnings Model (adjusted)'!AD192-'Earnings Model'!AD192</f>
        <v>827.18536891883559</v>
      </c>
      <c r="AE192" s="169">
        <f>'Earnings Model (adjusted)'!AE192-'Earnings Model'!AE192</f>
        <v>869.52548742853196</v>
      </c>
      <c r="AF192" s="169">
        <f>'Earnings Model (adjusted)'!AF192-'Earnings Model'!AF192</f>
        <v>940.84527333406277</v>
      </c>
      <c r="AG192" s="169">
        <f>'Earnings Model (adjusted)'!AG192-'Earnings Model'!AG192</f>
        <v>940.84527333406277</v>
      </c>
      <c r="AH192" s="169">
        <f>'Earnings Model (adjusted)'!AH192-'Earnings Model'!AH192</f>
        <v>1090.753397174969</v>
      </c>
      <c r="AI192" s="169">
        <f>'Earnings Model (adjusted)'!AI192-'Earnings Model'!AI192</f>
        <v>1191.5998058548776</v>
      </c>
      <c r="AJ192" s="169">
        <f>'Earnings Model (adjusted)'!AJ192-'Earnings Model'!AJ192</f>
        <v>1234.512104997304</v>
      </c>
      <c r="AK192" s="169">
        <f>'Earnings Model (adjusted)'!AK192-'Earnings Model'!AK192</f>
        <v>1312.0785290047315</v>
      </c>
      <c r="AL192" s="169">
        <f>'Earnings Model (adjusted)'!AL192-'Earnings Model'!AL192</f>
        <v>1312.0785290047315</v>
      </c>
      <c r="AM192" s="169">
        <f>'Earnings Model (adjusted)'!AM192-'Earnings Model'!AM192</f>
        <v>1486.3294052655929</v>
      </c>
      <c r="AN192" s="169">
        <f>'Earnings Model (adjusted)'!AN192-'Earnings Model'!AN192</f>
        <v>1591.7959167053195</v>
      </c>
      <c r="AO192" s="169">
        <f>'Earnings Model (adjusted)'!AO192-'Earnings Model'!AO192</f>
        <v>1626.1525848815872</v>
      </c>
      <c r="AP192" s="169">
        <f>'Earnings Model (adjusted)'!AP192-'Earnings Model'!AP192</f>
        <v>1706.2192329164245</v>
      </c>
      <c r="AQ192" s="169">
        <f>'Earnings Model (adjusted)'!AQ192-'Earnings Model'!AQ192</f>
        <v>1706.2192329164245</v>
      </c>
    </row>
    <row r="193" spans="1:43" ht="14.65" customHeight="1" outlineLevel="1" x14ac:dyDescent="0.25">
      <c r="A193" s="372"/>
      <c r="B193" s="539" t="s">
        <v>204</v>
      </c>
      <c r="C193" s="551"/>
      <c r="D193" s="34">
        <v>265</v>
      </c>
      <c r="E193" s="34">
        <v>251.9</v>
      </c>
      <c r="F193" s="34">
        <v>222.6</v>
      </c>
      <c r="G193" s="34">
        <v>220</v>
      </c>
      <c r="H193" s="35">
        <f t="shared" ref="H193:H194" si="123">+G193</f>
        <v>220</v>
      </c>
      <c r="I193" s="34">
        <v>199.8</v>
      </c>
      <c r="J193" s="34">
        <v>198.8</v>
      </c>
      <c r="K193" s="34">
        <v>223.4</v>
      </c>
      <c r="L193" s="256">
        <v>206.1</v>
      </c>
      <c r="M193" s="35">
        <f t="shared" ref="M193:M194" si="124">+L193</f>
        <v>206.1</v>
      </c>
      <c r="N193" s="34">
        <v>190.9</v>
      </c>
      <c r="O193" s="34">
        <v>284.8</v>
      </c>
      <c r="P193" s="34">
        <v>285.89999999999998</v>
      </c>
      <c r="Q193" s="169">
        <f>'Earnings Model (adjusted)'!Q193-'Earnings Model'!Q193</f>
        <v>0.22383384642071746</v>
      </c>
      <c r="R193" s="169">
        <f>'Earnings Model (adjusted)'!R193-'Earnings Model'!R193</f>
        <v>0.22383384642071746</v>
      </c>
      <c r="S193" s="169">
        <f>'Earnings Model (adjusted)'!S193-'Earnings Model'!S193</f>
        <v>0.97172652220751843</v>
      </c>
      <c r="T193" s="169">
        <f>'Earnings Model (adjusted)'!T193-'Earnings Model'!T193</f>
        <v>1.8095849662786918</v>
      </c>
      <c r="U193" s="169">
        <f>'Earnings Model (adjusted)'!U193-'Earnings Model'!U193</f>
        <v>2.4896706894501222</v>
      </c>
      <c r="V193" s="169">
        <f>'Earnings Model (adjusted)'!V193-'Earnings Model'!V193</f>
        <v>2.9871757492862514</v>
      </c>
      <c r="W193" s="169">
        <f>'Earnings Model (adjusted)'!W193-'Earnings Model'!W193</f>
        <v>2.9871757492862514</v>
      </c>
      <c r="X193" s="169">
        <f>'Earnings Model (adjusted)'!X193-'Earnings Model'!X193</f>
        <v>3.8775243096156942</v>
      </c>
      <c r="Y193" s="169">
        <f>'Earnings Model (adjusted)'!Y193-'Earnings Model'!Y193</f>
        <v>4.6894451670863191</v>
      </c>
      <c r="Z193" s="169">
        <f>'Earnings Model (adjusted)'!Z193-'Earnings Model'!Z193</f>
        <v>5.1683423181313231</v>
      </c>
      <c r="AA193" s="169">
        <f>'Earnings Model (adjusted)'!AA193-'Earnings Model'!AA193</f>
        <v>6.0066252457305325</v>
      </c>
      <c r="AB193" s="169">
        <f>'Earnings Model (adjusted)'!AB193-'Earnings Model'!AB193</f>
        <v>6.0066252457305325</v>
      </c>
      <c r="AC193" s="169">
        <f>'Earnings Model (adjusted)'!AC193-'Earnings Model'!AC193</f>
        <v>7.1235898938635955</v>
      </c>
      <c r="AD193" s="169">
        <f>'Earnings Model (adjusted)'!AD193-'Earnings Model'!AD193</f>
        <v>7.93662531770795</v>
      </c>
      <c r="AE193" s="169">
        <f>'Earnings Model (adjusted)'!AE193-'Earnings Model'!AE193</f>
        <v>8.3179159071081017</v>
      </c>
      <c r="AF193" s="169">
        <f>'Earnings Model (adjusted)'!AF193-'Earnings Model'!AF193</f>
        <v>8.9611450248562505</v>
      </c>
      <c r="AG193" s="169">
        <f>'Earnings Model (adjusted)'!AG193-'Earnings Model'!AG193</f>
        <v>8.9611450248562505</v>
      </c>
      <c r="AH193" s="169">
        <f>'Earnings Model (adjusted)'!AH193-'Earnings Model'!AH193</f>
        <v>10.404557611164819</v>
      </c>
      <c r="AI193" s="169">
        <f>'Earnings Model (adjusted)'!AI193-'Earnings Model'!AI193</f>
        <v>11.389417291231609</v>
      </c>
      <c r="AJ193" s="169">
        <f>'Earnings Model (adjusted)'!AJ193-'Earnings Model'!AJ193</f>
        <v>11.778430424936118</v>
      </c>
      <c r="AK193" s="169">
        <f>'Earnings Model (adjusted)'!AK193-'Earnings Model'!AK193</f>
        <v>12.473179147029214</v>
      </c>
      <c r="AL193" s="169">
        <f>'Earnings Model (adjusted)'!AL193-'Earnings Model'!AL193</f>
        <v>12.473179147029214</v>
      </c>
      <c r="AM193" s="169">
        <f>'Earnings Model (adjusted)'!AM193-'Earnings Model'!AM193</f>
        <v>14.135049293206635</v>
      </c>
      <c r="AN193" s="169">
        <f>'Earnings Model (adjusted)'!AN193-'Earnings Model'!AN193</f>
        <v>15.16171192832644</v>
      </c>
      <c r="AO193" s="169">
        <f>'Earnings Model (adjusted)'!AO193-'Earnings Model'!AO193</f>
        <v>15.469626748610835</v>
      </c>
      <c r="AP193" s="169">
        <f>'Earnings Model (adjusted)'!AP193-'Earnings Model'!AP193</f>
        <v>16.181276481134319</v>
      </c>
      <c r="AQ193" s="169">
        <f>'Earnings Model (adjusted)'!AQ193-'Earnings Model'!AQ193</f>
        <v>16.181276481134319</v>
      </c>
    </row>
    <row r="194" spans="1:43" ht="14.65" customHeight="1" outlineLevel="1" x14ac:dyDescent="0.25">
      <c r="A194" s="372"/>
      <c r="B194" s="539" t="s">
        <v>275</v>
      </c>
      <c r="C194" s="551"/>
      <c r="D194" s="34">
        <v>336.1</v>
      </c>
      <c r="E194" s="34">
        <v>309.3</v>
      </c>
      <c r="F194" s="34">
        <v>340.3</v>
      </c>
      <c r="G194" s="34">
        <v>396</v>
      </c>
      <c r="H194" s="35">
        <f t="shared" si="123"/>
        <v>396</v>
      </c>
      <c r="I194" s="34">
        <v>411.3</v>
      </c>
      <c r="J194" s="34">
        <v>420.9</v>
      </c>
      <c r="K194" s="34">
        <v>426.1</v>
      </c>
      <c r="L194" s="256">
        <v>478.7</v>
      </c>
      <c r="M194" s="35">
        <f t="shared" si="124"/>
        <v>478.7</v>
      </c>
      <c r="N194" s="34">
        <v>496</v>
      </c>
      <c r="O194" s="34">
        <v>499.4</v>
      </c>
      <c r="P194" s="34">
        <v>535.29999999999995</v>
      </c>
      <c r="Q194" s="169">
        <f>'Earnings Model (adjusted)'!Q194-'Earnings Model'!Q194</f>
        <v>0</v>
      </c>
      <c r="R194" s="169">
        <f>'Earnings Model (adjusted)'!R194-'Earnings Model'!R194</f>
        <v>0</v>
      </c>
      <c r="S194" s="169">
        <f>'Earnings Model (adjusted)'!S194-'Earnings Model'!S194</f>
        <v>0</v>
      </c>
      <c r="T194" s="169">
        <f>'Earnings Model (adjusted)'!T194-'Earnings Model'!T194</f>
        <v>0</v>
      </c>
      <c r="U194" s="169">
        <f>'Earnings Model (adjusted)'!U194-'Earnings Model'!U194</f>
        <v>0</v>
      </c>
      <c r="V194" s="169">
        <f>'Earnings Model (adjusted)'!V194-'Earnings Model'!V194</f>
        <v>0</v>
      </c>
      <c r="W194" s="169">
        <f>'Earnings Model (adjusted)'!W194-'Earnings Model'!W194</f>
        <v>0</v>
      </c>
      <c r="X194" s="169">
        <f>'Earnings Model (adjusted)'!X194-'Earnings Model'!X194</f>
        <v>0</v>
      </c>
      <c r="Y194" s="169">
        <f>'Earnings Model (adjusted)'!Y194-'Earnings Model'!Y194</f>
        <v>0</v>
      </c>
      <c r="Z194" s="169">
        <f>'Earnings Model (adjusted)'!Z194-'Earnings Model'!Z194</f>
        <v>0</v>
      </c>
      <c r="AA194" s="169">
        <f>'Earnings Model (adjusted)'!AA194-'Earnings Model'!AA194</f>
        <v>0</v>
      </c>
      <c r="AB194" s="169">
        <f>'Earnings Model (adjusted)'!AB194-'Earnings Model'!AB194</f>
        <v>0</v>
      </c>
      <c r="AC194" s="169">
        <f>'Earnings Model (adjusted)'!AC194-'Earnings Model'!AC194</f>
        <v>0</v>
      </c>
      <c r="AD194" s="169">
        <f>'Earnings Model (adjusted)'!AD194-'Earnings Model'!AD194</f>
        <v>0</v>
      </c>
      <c r="AE194" s="169">
        <f>'Earnings Model (adjusted)'!AE194-'Earnings Model'!AE194</f>
        <v>0</v>
      </c>
      <c r="AF194" s="169">
        <f>'Earnings Model (adjusted)'!AF194-'Earnings Model'!AF194</f>
        <v>0</v>
      </c>
      <c r="AG194" s="169">
        <f>'Earnings Model (adjusted)'!AG194-'Earnings Model'!AG194</f>
        <v>0</v>
      </c>
      <c r="AH194" s="169">
        <f>'Earnings Model (adjusted)'!AH194-'Earnings Model'!AH194</f>
        <v>0</v>
      </c>
      <c r="AI194" s="169">
        <f>'Earnings Model (adjusted)'!AI194-'Earnings Model'!AI194</f>
        <v>0</v>
      </c>
      <c r="AJ194" s="169">
        <f>'Earnings Model (adjusted)'!AJ194-'Earnings Model'!AJ194</f>
        <v>0</v>
      </c>
      <c r="AK194" s="169">
        <f>'Earnings Model (adjusted)'!AK194-'Earnings Model'!AK194</f>
        <v>0</v>
      </c>
      <c r="AL194" s="169">
        <f>'Earnings Model (adjusted)'!AL194-'Earnings Model'!AL194</f>
        <v>0</v>
      </c>
      <c r="AM194" s="169">
        <f>'Earnings Model (adjusted)'!AM194-'Earnings Model'!AM194</f>
        <v>0</v>
      </c>
      <c r="AN194" s="169">
        <f>'Earnings Model (adjusted)'!AN194-'Earnings Model'!AN194</f>
        <v>0</v>
      </c>
      <c r="AO194" s="169">
        <f>'Earnings Model (adjusted)'!AO194-'Earnings Model'!AO194</f>
        <v>0</v>
      </c>
      <c r="AP194" s="169">
        <f>'Earnings Model (adjusted)'!AP194-'Earnings Model'!AP194</f>
        <v>0</v>
      </c>
      <c r="AQ194" s="169">
        <f>'Earnings Model (adjusted)'!AQ194-'Earnings Model'!AQ194</f>
        <v>0</v>
      </c>
    </row>
    <row r="195" spans="1:43" s="20" customFormat="1" outlineLevel="1" x14ac:dyDescent="0.25">
      <c r="A195" s="372"/>
      <c r="B195" s="539" t="s">
        <v>205</v>
      </c>
      <c r="C195" s="546"/>
      <c r="D195" s="34">
        <v>6039.3</v>
      </c>
      <c r="E195" s="34">
        <v>6135.5</v>
      </c>
      <c r="F195" s="34">
        <v>6187.8</v>
      </c>
      <c r="G195" s="34">
        <v>6431.7</v>
      </c>
      <c r="H195" s="35">
        <f>+G195</f>
        <v>6431.7</v>
      </c>
      <c r="I195" s="34">
        <v>6390.9</v>
      </c>
      <c r="J195" s="34">
        <v>6387</v>
      </c>
      <c r="K195" s="34">
        <v>6295.6</v>
      </c>
      <c r="L195" s="256">
        <v>6241.4</v>
      </c>
      <c r="M195" s="35">
        <f>+L195</f>
        <v>6241.4</v>
      </c>
      <c r="N195" s="34">
        <v>6177.9</v>
      </c>
      <c r="O195" s="34">
        <v>6123.1</v>
      </c>
      <c r="P195" s="34">
        <v>6151.4</v>
      </c>
      <c r="Q195" s="169">
        <f>'Earnings Model (adjusted)'!Q195-'Earnings Model'!Q195</f>
        <v>0</v>
      </c>
      <c r="R195" s="169">
        <f>'Earnings Model (adjusted)'!R195-'Earnings Model'!R195</f>
        <v>0</v>
      </c>
      <c r="S195" s="169">
        <f>'Earnings Model (adjusted)'!S195-'Earnings Model'!S195</f>
        <v>5.2236337187277968</v>
      </c>
      <c r="T195" s="169">
        <f>'Earnings Model (adjusted)'!T195-'Earnings Model'!T195</f>
        <v>9.9803185419095826</v>
      </c>
      <c r="U195" s="169">
        <f>'Earnings Model (adjusted)'!U195-'Earnings Model'!U195</f>
        <v>12.319459715023186</v>
      </c>
      <c r="V195" s="169">
        <f>'Earnings Model (adjusted)'!V195-'Earnings Model'!V195</f>
        <v>14.397011520595697</v>
      </c>
      <c r="W195" s="169">
        <f>'Earnings Model (adjusted)'!W195-'Earnings Model'!W195</f>
        <v>14.397011520595697</v>
      </c>
      <c r="X195" s="169">
        <f>'Earnings Model (adjusted)'!X195-'Earnings Model'!X195</f>
        <v>19.874795815626385</v>
      </c>
      <c r="Y195" s="169">
        <f>'Earnings Model (adjusted)'!Y195-'Earnings Model'!Y195</f>
        <v>25.003390849646166</v>
      </c>
      <c r="Z195" s="169">
        <f>'Earnings Model (adjusted)'!Z195-'Earnings Model'!Z195</f>
        <v>26.37128703331291</v>
      </c>
      <c r="AA195" s="169">
        <f>'Earnings Model (adjusted)'!AA195-'Earnings Model'!AA195</f>
        <v>27.512274718207664</v>
      </c>
      <c r="AB195" s="169">
        <f>'Earnings Model (adjusted)'!AB195-'Earnings Model'!AB195</f>
        <v>27.512274718207664</v>
      </c>
      <c r="AC195" s="169">
        <f>'Earnings Model (adjusted)'!AC195-'Earnings Model'!AC195</f>
        <v>33.392454890574299</v>
      </c>
      <c r="AD195" s="169">
        <f>'Earnings Model (adjusted)'!AD195-'Earnings Model'!AD195</f>
        <v>38.912833713374312</v>
      </c>
      <c r="AE195" s="169">
        <f>'Earnings Model (adjusted)'!AE195-'Earnings Model'!AE195</f>
        <v>39.372200438908294</v>
      </c>
      <c r="AF195" s="169">
        <f>'Earnings Model (adjusted)'!AF195-'Earnings Model'!AF195</f>
        <v>38.316967901980206</v>
      </c>
      <c r="AG195" s="169">
        <f>'Earnings Model (adjusted)'!AG195-'Earnings Model'!AG195</f>
        <v>38.316967901980206</v>
      </c>
      <c r="AH195" s="169">
        <f>'Earnings Model (adjusted)'!AH195-'Earnings Model'!AH195</f>
        <v>45.547214022419212</v>
      </c>
      <c r="AI195" s="169">
        <f>'Earnings Model (adjusted)'!AI195-'Earnings Model'!AI195</f>
        <v>52.340589676274249</v>
      </c>
      <c r="AJ195" s="169">
        <f>'Earnings Model (adjusted)'!AJ195-'Earnings Model'!AJ195</f>
        <v>52.187688559673916</v>
      </c>
      <c r="AK195" s="169">
        <f>'Earnings Model (adjusted)'!AK195-'Earnings Model'!AK195</f>
        <v>50.430263354818635</v>
      </c>
      <c r="AL195" s="169">
        <f>'Earnings Model (adjusted)'!AL195-'Earnings Model'!AL195</f>
        <v>50.430263354818635</v>
      </c>
      <c r="AM195" s="169">
        <f>'Earnings Model (adjusted)'!AM195-'Earnings Model'!AM195</f>
        <v>57.599280775511943</v>
      </c>
      <c r="AN195" s="169">
        <f>'Earnings Model (adjusted)'!AN195-'Earnings Model'!AN195</f>
        <v>64.329507416408887</v>
      </c>
      <c r="AO195" s="169">
        <f>'Earnings Model (adjusted)'!AO195-'Earnings Model'!AO195</f>
        <v>63.65225070672841</v>
      </c>
      <c r="AP195" s="169">
        <f>'Earnings Model (adjusted)'!AP195-'Earnings Model'!AP195</f>
        <v>61.288075468002717</v>
      </c>
      <c r="AQ195" s="169">
        <f>'Earnings Model (adjusted)'!AQ195-'Earnings Model'!AQ195</f>
        <v>61.288075468002717</v>
      </c>
    </row>
    <row r="196" spans="1:43" s="20" customFormat="1" outlineLevel="1" x14ac:dyDescent="0.25">
      <c r="A196" s="372"/>
      <c r="B196" s="539" t="s">
        <v>276</v>
      </c>
      <c r="C196" s="546"/>
      <c r="D196" s="34">
        <v>0</v>
      </c>
      <c r="E196" s="34">
        <v>0</v>
      </c>
      <c r="F196" s="34">
        <v>0</v>
      </c>
      <c r="G196" s="34">
        <v>0</v>
      </c>
      <c r="H196" s="35">
        <f>+G196</f>
        <v>0</v>
      </c>
      <c r="I196" s="34">
        <v>8358.5</v>
      </c>
      <c r="J196" s="34">
        <v>8260.7999999999993</v>
      </c>
      <c r="K196" s="34">
        <v>8214</v>
      </c>
      <c r="L196" s="256">
        <v>8134.1</v>
      </c>
      <c r="M196" s="35">
        <f>L196</f>
        <v>8134.1</v>
      </c>
      <c r="N196" s="34">
        <v>8199.4</v>
      </c>
      <c r="O196" s="34">
        <v>8036.8</v>
      </c>
      <c r="P196" s="34">
        <v>8065.2</v>
      </c>
      <c r="Q196" s="169">
        <f>'Earnings Model (adjusted)'!Q196-'Earnings Model'!Q196</f>
        <v>0</v>
      </c>
      <c r="R196" s="169">
        <f>'Earnings Model (adjusted)'!R196-'Earnings Model'!R196</f>
        <v>0</v>
      </c>
      <c r="S196" s="169">
        <f>'Earnings Model (adjusted)'!S196-'Earnings Model'!S196</f>
        <v>0</v>
      </c>
      <c r="T196" s="169">
        <f>'Earnings Model (adjusted)'!T196-'Earnings Model'!T196</f>
        <v>0</v>
      </c>
      <c r="U196" s="169">
        <f>'Earnings Model (adjusted)'!U196-'Earnings Model'!U196</f>
        <v>0</v>
      </c>
      <c r="V196" s="169">
        <f>'Earnings Model (adjusted)'!V196-'Earnings Model'!V196</f>
        <v>0</v>
      </c>
      <c r="W196" s="169">
        <f>'Earnings Model (adjusted)'!W196-'Earnings Model'!W196</f>
        <v>0</v>
      </c>
      <c r="X196" s="169">
        <f>'Earnings Model (adjusted)'!X196-'Earnings Model'!X196</f>
        <v>0</v>
      </c>
      <c r="Y196" s="169">
        <f>'Earnings Model (adjusted)'!Y196-'Earnings Model'!Y196</f>
        <v>0</v>
      </c>
      <c r="Z196" s="169">
        <f>'Earnings Model (adjusted)'!Z196-'Earnings Model'!Z196</f>
        <v>0</v>
      </c>
      <c r="AA196" s="169">
        <f>'Earnings Model (adjusted)'!AA196-'Earnings Model'!AA196</f>
        <v>0</v>
      </c>
      <c r="AB196" s="169">
        <f>'Earnings Model (adjusted)'!AB196-'Earnings Model'!AB196</f>
        <v>0</v>
      </c>
      <c r="AC196" s="169">
        <f>'Earnings Model (adjusted)'!AC196-'Earnings Model'!AC196</f>
        <v>0</v>
      </c>
      <c r="AD196" s="169">
        <f>'Earnings Model (adjusted)'!AD196-'Earnings Model'!AD196</f>
        <v>0</v>
      </c>
      <c r="AE196" s="169">
        <f>'Earnings Model (adjusted)'!AE196-'Earnings Model'!AE196</f>
        <v>0</v>
      </c>
      <c r="AF196" s="169">
        <f>'Earnings Model (adjusted)'!AF196-'Earnings Model'!AF196</f>
        <v>0</v>
      </c>
      <c r="AG196" s="169">
        <f>'Earnings Model (adjusted)'!AG196-'Earnings Model'!AG196</f>
        <v>0</v>
      </c>
      <c r="AH196" s="169">
        <f>'Earnings Model (adjusted)'!AH196-'Earnings Model'!AH196</f>
        <v>0</v>
      </c>
      <c r="AI196" s="169">
        <f>'Earnings Model (adjusted)'!AI196-'Earnings Model'!AI196</f>
        <v>0</v>
      </c>
      <c r="AJ196" s="169">
        <f>'Earnings Model (adjusted)'!AJ196-'Earnings Model'!AJ196</f>
        <v>0</v>
      </c>
      <c r="AK196" s="169">
        <f>'Earnings Model (adjusted)'!AK196-'Earnings Model'!AK196</f>
        <v>0</v>
      </c>
      <c r="AL196" s="169">
        <f>'Earnings Model (adjusted)'!AL196-'Earnings Model'!AL196</f>
        <v>0</v>
      </c>
      <c r="AM196" s="169">
        <f>'Earnings Model (adjusted)'!AM196-'Earnings Model'!AM196</f>
        <v>0</v>
      </c>
      <c r="AN196" s="169">
        <f>'Earnings Model (adjusted)'!AN196-'Earnings Model'!AN196</f>
        <v>0</v>
      </c>
      <c r="AO196" s="169">
        <f>'Earnings Model (adjusted)'!AO196-'Earnings Model'!AO196</f>
        <v>0</v>
      </c>
      <c r="AP196" s="169">
        <f>'Earnings Model (adjusted)'!AP196-'Earnings Model'!AP196</f>
        <v>0</v>
      </c>
      <c r="AQ196" s="169">
        <f>'Earnings Model (adjusted)'!AQ196-'Earnings Model'!AQ196</f>
        <v>0</v>
      </c>
    </row>
    <row r="197" spans="1:43" s="20" customFormat="1" outlineLevel="1" x14ac:dyDescent="0.25">
      <c r="A197" s="372"/>
      <c r="B197" s="539" t="s">
        <v>214</v>
      </c>
      <c r="C197" s="546"/>
      <c r="D197" s="34">
        <v>650</v>
      </c>
      <c r="E197" s="34">
        <v>1006.6</v>
      </c>
      <c r="F197" s="34">
        <v>1533</v>
      </c>
      <c r="G197" s="34">
        <v>1765.8</v>
      </c>
      <c r="H197" s="35">
        <f t="shared" ref="H197:H198" si="125">+G197</f>
        <v>1765.8</v>
      </c>
      <c r="I197" s="34">
        <v>1731.4</v>
      </c>
      <c r="J197" s="34">
        <v>1709.7</v>
      </c>
      <c r="K197" s="34">
        <v>1740</v>
      </c>
      <c r="L197" s="256">
        <v>1789.9</v>
      </c>
      <c r="M197" s="35">
        <f t="shared" ref="M197:M198" si="126">+L197</f>
        <v>1789.9</v>
      </c>
      <c r="N197" s="34">
        <v>1792.4</v>
      </c>
      <c r="O197" s="34">
        <v>1770</v>
      </c>
      <c r="P197" s="34">
        <v>1851</v>
      </c>
      <c r="Q197" s="169">
        <f>'Earnings Model (adjusted)'!Q197-'Earnings Model'!Q197</f>
        <v>0</v>
      </c>
      <c r="R197" s="169">
        <f>'Earnings Model (adjusted)'!R197-'Earnings Model'!R197</f>
        <v>0</v>
      </c>
      <c r="S197" s="169">
        <f>'Earnings Model (adjusted)'!S197-'Earnings Model'!S197</f>
        <v>0</v>
      </c>
      <c r="T197" s="169">
        <f>'Earnings Model (adjusted)'!T197-'Earnings Model'!T197</f>
        <v>0</v>
      </c>
      <c r="U197" s="169">
        <f>'Earnings Model (adjusted)'!U197-'Earnings Model'!U197</f>
        <v>0</v>
      </c>
      <c r="V197" s="169">
        <f>'Earnings Model (adjusted)'!V197-'Earnings Model'!V197</f>
        <v>0</v>
      </c>
      <c r="W197" s="169">
        <f>'Earnings Model (adjusted)'!W197-'Earnings Model'!W197</f>
        <v>0</v>
      </c>
      <c r="X197" s="169">
        <f>'Earnings Model (adjusted)'!X197-'Earnings Model'!X197</f>
        <v>0</v>
      </c>
      <c r="Y197" s="169">
        <f>'Earnings Model (adjusted)'!Y197-'Earnings Model'!Y197</f>
        <v>0</v>
      </c>
      <c r="Z197" s="169">
        <f>'Earnings Model (adjusted)'!Z197-'Earnings Model'!Z197</f>
        <v>0</v>
      </c>
      <c r="AA197" s="169">
        <f>'Earnings Model (adjusted)'!AA197-'Earnings Model'!AA197</f>
        <v>0</v>
      </c>
      <c r="AB197" s="169">
        <f>'Earnings Model (adjusted)'!AB197-'Earnings Model'!AB197</f>
        <v>0</v>
      </c>
      <c r="AC197" s="169">
        <f>'Earnings Model (adjusted)'!AC197-'Earnings Model'!AC197</f>
        <v>0</v>
      </c>
      <c r="AD197" s="169">
        <f>'Earnings Model (adjusted)'!AD197-'Earnings Model'!AD197</f>
        <v>0</v>
      </c>
      <c r="AE197" s="169">
        <f>'Earnings Model (adjusted)'!AE197-'Earnings Model'!AE197</f>
        <v>0</v>
      </c>
      <c r="AF197" s="169">
        <f>'Earnings Model (adjusted)'!AF197-'Earnings Model'!AF197</f>
        <v>0</v>
      </c>
      <c r="AG197" s="169">
        <f>'Earnings Model (adjusted)'!AG197-'Earnings Model'!AG197</f>
        <v>0</v>
      </c>
      <c r="AH197" s="169">
        <f>'Earnings Model (adjusted)'!AH197-'Earnings Model'!AH197</f>
        <v>0</v>
      </c>
      <c r="AI197" s="169">
        <f>'Earnings Model (adjusted)'!AI197-'Earnings Model'!AI197</f>
        <v>0</v>
      </c>
      <c r="AJ197" s="169">
        <f>'Earnings Model (adjusted)'!AJ197-'Earnings Model'!AJ197</f>
        <v>0</v>
      </c>
      <c r="AK197" s="169">
        <f>'Earnings Model (adjusted)'!AK197-'Earnings Model'!AK197</f>
        <v>0</v>
      </c>
      <c r="AL197" s="169">
        <f>'Earnings Model (adjusted)'!AL197-'Earnings Model'!AL197</f>
        <v>0</v>
      </c>
      <c r="AM197" s="169">
        <f>'Earnings Model (adjusted)'!AM197-'Earnings Model'!AM197</f>
        <v>0</v>
      </c>
      <c r="AN197" s="169">
        <f>'Earnings Model (adjusted)'!AN197-'Earnings Model'!AN197</f>
        <v>0</v>
      </c>
      <c r="AO197" s="169">
        <f>'Earnings Model (adjusted)'!AO197-'Earnings Model'!AO197</f>
        <v>0</v>
      </c>
      <c r="AP197" s="169">
        <f>'Earnings Model (adjusted)'!AP197-'Earnings Model'!AP197</f>
        <v>0</v>
      </c>
      <c r="AQ197" s="169">
        <f>'Earnings Model (adjusted)'!AQ197-'Earnings Model'!AQ197</f>
        <v>0</v>
      </c>
    </row>
    <row r="198" spans="1:43" s="20" customFormat="1" outlineLevel="1" x14ac:dyDescent="0.25">
      <c r="A198" s="372"/>
      <c r="B198" s="539" t="s">
        <v>277</v>
      </c>
      <c r="C198" s="546"/>
      <c r="D198" s="34">
        <v>472.7</v>
      </c>
      <c r="E198" s="34">
        <v>464.5</v>
      </c>
      <c r="F198" s="34">
        <v>458</v>
      </c>
      <c r="G198" s="34">
        <v>479.6</v>
      </c>
      <c r="H198" s="35">
        <f t="shared" si="125"/>
        <v>479.6</v>
      </c>
      <c r="I198" s="34">
        <v>484.7</v>
      </c>
      <c r="J198" s="34">
        <v>580.1</v>
      </c>
      <c r="K198" s="34">
        <v>550.79999999999995</v>
      </c>
      <c r="L198" s="256">
        <v>568.6</v>
      </c>
      <c r="M198" s="35">
        <f t="shared" si="126"/>
        <v>568.6</v>
      </c>
      <c r="N198" s="34">
        <v>541.1</v>
      </c>
      <c r="O198" s="34">
        <v>574.9</v>
      </c>
      <c r="P198" s="34">
        <v>586.29999999999995</v>
      </c>
      <c r="Q198" s="169">
        <f>'Earnings Model (adjusted)'!Q198-'Earnings Model'!Q198</f>
        <v>0.53399842292071753</v>
      </c>
      <c r="R198" s="169">
        <f>'Earnings Model (adjusted)'!R198-'Earnings Model'!R198</f>
        <v>0.53399842292071753</v>
      </c>
      <c r="S198" s="169">
        <f>'Earnings Model (adjusted)'!S198-'Earnings Model'!S198</f>
        <v>2.246623621517756</v>
      </c>
      <c r="T198" s="169">
        <f>'Earnings Model (adjusted)'!T198-'Earnings Model'!T198</f>
        <v>3.9211956502567773</v>
      </c>
      <c r="U198" s="169">
        <f>'Earnings Model (adjusted)'!U198-'Earnings Model'!U198</f>
        <v>5.5294019898185525</v>
      </c>
      <c r="V198" s="169">
        <f>'Earnings Model (adjusted)'!V198-'Earnings Model'!V198</f>
        <v>6.7739791272227876</v>
      </c>
      <c r="W198" s="169">
        <f>'Earnings Model (adjusted)'!W198-'Earnings Model'!W198</f>
        <v>6.7739791272227876</v>
      </c>
      <c r="X198" s="169">
        <f>'Earnings Model (adjusted)'!X198-'Earnings Model'!X198</f>
        <v>8.6881297911969568</v>
      </c>
      <c r="Y198" s="169">
        <f>'Earnings Model (adjusted)'!Y198-'Earnings Model'!Y198</f>
        <v>10.426311427183236</v>
      </c>
      <c r="Z198" s="169">
        <f>'Earnings Model (adjusted)'!Z198-'Earnings Model'!Z198</f>
        <v>11.56671824207217</v>
      </c>
      <c r="AA198" s="169">
        <f>'Earnings Model (adjusted)'!AA198-'Earnings Model'!AA198</f>
        <v>13.46859634104726</v>
      </c>
      <c r="AB198" s="169">
        <f>'Earnings Model (adjusted)'!AB198-'Earnings Model'!AB198</f>
        <v>13.46859634104726</v>
      </c>
      <c r="AC198" s="169">
        <f>'Earnings Model (adjusted)'!AC198-'Earnings Model'!AC198</f>
        <v>15.9286605728214</v>
      </c>
      <c r="AD198" s="169">
        <f>'Earnings Model (adjusted)'!AD198-'Earnings Model'!AD198</f>
        <v>17.737547623857267</v>
      </c>
      <c r="AE198" s="169">
        <f>'Earnings Model (adjusted)'!AE198-'Earnings Model'!AE198</f>
        <v>18.613852598363678</v>
      </c>
      <c r="AF198" s="169">
        <f>'Earnings Model (adjusted)'!AF198-'Earnings Model'!AF198</f>
        <v>20.052845792380822</v>
      </c>
      <c r="AG198" s="169">
        <f>'Earnings Model (adjusted)'!AG198-'Earnings Model'!AG198</f>
        <v>20.052845792380822</v>
      </c>
      <c r="AH198" s="169">
        <f>'Earnings Model (adjusted)'!AH198-'Earnings Model'!AH198</f>
        <v>23.271083590538979</v>
      </c>
      <c r="AI198" s="169">
        <f>'Earnings Model (adjusted)'!AI198-'Earnings Model'!AI198</f>
        <v>25.475497802314635</v>
      </c>
      <c r="AJ198" s="169">
        <f>'Earnings Model (adjusted)'!AJ198-'Earnings Model'!AJ198</f>
        <v>26.351145972572567</v>
      </c>
      <c r="AK198" s="169">
        <f>'Earnings Model (adjusted)'!AK198-'Earnings Model'!AK198</f>
        <v>27.903702943677558</v>
      </c>
      <c r="AL198" s="169">
        <f>'Earnings Model (adjusted)'!AL198-'Earnings Model'!AL198</f>
        <v>27.903702943677558</v>
      </c>
      <c r="AM198" s="169">
        <f>'Earnings Model (adjusted)'!AM198-'Earnings Model'!AM198</f>
        <v>31.619140133487235</v>
      </c>
      <c r="AN198" s="169">
        <f>'Earnings Model (adjusted)'!AN198-'Earnings Model'!AN198</f>
        <v>33.916880907777909</v>
      </c>
      <c r="AO198" s="169">
        <f>'Earnings Model (adjusted)'!AO198-'Earnings Model'!AO198</f>
        <v>34.606615228817191</v>
      </c>
      <c r="AP198" s="169">
        <f>'Earnings Model (adjusted)'!AP198-'Earnings Model'!AP198</f>
        <v>36.197941098516139</v>
      </c>
      <c r="AQ198" s="169">
        <f>'Earnings Model (adjusted)'!AQ198-'Earnings Model'!AQ198</f>
        <v>36.197941098516139</v>
      </c>
    </row>
    <row r="199" spans="1:43" s="20" customFormat="1" outlineLevel="1" x14ac:dyDescent="0.25">
      <c r="A199" s="372"/>
      <c r="B199" s="539" t="s">
        <v>206</v>
      </c>
      <c r="C199" s="546"/>
      <c r="D199" s="34">
        <v>981.6</v>
      </c>
      <c r="E199" s="34">
        <v>918.3</v>
      </c>
      <c r="F199" s="34">
        <v>853.2</v>
      </c>
      <c r="G199" s="34">
        <v>781.8</v>
      </c>
      <c r="H199" s="35">
        <f>+G199</f>
        <v>781.8</v>
      </c>
      <c r="I199" s="34">
        <v>739.1</v>
      </c>
      <c r="J199" s="34">
        <v>678.7</v>
      </c>
      <c r="K199" s="34">
        <v>599.6</v>
      </c>
      <c r="L199" s="256">
        <v>552.1</v>
      </c>
      <c r="M199" s="35">
        <f>+L199</f>
        <v>552.1</v>
      </c>
      <c r="N199" s="34">
        <v>506.4</v>
      </c>
      <c r="O199" s="34">
        <v>444.3</v>
      </c>
      <c r="P199" s="34">
        <v>398</v>
      </c>
      <c r="Q199" s="169">
        <f>'Earnings Model (adjusted)'!Q199-'Earnings Model'!Q199</f>
        <v>0</v>
      </c>
      <c r="R199" s="169">
        <f>'Earnings Model (adjusted)'!R199-'Earnings Model'!R199</f>
        <v>0</v>
      </c>
      <c r="S199" s="169">
        <f>'Earnings Model (adjusted)'!S199-'Earnings Model'!S199</f>
        <v>0</v>
      </c>
      <c r="T199" s="169">
        <f>'Earnings Model (adjusted)'!T199-'Earnings Model'!T199</f>
        <v>0</v>
      </c>
      <c r="U199" s="169">
        <f>'Earnings Model (adjusted)'!U199-'Earnings Model'!U199</f>
        <v>0</v>
      </c>
      <c r="V199" s="169">
        <f>'Earnings Model (adjusted)'!V199-'Earnings Model'!V199</f>
        <v>0</v>
      </c>
      <c r="W199" s="169">
        <f>'Earnings Model (adjusted)'!W199-'Earnings Model'!W199</f>
        <v>0</v>
      </c>
      <c r="X199" s="169">
        <f>'Earnings Model (adjusted)'!X199-'Earnings Model'!X199</f>
        <v>0</v>
      </c>
      <c r="Y199" s="169">
        <f>'Earnings Model (adjusted)'!Y199-'Earnings Model'!Y199</f>
        <v>0</v>
      </c>
      <c r="Z199" s="169">
        <f>'Earnings Model (adjusted)'!Z199-'Earnings Model'!Z199</f>
        <v>0</v>
      </c>
      <c r="AA199" s="169">
        <f>'Earnings Model (adjusted)'!AA199-'Earnings Model'!AA199</f>
        <v>0</v>
      </c>
      <c r="AB199" s="169">
        <f>'Earnings Model (adjusted)'!AB199-'Earnings Model'!AB199</f>
        <v>0</v>
      </c>
      <c r="AC199" s="169">
        <f>'Earnings Model (adjusted)'!AC199-'Earnings Model'!AC199</f>
        <v>0</v>
      </c>
      <c r="AD199" s="169">
        <f>'Earnings Model (adjusted)'!AD199-'Earnings Model'!AD199</f>
        <v>0</v>
      </c>
      <c r="AE199" s="169">
        <f>'Earnings Model (adjusted)'!AE199-'Earnings Model'!AE199</f>
        <v>0</v>
      </c>
      <c r="AF199" s="169">
        <f>'Earnings Model (adjusted)'!AF199-'Earnings Model'!AF199</f>
        <v>0</v>
      </c>
      <c r="AG199" s="169">
        <f>'Earnings Model (adjusted)'!AG199-'Earnings Model'!AG199</f>
        <v>0</v>
      </c>
      <c r="AH199" s="169">
        <f>'Earnings Model (adjusted)'!AH199-'Earnings Model'!AH199</f>
        <v>0</v>
      </c>
      <c r="AI199" s="169">
        <f>'Earnings Model (adjusted)'!AI199-'Earnings Model'!AI199</f>
        <v>0</v>
      </c>
      <c r="AJ199" s="169">
        <f>'Earnings Model (adjusted)'!AJ199-'Earnings Model'!AJ199</f>
        <v>0</v>
      </c>
      <c r="AK199" s="169">
        <f>'Earnings Model (adjusted)'!AK199-'Earnings Model'!AK199</f>
        <v>0</v>
      </c>
      <c r="AL199" s="169">
        <f>'Earnings Model (adjusted)'!AL199-'Earnings Model'!AL199</f>
        <v>0</v>
      </c>
      <c r="AM199" s="169">
        <f>'Earnings Model (adjusted)'!AM199-'Earnings Model'!AM199</f>
        <v>0</v>
      </c>
      <c r="AN199" s="169">
        <f>'Earnings Model (adjusted)'!AN199-'Earnings Model'!AN199</f>
        <v>0</v>
      </c>
      <c r="AO199" s="169">
        <f>'Earnings Model (adjusted)'!AO199-'Earnings Model'!AO199</f>
        <v>0</v>
      </c>
      <c r="AP199" s="169">
        <f>'Earnings Model (adjusted)'!AP199-'Earnings Model'!AP199</f>
        <v>0</v>
      </c>
      <c r="AQ199" s="169">
        <f>'Earnings Model (adjusted)'!AQ199-'Earnings Model'!AQ199</f>
        <v>0</v>
      </c>
    </row>
    <row r="200" spans="1:43" ht="17.25" outlineLevel="1" x14ac:dyDescent="0.4">
      <c r="A200" s="372"/>
      <c r="B200" s="595" t="s">
        <v>36</v>
      </c>
      <c r="C200" s="596"/>
      <c r="D200" s="37">
        <v>3560.3</v>
      </c>
      <c r="E200" s="37">
        <v>3603.5</v>
      </c>
      <c r="F200" s="37">
        <v>3564.7</v>
      </c>
      <c r="G200" s="37">
        <v>3490.8</v>
      </c>
      <c r="H200" s="38">
        <f>G200</f>
        <v>3490.8</v>
      </c>
      <c r="I200" s="37">
        <v>3515.9</v>
      </c>
      <c r="J200" s="37">
        <v>3493</v>
      </c>
      <c r="K200" s="37">
        <v>3510.1</v>
      </c>
      <c r="L200" s="270">
        <v>3597.2</v>
      </c>
      <c r="M200" s="38">
        <f>L200</f>
        <v>3597.2</v>
      </c>
      <c r="N200" s="37">
        <v>3706.8</v>
      </c>
      <c r="O200" s="37">
        <v>3658.9</v>
      </c>
      <c r="P200" s="37">
        <v>3672</v>
      </c>
      <c r="Q200" s="169">
        <f>'Earnings Model (adjusted)'!Q200-'Earnings Model'!Q200</f>
        <v>0</v>
      </c>
      <c r="R200" s="169">
        <f>'Earnings Model (adjusted)'!R200-'Earnings Model'!R200</f>
        <v>0</v>
      </c>
      <c r="S200" s="169">
        <f>'Earnings Model (adjusted)'!S200-'Earnings Model'!S200</f>
        <v>0</v>
      </c>
      <c r="T200" s="169">
        <f>'Earnings Model (adjusted)'!T200-'Earnings Model'!T200</f>
        <v>0</v>
      </c>
      <c r="U200" s="169">
        <f>'Earnings Model (adjusted)'!U200-'Earnings Model'!U200</f>
        <v>0</v>
      </c>
      <c r="V200" s="169">
        <f>'Earnings Model (adjusted)'!V200-'Earnings Model'!V200</f>
        <v>0</v>
      </c>
      <c r="W200" s="169">
        <f>'Earnings Model (adjusted)'!W200-'Earnings Model'!W200</f>
        <v>0</v>
      </c>
      <c r="X200" s="169">
        <f>'Earnings Model (adjusted)'!X200-'Earnings Model'!X200</f>
        <v>0</v>
      </c>
      <c r="Y200" s="169">
        <f>'Earnings Model (adjusted)'!Y200-'Earnings Model'!Y200</f>
        <v>0</v>
      </c>
      <c r="Z200" s="169">
        <f>'Earnings Model (adjusted)'!Z200-'Earnings Model'!Z200</f>
        <v>0</v>
      </c>
      <c r="AA200" s="169">
        <f>'Earnings Model (adjusted)'!AA200-'Earnings Model'!AA200</f>
        <v>0</v>
      </c>
      <c r="AB200" s="169">
        <f>'Earnings Model (adjusted)'!AB200-'Earnings Model'!AB200</f>
        <v>0</v>
      </c>
      <c r="AC200" s="169">
        <f>'Earnings Model (adjusted)'!AC200-'Earnings Model'!AC200</f>
        <v>0</v>
      </c>
      <c r="AD200" s="169">
        <f>'Earnings Model (adjusted)'!AD200-'Earnings Model'!AD200</f>
        <v>0</v>
      </c>
      <c r="AE200" s="169">
        <f>'Earnings Model (adjusted)'!AE200-'Earnings Model'!AE200</f>
        <v>0</v>
      </c>
      <c r="AF200" s="169">
        <f>'Earnings Model (adjusted)'!AF200-'Earnings Model'!AF200</f>
        <v>0</v>
      </c>
      <c r="AG200" s="169">
        <f>'Earnings Model (adjusted)'!AG200-'Earnings Model'!AG200</f>
        <v>0</v>
      </c>
      <c r="AH200" s="169">
        <f>'Earnings Model (adjusted)'!AH200-'Earnings Model'!AH200</f>
        <v>0</v>
      </c>
      <c r="AI200" s="169">
        <f>'Earnings Model (adjusted)'!AI200-'Earnings Model'!AI200</f>
        <v>0</v>
      </c>
      <c r="AJ200" s="169">
        <f>'Earnings Model (adjusted)'!AJ200-'Earnings Model'!AJ200</f>
        <v>0</v>
      </c>
      <c r="AK200" s="169">
        <f>'Earnings Model (adjusted)'!AK200-'Earnings Model'!AK200</f>
        <v>0</v>
      </c>
      <c r="AL200" s="169">
        <f>'Earnings Model (adjusted)'!AL200-'Earnings Model'!AL200</f>
        <v>0</v>
      </c>
      <c r="AM200" s="169">
        <f>'Earnings Model (adjusted)'!AM200-'Earnings Model'!AM200</f>
        <v>0</v>
      </c>
      <c r="AN200" s="169">
        <f>'Earnings Model (adjusted)'!AN200-'Earnings Model'!AN200</f>
        <v>0</v>
      </c>
      <c r="AO200" s="169">
        <f>'Earnings Model (adjusted)'!AO200-'Earnings Model'!AO200</f>
        <v>0</v>
      </c>
      <c r="AP200" s="169">
        <f>'Earnings Model (adjusted)'!AP200-'Earnings Model'!AP200</f>
        <v>0</v>
      </c>
      <c r="AQ200" s="169">
        <f>'Earnings Model (adjusted)'!AQ200-'Earnings Model'!AQ200</f>
        <v>0</v>
      </c>
    </row>
    <row r="201" spans="1:43" outlineLevel="1" x14ac:dyDescent="0.25">
      <c r="A201" s="372"/>
      <c r="B201" s="613" t="s">
        <v>5</v>
      </c>
      <c r="C201" s="614"/>
      <c r="D201" s="41">
        <f t="shared" ref="D201:P201" si="127">+SUM(D192:D200)</f>
        <v>19981.3</v>
      </c>
      <c r="E201" s="41">
        <f t="shared" si="127"/>
        <v>17641.900000000001</v>
      </c>
      <c r="F201" s="41">
        <f t="shared" si="127"/>
        <v>20894.500000000004</v>
      </c>
      <c r="G201" s="41">
        <f t="shared" si="127"/>
        <v>19219.400000000001</v>
      </c>
      <c r="H201" s="42">
        <f t="shared" si="127"/>
        <v>19219.400000000001</v>
      </c>
      <c r="I201" s="41">
        <f t="shared" si="127"/>
        <v>27731.300000000007</v>
      </c>
      <c r="J201" s="41">
        <f t="shared" si="127"/>
        <v>27478.9</v>
      </c>
      <c r="K201" s="41">
        <f t="shared" si="127"/>
        <v>29140.600000000002</v>
      </c>
      <c r="L201" s="41">
        <f t="shared" si="127"/>
        <v>29374.500000000004</v>
      </c>
      <c r="M201" s="42">
        <f t="shared" si="127"/>
        <v>29374.500000000004</v>
      </c>
      <c r="N201" s="41">
        <f t="shared" si="127"/>
        <v>29968.30000000001</v>
      </c>
      <c r="O201" s="41">
        <f t="shared" si="127"/>
        <v>28371.600000000013</v>
      </c>
      <c r="P201" s="41">
        <f t="shared" si="127"/>
        <v>29476.800000000007</v>
      </c>
      <c r="Q201" s="169">
        <f>'Earnings Model (adjusted)'!Q201-'Earnings Model'!Q201</f>
        <v>26.84728758782876</v>
      </c>
      <c r="R201" s="169">
        <f>'Earnings Model (adjusted)'!R201-'Earnings Model'!R201</f>
        <v>26.84728758782876</v>
      </c>
      <c r="S201" s="169">
        <f>'Earnings Model (adjusted)'!S201-'Earnings Model'!S201</f>
        <v>112.95117715631204</v>
      </c>
      <c r="T201" s="169">
        <f>'Earnings Model (adjusted)'!T201-'Earnings Model'!T201</f>
        <v>197.14190677721126</v>
      </c>
      <c r="U201" s="169">
        <f>'Earnings Model (adjusted)'!U201-'Earnings Model'!U201</f>
        <v>277.99603713707984</v>
      </c>
      <c r="V201" s="169">
        <f>'Earnings Model (adjusted)'!V201-'Earnings Model'!V201</f>
        <v>340.56835738924201</v>
      </c>
      <c r="W201" s="169">
        <f>'Earnings Model (adjusted)'!W201-'Earnings Model'!W201</f>
        <v>340.56835738924201</v>
      </c>
      <c r="X201" s="169">
        <f>'Earnings Model (adjusted)'!X201-'Earnings Model'!X201</f>
        <v>436.80413479300114</v>
      </c>
      <c r="Y201" s="169">
        <f>'Earnings Model (adjusted)'!Y201-'Earnings Model'!Y201</f>
        <v>524.19289898820352</v>
      </c>
      <c r="Z201" s="169">
        <f>'Earnings Model (adjusted)'!Z201-'Earnings Model'!Z201</f>
        <v>581.52795544583932</v>
      </c>
      <c r="AA201" s="169">
        <f>'Earnings Model (adjusted)'!AA201-'Earnings Model'!AA201</f>
        <v>677.14671776524847</v>
      </c>
      <c r="AB201" s="169">
        <f>'Earnings Model (adjusted)'!AB201-'Earnings Model'!AB201</f>
        <v>677.14671776524847</v>
      </c>
      <c r="AC201" s="169">
        <f>'Earnings Model (adjusted)'!AC201-'Earnings Model'!AC201</f>
        <v>800.82882819875158</v>
      </c>
      <c r="AD201" s="169">
        <f>'Earnings Model (adjusted)'!AD201-'Earnings Model'!AD201</f>
        <v>891.77237557377157</v>
      </c>
      <c r="AE201" s="169">
        <f>'Earnings Model (adjusted)'!AE201-'Earnings Model'!AE201</f>
        <v>935.82945637291414</v>
      </c>
      <c r="AF201" s="169">
        <f>'Earnings Model (adjusted)'!AF201-'Earnings Model'!AF201</f>
        <v>1008.1762320532871</v>
      </c>
      <c r="AG201" s="169">
        <f>'Earnings Model (adjusted)'!AG201-'Earnings Model'!AG201</f>
        <v>1008.1762320532871</v>
      </c>
      <c r="AH201" s="169">
        <f>'Earnings Model (adjusted)'!AH201-'Earnings Model'!AH201</f>
        <v>1169.9762523990939</v>
      </c>
      <c r="AI201" s="169">
        <f>'Earnings Model (adjusted)'!AI201-'Earnings Model'!AI201</f>
        <v>1280.8053106246989</v>
      </c>
      <c r="AJ201" s="169">
        <f>'Earnings Model (adjusted)'!AJ201-'Earnings Model'!AJ201</f>
        <v>1324.829369954492</v>
      </c>
      <c r="AK201" s="169">
        <f>'Earnings Model (adjusted)'!AK201-'Earnings Model'!AK201</f>
        <v>1402.8856744502591</v>
      </c>
      <c r="AL201" s="169">
        <f>'Earnings Model (adjusted)'!AL201-'Earnings Model'!AL201</f>
        <v>1402.8856744502591</v>
      </c>
      <c r="AM201" s="169">
        <f>'Earnings Model (adjusted)'!AM201-'Earnings Model'!AM201</f>
        <v>1589.682875467799</v>
      </c>
      <c r="AN201" s="169">
        <f>'Earnings Model (adjusted)'!AN201-'Earnings Model'!AN201</f>
        <v>1705.2040169578286</v>
      </c>
      <c r="AO201" s="169">
        <f>'Earnings Model (adjusted)'!AO201-'Earnings Model'!AO201</f>
        <v>1739.8810775657439</v>
      </c>
      <c r="AP201" s="169">
        <f>'Earnings Model (adjusted)'!AP201-'Earnings Model'!AP201</f>
        <v>1819.8865259640697</v>
      </c>
      <c r="AQ201" s="169">
        <f>'Earnings Model (adjusted)'!AQ201-'Earnings Model'!AQ201</f>
        <v>1819.8865259640697</v>
      </c>
    </row>
    <row r="202" spans="1:43" ht="18" x14ac:dyDescent="0.4">
      <c r="A202" s="372"/>
      <c r="B202" s="565" t="s">
        <v>7</v>
      </c>
      <c r="C202" s="566"/>
      <c r="D202" s="32" t="s">
        <v>119</v>
      </c>
      <c r="E202" s="32" t="s">
        <v>243</v>
      </c>
      <c r="F202" s="32" t="s">
        <v>247</v>
      </c>
      <c r="G202" s="32" t="s">
        <v>257</v>
      </c>
      <c r="H202" s="86" t="s">
        <v>258</v>
      </c>
      <c r="I202" s="32" t="s">
        <v>259</v>
      </c>
      <c r="J202" s="32" t="s">
        <v>260</v>
      </c>
      <c r="K202" s="32" t="s">
        <v>261</v>
      </c>
      <c r="L202" s="32" t="s">
        <v>322</v>
      </c>
      <c r="M202" s="86" t="s">
        <v>333</v>
      </c>
      <c r="N202" s="32" t="s">
        <v>339</v>
      </c>
      <c r="O202" s="32" t="s">
        <v>347</v>
      </c>
      <c r="P202" s="32" t="s">
        <v>349</v>
      </c>
      <c r="Q202" s="169" t="e">
        <f>'Earnings Model (adjusted)'!Q202-'Earnings Model'!Q202</f>
        <v>#VALUE!</v>
      </c>
      <c r="R202" s="169" t="e">
        <f>'Earnings Model (adjusted)'!R202-'Earnings Model'!R202</f>
        <v>#VALUE!</v>
      </c>
      <c r="S202" s="169" t="e">
        <f>'Earnings Model (adjusted)'!S202-'Earnings Model'!S202</f>
        <v>#VALUE!</v>
      </c>
      <c r="T202" s="169" t="e">
        <f>'Earnings Model (adjusted)'!T202-'Earnings Model'!T202</f>
        <v>#VALUE!</v>
      </c>
      <c r="U202" s="169" t="e">
        <f>'Earnings Model (adjusted)'!U202-'Earnings Model'!U202</f>
        <v>#VALUE!</v>
      </c>
      <c r="V202" s="169" t="e">
        <f>'Earnings Model (adjusted)'!V202-'Earnings Model'!V202</f>
        <v>#VALUE!</v>
      </c>
      <c r="W202" s="169" t="e">
        <f>'Earnings Model (adjusted)'!W202-'Earnings Model'!W202</f>
        <v>#VALUE!</v>
      </c>
      <c r="X202" s="169" t="e">
        <f>'Earnings Model (adjusted)'!X202-'Earnings Model'!X202</f>
        <v>#VALUE!</v>
      </c>
      <c r="Y202" s="169" t="e">
        <f>'Earnings Model (adjusted)'!Y202-'Earnings Model'!Y202</f>
        <v>#VALUE!</v>
      </c>
      <c r="Z202" s="169" t="e">
        <f>'Earnings Model (adjusted)'!Z202-'Earnings Model'!Z202</f>
        <v>#VALUE!</v>
      </c>
      <c r="AA202" s="169" t="e">
        <f>'Earnings Model (adjusted)'!AA202-'Earnings Model'!AA202</f>
        <v>#VALUE!</v>
      </c>
      <c r="AB202" s="169" t="e">
        <f>'Earnings Model (adjusted)'!AB202-'Earnings Model'!AB202</f>
        <v>#VALUE!</v>
      </c>
      <c r="AC202" s="169" t="e">
        <f>'Earnings Model (adjusted)'!AC202-'Earnings Model'!AC202</f>
        <v>#VALUE!</v>
      </c>
      <c r="AD202" s="169" t="e">
        <f>'Earnings Model (adjusted)'!AD202-'Earnings Model'!AD202</f>
        <v>#VALUE!</v>
      </c>
      <c r="AE202" s="169" t="e">
        <f>'Earnings Model (adjusted)'!AE202-'Earnings Model'!AE202</f>
        <v>#VALUE!</v>
      </c>
      <c r="AF202" s="169" t="e">
        <f>'Earnings Model (adjusted)'!AF202-'Earnings Model'!AF202</f>
        <v>#VALUE!</v>
      </c>
      <c r="AG202" s="169" t="e">
        <f>'Earnings Model (adjusted)'!AG202-'Earnings Model'!AG202</f>
        <v>#VALUE!</v>
      </c>
      <c r="AH202" s="169" t="e">
        <f>'Earnings Model (adjusted)'!AH202-'Earnings Model'!AH202</f>
        <v>#VALUE!</v>
      </c>
      <c r="AI202" s="169" t="e">
        <f>'Earnings Model (adjusted)'!AI202-'Earnings Model'!AI202</f>
        <v>#VALUE!</v>
      </c>
      <c r="AJ202" s="169" t="e">
        <f>'Earnings Model (adjusted)'!AJ202-'Earnings Model'!AJ202</f>
        <v>#VALUE!</v>
      </c>
      <c r="AK202" s="169" t="e">
        <f>'Earnings Model (adjusted)'!AK202-'Earnings Model'!AK202</f>
        <v>#VALUE!</v>
      </c>
      <c r="AL202" s="169" t="e">
        <f>'Earnings Model (adjusted)'!AL202-'Earnings Model'!AL202</f>
        <v>#VALUE!</v>
      </c>
      <c r="AM202" s="169" t="e">
        <f>'Earnings Model (adjusted)'!AM202-'Earnings Model'!AM202</f>
        <v>#VALUE!</v>
      </c>
      <c r="AN202" s="169" t="e">
        <f>'Earnings Model (adjusted)'!AN202-'Earnings Model'!AN202</f>
        <v>#VALUE!</v>
      </c>
      <c r="AO202" s="169" t="e">
        <f>'Earnings Model (adjusted)'!AO202-'Earnings Model'!AO202</f>
        <v>#VALUE!</v>
      </c>
      <c r="AP202" s="169" t="e">
        <f>'Earnings Model (adjusted)'!AP202-'Earnings Model'!AP202</f>
        <v>#VALUE!</v>
      </c>
      <c r="AQ202" s="169" t="e">
        <f>'Earnings Model (adjusted)'!AQ202-'Earnings Model'!AQ202</f>
        <v>#VALUE!</v>
      </c>
    </row>
    <row r="203" spans="1:43" s="43" customFormat="1" outlineLevel="1" x14ac:dyDescent="0.25">
      <c r="A203" s="372"/>
      <c r="B203" s="619" t="s">
        <v>37</v>
      </c>
      <c r="C203" s="620"/>
      <c r="D203" s="81">
        <v>1100.5</v>
      </c>
      <c r="E203" s="81">
        <v>1096.7</v>
      </c>
      <c r="F203" s="81">
        <v>1145.4000000000001</v>
      </c>
      <c r="G203" s="81">
        <v>1189.7</v>
      </c>
      <c r="H203" s="82">
        <f>G203</f>
        <v>1189.7</v>
      </c>
      <c r="I203" s="81">
        <v>1085.5999999999999</v>
      </c>
      <c r="J203" s="81">
        <v>997.7</v>
      </c>
      <c r="K203" s="81">
        <v>860.8</v>
      </c>
      <c r="L203" s="81">
        <v>997.9</v>
      </c>
      <c r="M203" s="82">
        <f>L203</f>
        <v>997.9</v>
      </c>
      <c r="N203" s="81">
        <v>1050.5999999999999</v>
      </c>
      <c r="O203" s="81">
        <v>1033.5999999999999</v>
      </c>
      <c r="P203" s="81">
        <v>1127</v>
      </c>
      <c r="Q203" s="169">
        <f>'Earnings Model (adjusted)'!Q203-'Earnings Model'!Q203</f>
        <v>-9.6789670458765613</v>
      </c>
      <c r="R203" s="169">
        <f>'Earnings Model (adjusted)'!R203-'Earnings Model'!R203</f>
        <v>-9.6789670458765613</v>
      </c>
      <c r="S203" s="169">
        <f>'Earnings Model (adjusted)'!S203-'Earnings Model'!S203</f>
        <v>-10.389828417658464</v>
      </c>
      <c r="T203" s="169">
        <f>'Earnings Model (adjusted)'!T203-'Earnings Model'!T203</f>
        <v>-9.8061008642996512</v>
      </c>
      <c r="U203" s="169">
        <f>'Earnings Model (adjusted)'!U203-'Earnings Model'!U203</f>
        <v>-18.962915254789323</v>
      </c>
      <c r="V203" s="169">
        <f>'Earnings Model (adjusted)'!V203-'Earnings Model'!V203</f>
        <v>-2.6348922247291284</v>
      </c>
      <c r="W203" s="169">
        <f>'Earnings Model (adjusted)'!W203-'Earnings Model'!W203</f>
        <v>-2.6348922247291284</v>
      </c>
      <c r="X203" s="169">
        <f>'Earnings Model (adjusted)'!X203-'Earnings Model'!X203</f>
        <v>-1.6612836437429905</v>
      </c>
      <c r="Y203" s="169">
        <f>'Earnings Model (adjusted)'!Y203-'Earnings Model'!Y203</f>
        <v>-1.0008888548140931</v>
      </c>
      <c r="Z203" s="169">
        <f>'Earnings Model (adjusted)'!Z203-'Earnings Model'!Z203</f>
        <v>-12.203754129623576</v>
      </c>
      <c r="AA203" s="169">
        <f>'Earnings Model (adjusted)'!AA203-'Earnings Model'!AA203</f>
        <v>-12.123696426674087</v>
      </c>
      <c r="AB203" s="169">
        <f>'Earnings Model (adjusted)'!AB203-'Earnings Model'!AB203</f>
        <v>-12.123696426674087</v>
      </c>
      <c r="AC203" s="169">
        <f>'Earnings Model (adjusted)'!AC203-'Earnings Model'!AC203</f>
        <v>6.6878096714244748</v>
      </c>
      <c r="AD203" s="169">
        <f>'Earnings Model (adjusted)'!AD203-'Earnings Model'!AD203</f>
        <v>7.6439981945186446</v>
      </c>
      <c r="AE203" s="169">
        <f>'Earnings Model (adjusted)'!AE203-'Earnings Model'!AE203</f>
        <v>-7.4372093657686946</v>
      </c>
      <c r="AF203" s="169">
        <f>'Earnings Model (adjusted)'!AF203-'Earnings Model'!AF203</f>
        <v>-11.297307239322208</v>
      </c>
      <c r="AG203" s="169">
        <f>'Earnings Model (adjusted)'!AG203-'Earnings Model'!AG203</f>
        <v>-11.297307239322208</v>
      </c>
      <c r="AH203" s="169">
        <f>'Earnings Model (adjusted)'!AH203-'Earnings Model'!AH203</f>
        <v>5.7480005485422225</v>
      </c>
      <c r="AI203" s="169">
        <f>'Earnings Model (adjusted)'!AI203-'Earnings Model'!AI203</f>
        <v>6.9169942897310648</v>
      </c>
      <c r="AJ203" s="169">
        <f>'Earnings Model (adjusted)'!AJ203-'Earnings Model'!AJ203</f>
        <v>-14.011874423941663</v>
      </c>
      <c r="AK203" s="169">
        <f>'Earnings Model (adjusted)'!AK203-'Earnings Model'!AK203</f>
        <v>-18.001727004598706</v>
      </c>
      <c r="AL203" s="169">
        <f>'Earnings Model (adjusted)'!AL203-'Earnings Model'!AL203</f>
        <v>-18.001727004598706</v>
      </c>
      <c r="AM203" s="169">
        <f>'Earnings Model (adjusted)'!AM203-'Earnings Model'!AM203</f>
        <v>8.4107495061020927</v>
      </c>
      <c r="AN203" s="169">
        <f>'Earnings Model (adjusted)'!AN203-'Earnings Model'!AN203</f>
        <v>9.6850642742272157</v>
      </c>
      <c r="AO203" s="169">
        <f>'Earnings Model (adjusted)'!AO203-'Earnings Model'!AO203</f>
        <v>-12.410908000245854</v>
      </c>
      <c r="AP203" s="169">
        <f>'Earnings Model (adjusted)'!AP203-'Earnings Model'!AP203</f>
        <v>-16.700493166430306</v>
      </c>
      <c r="AQ203" s="169">
        <f>'Earnings Model (adjusted)'!AQ203-'Earnings Model'!AQ203</f>
        <v>-16.700493166430306</v>
      </c>
    </row>
    <row r="204" spans="1:43" outlineLevel="1" x14ac:dyDescent="0.25">
      <c r="A204" s="372"/>
      <c r="B204" s="619" t="s">
        <v>207</v>
      </c>
      <c r="C204" s="620"/>
      <c r="D204" s="81">
        <v>2564</v>
      </c>
      <c r="E204" s="81">
        <v>2569.3000000000002</v>
      </c>
      <c r="F204" s="81">
        <v>3238.7</v>
      </c>
      <c r="G204" s="81">
        <v>1753.7</v>
      </c>
      <c r="H204" s="82">
        <f>G204</f>
        <v>1753.7</v>
      </c>
      <c r="I204" s="81">
        <v>1637.8</v>
      </c>
      <c r="J204" s="81">
        <v>1539</v>
      </c>
      <c r="K204" s="81">
        <v>1511.7</v>
      </c>
      <c r="L204" s="81">
        <v>1160.7</v>
      </c>
      <c r="M204" s="82">
        <f>L204</f>
        <v>1160.7</v>
      </c>
      <c r="N204" s="81">
        <v>1616.9</v>
      </c>
      <c r="O204" s="81">
        <v>1771.6</v>
      </c>
      <c r="P204" s="81">
        <v>1791.4</v>
      </c>
      <c r="Q204" s="169">
        <f>'Earnings Model (adjusted)'!Q204-'Earnings Model'!Q204</f>
        <v>0</v>
      </c>
      <c r="R204" s="169">
        <f>'Earnings Model (adjusted)'!R204-'Earnings Model'!R204</f>
        <v>0</v>
      </c>
      <c r="S204" s="169">
        <f>'Earnings Model (adjusted)'!S204-'Earnings Model'!S204</f>
        <v>0</v>
      </c>
      <c r="T204" s="169">
        <f>'Earnings Model (adjusted)'!T204-'Earnings Model'!T204</f>
        <v>0</v>
      </c>
      <c r="U204" s="169">
        <f>'Earnings Model (adjusted)'!U204-'Earnings Model'!U204</f>
        <v>0</v>
      </c>
      <c r="V204" s="169">
        <f>'Earnings Model (adjusted)'!V204-'Earnings Model'!V204</f>
        <v>-18.125143665860833</v>
      </c>
      <c r="W204" s="169">
        <f>'Earnings Model (adjusted)'!W204-'Earnings Model'!W204</f>
        <v>-18.125143665860833</v>
      </c>
      <c r="X204" s="169">
        <f>'Earnings Model (adjusted)'!X204-'Earnings Model'!X204</f>
        <v>-10.25996827697827</v>
      </c>
      <c r="Y204" s="169">
        <f>'Earnings Model (adjusted)'!Y204-'Earnings Model'!Y204</f>
        <v>-9.47293133864423</v>
      </c>
      <c r="Z204" s="169">
        <f>'Earnings Model (adjusted)'!Z204-'Earnings Model'!Z204</f>
        <v>-25.624944692739064</v>
      </c>
      <c r="AA204" s="169">
        <f>'Earnings Model (adjusted)'!AA204-'Earnings Model'!AA204</f>
        <v>-13.201290036597129</v>
      </c>
      <c r="AB204" s="169">
        <f>'Earnings Model (adjusted)'!AB204-'Earnings Model'!AB204</f>
        <v>-13.201290036597129</v>
      </c>
      <c r="AC204" s="169">
        <f>'Earnings Model (adjusted)'!AC204-'Earnings Model'!AC204</f>
        <v>0.60278954084787983</v>
      </c>
      <c r="AD204" s="169">
        <f>'Earnings Model (adjusted)'!AD204-'Earnings Model'!AD204</f>
        <v>1.2975132082729033</v>
      </c>
      <c r="AE204" s="169">
        <f>'Earnings Model (adjusted)'!AE204-'Earnings Model'!AE204</f>
        <v>-21.923957412079289</v>
      </c>
      <c r="AF204" s="169">
        <f>'Earnings Model (adjusted)'!AF204-'Earnings Model'!AF204</f>
        <v>-21.315212722934575</v>
      </c>
      <c r="AG204" s="169">
        <f>'Earnings Model (adjusted)'!AG204-'Earnings Model'!AG204</f>
        <v>-21.315212722934575</v>
      </c>
      <c r="AH204" s="169">
        <f>'Earnings Model (adjusted)'!AH204-'Earnings Model'!AH204</f>
        <v>12.362202001103924</v>
      </c>
      <c r="AI204" s="169">
        <f>'Earnings Model (adjusted)'!AI204-'Earnings Model'!AI204</f>
        <v>13.232766900123352</v>
      </c>
      <c r="AJ204" s="169">
        <f>'Earnings Model (adjusted)'!AJ204-'Earnings Model'!AJ204</f>
        <v>-19.197733501443508</v>
      </c>
      <c r="AK204" s="169">
        <f>'Earnings Model (adjusted)'!AK204-'Earnings Model'!AK204</f>
        <v>-27.167500380631282</v>
      </c>
      <c r="AL204" s="169">
        <f>'Earnings Model (adjusted)'!AL204-'Earnings Model'!AL204</f>
        <v>-27.167500380631282</v>
      </c>
      <c r="AM204" s="169">
        <f>'Earnings Model (adjusted)'!AM204-'Earnings Model'!AM204</f>
        <v>17.654135003265765</v>
      </c>
      <c r="AN204" s="169">
        <f>'Earnings Model (adjusted)'!AN204-'Earnings Model'!AN204</f>
        <v>18.764013521516517</v>
      </c>
      <c r="AO204" s="169">
        <f>'Earnings Model (adjusted)'!AO204-'Earnings Model'!AO204</f>
        <v>-25.015142293670579</v>
      </c>
      <c r="AP204" s="169">
        <f>'Earnings Model (adjusted)'!AP204-'Earnings Model'!AP204</f>
        <v>-33.448355992954021</v>
      </c>
      <c r="AQ204" s="169">
        <f>'Earnings Model (adjusted)'!AQ204-'Earnings Model'!AQ204</f>
        <v>-33.448355992954021</v>
      </c>
    </row>
    <row r="205" spans="1:43" outlineLevel="1" x14ac:dyDescent="0.25">
      <c r="A205" s="372"/>
      <c r="B205" s="547" t="s">
        <v>272</v>
      </c>
      <c r="C205" s="548"/>
      <c r="D205" s="81">
        <v>0</v>
      </c>
      <c r="E205" s="81">
        <v>0</v>
      </c>
      <c r="F205" s="81">
        <v>0</v>
      </c>
      <c r="G205" s="81">
        <v>664.6</v>
      </c>
      <c r="H205" s="82">
        <f t="shared" ref="H205:H215" si="128">G205</f>
        <v>664.6</v>
      </c>
      <c r="I205" s="81">
        <v>578.5</v>
      </c>
      <c r="J205" s="81">
        <v>596.1</v>
      </c>
      <c r="K205" s="81">
        <v>652.1</v>
      </c>
      <c r="L205" s="81">
        <v>696</v>
      </c>
      <c r="M205" s="82">
        <f t="shared" ref="M205:M215" si="129">L205</f>
        <v>696</v>
      </c>
      <c r="N205" s="81">
        <v>685.3</v>
      </c>
      <c r="O205" s="81">
        <v>646.1</v>
      </c>
      <c r="P205" s="81">
        <v>741</v>
      </c>
      <c r="Q205" s="169">
        <f>'Earnings Model (adjusted)'!Q205-'Earnings Model'!Q205</f>
        <v>0</v>
      </c>
      <c r="R205" s="169">
        <f>'Earnings Model (adjusted)'!R205-'Earnings Model'!R205</f>
        <v>0</v>
      </c>
      <c r="S205" s="169">
        <f>'Earnings Model (adjusted)'!S205-'Earnings Model'!S205</f>
        <v>0</v>
      </c>
      <c r="T205" s="169">
        <f>'Earnings Model (adjusted)'!T205-'Earnings Model'!T205</f>
        <v>0</v>
      </c>
      <c r="U205" s="169">
        <f>'Earnings Model (adjusted)'!U205-'Earnings Model'!U205</f>
        <v>0</v>
      </c>
      <c r="V205" s="169">
        <f>'Earnings Model (adjusted)'!V205-'Earnings Model'!V205</f>
        <v>0</v>
      </c>
      <c r="W205" s="169">
        <f>'Earnings Model (adjusted)'!W205-'Earnings Model'!W205</f>
        <v>0</v>
      </c>
      <c r="X205" s="169">
        <f>'Earnings Model (adjusted)'!X205-'Earnings Model'!X205</f>
        <v>0</v>
      </c>
      <c r="Y205" s="169">
        <f>'Earnings Model (adjusted)'!Y205-'Earnings Model'!Y205</f>
        <v>0</v>
      </c>
      <c r="Z205" s="169">
        <f>'Earnings Model (adjusted)'!Z205-'Earnings Model'!Z205</f>
        <v>0</v>
      </c>
      <c r="AA205" s="169">
        <f>'Earnings Model (adjusted)'!AA205-'Earnings Model'!AA205</f>
        <v>0</v>
      </c>
      <c r="AB205" s="169">
        <f>'Earnings Model (adjusted)'!AB205-'Earnings Model'!AB205</f>
        <v>0</v>
      </c>
      <c r="AC205" s="169">
        <f>'Earnings Model (adjusted)'!AC205-'Earnings Model'!AC205</f>
        <v>0</v>
      </c>
      <c r="AD205" s="169">
        <f>'Earnings Model (adjusted)'!AD205-'Earnings Model'!AD205</f>
        <v>0</v>
      </c>
      <c r="AE205" s="169">
        <f>'Earnings Model (adjusted)'!AE205-'Earnings Model'!AE205</f>
        <v>0</v>
      </c>
      <c r="AF205" s="169">
        <f>'Earnings Model (adjusted)'!AF205-'Earnings Model'!AF205</f>
        <v>0</v>
      </c>
      <c r="AG205" s="169">
        <f>'Earnings Model (adjusted)'!AG205-'Earnings Model'!AG205</f>
        <v>0</v>
      </c>
      <c r="AH205" s="169">
        <f>'Earnings Model (adjusted)'!AH205-'Earnings Model'!AH205</f>
        <v>0</v>
      </c>
      <c r="AI205" s="169">
        <f>'Earnings Model (adjusted)'!AI205-'Earnings Model'!AI205</f>
        <v>0</v>
      </c>
      <c r="AJ205" s="169">
        <f>'Earnings Model (adjusted)'!AJ205-'Earnings Model'!AJ205</f>
        <v>0</v>
      </c>
      <c r="AK205" s="169">
        <f>'Earnings Model (adjusted)'!AK205-'Earnings Model'!AK205</f>
        <v>0</v>
      </c>
      <c r="AL205" s="169">
        <f>'Earnings Model (adjusted)'!AL205-'Earnings Model'!AL205</f>
        <v>0</v>
      </c>
      <c r="AM205" s="169">
        <f>'Earnings Model (adjusted)'!AM205-'Earnings Model'!AM205</f>
        <v>0</v>
      </c>
      <c r="AN205" s="169">
        <f>'Earnings Model (adjusted)'!AN205-'Earnings Model'!AN205</f>
        <v>0</v>
      </c>
      <c r="AO205" s="169">
        <f>'Earnings Model (adjusted)'!AO205-'Earnings Model'!AO205</f>
        <v>0</v>
      </c>
      <c r="AP205" s="169">
        <f>'Earnings Model (adjusted)'!AP205-'Earnings Model'!AP205</f>
        <v>0</v>
      </c>
      <c r="AQ205" s="169">
        <f>'Earnings Model (adjusted)'!AQ205-'Earnings Model'!AQ205</f>
        <v>0</v>
      </c>
    </row>
    <row r="206" spans="1:43" outlineLevel="1" x14ac:dyDescent="0.25">
      <c r="A206" s="372"/>
      <c r="B206" s="547" t="s">
        <v>273</v>
      </c>
      <c r="C206" s="548"/>
      <c r="D206" s="81">
        <v>0</v>
      </c>
      <c r="E206" s="81">
        <v>0</v>
      </c>
      <c r="F206" s="81">
        <v>0</v>
      </c>
      <c r="G206" s="81">
        <v>1291.7</v>
      </c>
      <c r="H206" s="82">
        <f t="shared" si="128"/>
        <v>1291.7</v>
      </c>
      <c r="I206" s="81">
        <v>1414</v>
      </c>
      <c r="J206" s="81">
        <v>86.7</v>
      </c>
      <c r="K206" s="81">
        <v>90.9</v>
      </c>
      <c r="L206" s="81">
        <v>98.2</v>
      </c>
      <c r="M206" s="82">
        <f t="shared" si="129"/>
        <v>98.2</v>
      </c>
      <c r="N206" s="81">
        <v>149.69999999999999</v>
      </c>
      <c r="O206" s="81">
        <v>117</v>
      </c>
      <c r="P206" s="81">
        <v>204.8</v>
      </c>
      <c r="Q206" s="169">
        <f>'Earnings Model (adjusted)'!Q206-'Earnings Model'!Q206</f>
        <v>0</v>
      </c>
      <c r="R206" s="169">
        <f>'Earnings Model (adjusted)'!R206-'Earnings Model'!R206</f>
        <v>0</v>
      </c>
      <c r="S206" s="169">
        <f>'Earnings Model (adjusted)'!S206-'Earnings Model'!S206</f>
        <v>0</v>
      </c>
      <c r="T206" s="169">
        <f>'Earnings Model (adjusted)'!T206-'Earnings Model'!T206</f>
        <v>0</v>
      </c>
      <c r="U206" s="169">
        <f>'Earnings Model (adjusted)'!U206-'Earnings Model'!U206</f>
        <v>0</v>
      </c>
      <c r="V206" s="169">
        <f>'Earnings Model (adjusted)'!V206-'Earnings Model'!V206</f>
        <v>0</v>
      </c>
      <c r="W206" s="169">
        <f>'Earnings Model (adjusted)'!W206-'Earnings Model'!W206</f>
        <v>0</v>
      </c>
      <c r="X206" s="169">
        <f>'Earnings Model (adjusted)'!X206-'Earnings Model'!X206</f>
        <v>0</v>
      </c>
      <c r="Y206" s="169">
        <f>'Earnings Model (adjusted)'!Y206-'Earnings Model'!Y206</f>
        <v>0</v>
      </c>
      <c r="Z206" s="169">
        <f>'Earnings Model (adjusted)'!Z206-'Earnings Model'!Z206</f>
        <v>0</v>
      </c>
      <c r="AA206" s="169">
        <f>'Earnings Model (adjusted)'!AA206-'Earnings Model'!AA206</f>
        <v>0</v>
      </c>
      <c r="AB206" s="169">
        <f>'Earnings Model (adjusted)'!AB206-'Earnings Model'!AB206</f>
        <v>0</v>
      </c>
      <c r="AC206" s="169">
        <f>'Earnings Model (adjusted)'!AC206-'Earnings Model'!AC206</f>
        <v>0</v>
      </c>
      <c r="AD206" s="169">
        <f>'Earnings Model (adjusted)'!AD206-'Earnings Model'!AD206</f>
        <v>0</v>
      </c>
      <c r="AE206" s="169">
        <f>'Earnings Model (adjusted)'!AE206-'Earnings Model'!AE206</f>
        <v>0</v>
      </c>
      <c r="AF206" s="169">
        <f>'Earnings Model (adjusted)'!AF206-'Earnings Model'!AF206</f>
        <v>0</v>
      </c>
      <c r="AG206" s="169">
        <f>'Earnings Model (adjusted)'!AG206-'Earnings Model'!AG206</f>
        <v>0</v>
      </c>
      <c r="AH206" s="169">
        <f>'Earnings Model (adjusted)'!AH206-'Earnings Model'!AH206</f>
        <v>0</v>
      </c>
      <c r="AI206" s="169">
        <f>'Earnings Model (adjusted)'!AI206-'Earnings Model'!AI206</f>
        <v>0</v>
      </c>
      <c r="AJ206" s="169">
        <f>'Earnings Model (adjusted)'!AJ206-'Earnings Model'!AJ206</f>
        <v>0</v>
      </c>
      <c r="AK206" s="169">
        <f>'Earnings Model (adjusted)'!AK206-'Earnings Model'!AK206</f>
        <v>0</v>
      </c>
      <c r="AL206" s="169">
        <f>'Earnings Model (adjusted)'!AL206-'Earnings Model'!AL206</f>
        <v>0</v>
      </c>
      <c r="AM206" s="169">
        <f>'Earnings Model (adjusted)'!AM206-'Earnings Model'!AM206</f>
        <v>0</v>
      </c>
      <c r="AN206" s="169">
        <f>'Earnings Model (adjusted)'!AN206-'Earnings Model'!AN206</f>
        <v>0</v>
      </c>
      <c r="AO206" s="169">
        <f>'Earnings Model (adjusted)'!AO206-'Earnings Model'!AO206</f>
        <v>0</v>
      </c>
      <c r="AP206" s="169">
        <f>'Earnings Model (adjusted)'!AP206-'Earnings Model'!AP206</f>
        <v>0</v>
      </c>
      <c r="AQ206" s="169">
        <f>'Earnings Model (adjusted)'!AQ206-'Earnings Model'!AQ206</f>
        <v>0</v>
      </c>
    </row>
    <row r="207" spans="1:43" outlineLevel="1" x14ac:dyDescent="0.25">
      <c r="A207" s="372"/>
      <c r="B207" s="547" t="s">
        <v>274</v>
      </c>
      <c r="C207" s="548"/>
      <c r="D207" s="81">
        <v>0</v>
      </c>
      <c r="E207" s="81">
        <v>0</v>
      </c>
      <c r="F207" s="81">
        <v>0</v>
      </c>
      <c r="G207" s="81">
        <v>0</v>
      </c>
      <c r="H207" s="82">
        <f t="shared" si="128"/>
        <v>0</v>
      </c>
      <c r="I207" s="81">
        <v>1268.9000000000001</v>
      </c>
      <c r="J207" s="81">
        <v>1253.5</v>
      </c>
      <c r="K207" s="81">
        <v>1237.0999999999999</v>
      </c>
      <c r="L207" s="81">
        <v>1248.8</v>
      </c>
      <c r="M207" s="82">
        <f t="shared" si="129"/>
        <v>1248.8</v>
      </c>
      <c r="N207" s="81">
        <v>1267.5999999999999</v>
      </c>
      <c r="O207" s="81">
        <v>1296.4000000000001</v>
      </c>
      <c r="P207" s="81">
        <v>1308.4000000000001</v>
      </c>
      <c r="Q207" s="169">
        <f>'Earnings Model (adjusted)'!Q207-'Earnings Model'!Q207</f>
        <v>0</v>
      </c>
      <c r="R207" s="169">
        <f>'Earnings Model (adjusted)'!R207-'Earnings Model'!R207</f>
        <v>0</v>
      </c>
      <c r="S207" s="169">
        <f>'Earnings Model (adjusted)'!S207-'Earnings Model'!S207</f>
        <v>0</v>
      </c>
      <c r="T207" s="169">
        <f>'Earnings Model (adjusted)'!T207-'Earnings Model'!T207</f>
        <v>0</v>
      </c>
      <c r="U207" s="169">
        <f>'Earnings Model (adjusted)'!U207-'Earnings Model'!U207</f>
        <v>0</v>
      </c>
      <c r="V207" s="169">
        <f>'Earnings Model (adjusted)'!V207-'Earnings Model'!V207</f>
        <v>0</v>
      </c>
      <c r="W207" s="169">
        <f>'Earnings Model (adjusted)'!W207-'Earnings Model'!W207</f>
        <v>0</v>
      </c>
      <c r="X207" s="169">
        <f>'Earnings Model (adjusted)'!X207-'Earnings Model'!X207</f>
        <v>0</v>
      </c>
      <c r="Y207" s="169">
        <f>'Earnings Model (adjusted)'!Y207-'Earnings Model'!Y207</f>
        <v>0</v>
      </c>
      <c r="Z207" s="169">
        <f>'Earnings Model (adjusted)'!Z207-'Earnings Model'!Z207</f>
        <v>0</v>
      </c>
      <c r="AA207" s="169">
        <f>'Earnings Model (adjusted)'!AA207-'Earnings Model'!AA207</f>
        <v>0</v>
      </c>
      <c r="AB207" s="169">
        <f>'Earnings Model (adjusted)'!AB207-'Earnings Model'!AB207</f>
        <v>0</v>
      </c>
      <c r="AC207" s="169">
        <f>'Earnings Model (adjusted)'!AC207-'Earnings Model'!AC207</f>
        <v>0</v>
      </c>
      <c r="AD207" s="169">
        <f>'Earnings Model (adjusted)'!AD207-'Earnings Model'!AD207</f>
        <v>0</v>
      </c>
      <c r="AE207" s="169">
        <f>'Earnings Model (adjusted)'!AE207-'Earnings Model'!AE207</f>
        <v>0</v>
      </c>
      <c r="AF207" s="169">
        <f>'Earnings Model (adjusted)'!AF207-'Earnings Model'!AF207</f>
        <v>0</v>
      </c>
      <c r="AG207" s="169">
        <f>'Earnings Model (adjusted)'!AG207-'Earnings Model'!AG207</f>
        <v>0</v>
      </c>
      <c r="AH207" s="169">
        <f>'Earnings Model (adjusted)'!AH207-'Earnings Model'!AH207</f>
        <v>0</v>
      </c>
      <c r="AI207" s="169">
        <f>'Earnings Model (adjusted)'!AI207-'Earnings Model'!AI207</f>
        <v>0</v>
      </c>
      <c r="AJ207" s="169">
        <f>'Earnings Model (adjusted)'!AJ207-'Earnings Model'!AJ207</f>
        <v>0</v>
      </c>
      <c r="AK207" s="169">
        <f>'Earnings Model (adjusted)'!AK207-'Earnings Model'!AK207</f>
        <v>0</v>
      </c>
      <c r="AL207" s="169">
        <f>'Earnings Model (adjusted)'!AL207-'Earnings Model'!AL207</f>
        <v>0</v>
      </c>
      <c r="AM207" s="169">
        <f>'Earnings Model (adjusted)'!AM207-'Earnings Model'!AM207</f>
        <v>0</v>
      </c>
      <c r="AN207" s="169">
        <f>'Earnings Model (adjusted)'!AN207-'Earnings Model'!AN207</f>
        <v>0</v>
      </c>
      <c r="AO207" s="169">
        <f>'Earnings Model (adjusted)'!AO207-'Earnings Model'!AO207</f>
        <v>0</v>
      </c>
      <c r="AP207" s="169">
        <f>'Earnings Model (adjusted)'!AP207-'Earnings Model'!AP207</f>
        <v>0</v>
      </c>
      <c r="AQ207" s="169">
        <f>'Earnings Model (adjusted)'!AQ207-'Earnings Model'!AQ207</f>
        <v>0</v>
      </c>
    </row>
    <row r="208" spans="1:43" outlineLevel="1" x14ac:dyDescent="0.25">
      <c r="A208" s="372"/>
      <c r="B208" s="547" t="s">
        <v>208</v>
      </c>
      <c r="C208" s="548"/>
      <c r="D208" s="81">
        <v>1554.2</v>
      </c>
      <c r="E208" s="81">
        <v>1311.4</v>
      </c>
      <c r="F208" s="81">
        <v>1300.2</v>
      </c>
      <c r="G208" s="81">
        <v>1269</v>
      </c>
      <c r="H208" s="82">
        <f t="shared" si="128"/>
        <v>1269</v>
      </c>
      <c r="I208" s="81">
        <v>1694.1</v>
      </c>
      <c r="J208" s="81">
        <v>1436.3</v>
      </c>
      <c r="K208" s="81">
        <v>1463.3</v>
      </c>
      <c r="L208" s="81">
        <v>1456.5</v>
      </c>
      <c r="M208" s="82">
        <f t="shared" si="129"/>
        <v>1456.5</v>
      </c>
      <c r="N208" s="81">
        <v>1871.2</v>
      </c>
      <c r="O208" s="81">
        <v>1622.1</v>
      </c>
      <c r="P208" s="81">
        <v>1628.3</v>
      </c>
      <c r="Q208" s="169">
        <f>'Earnings Model (adjusted)'!Q208-'Earnings Model'!Q208</f>
        <v>0</v>
      </c>
      <c r="R208" s="169">
        <f>'Earnings Model (adjusted)'!R208-'Earnings Model'!R208</f>
        <v>0</v>
      </c>
      <c r="S208" s="169">
        <f>'Earnings Model (adjusted)'!S208-'Earnings Model'!S208</f>
        <v>0</v>
      </c>
      <c r="T208" s="169">
        <f>'Earnings Model (adjusted)'!T208-'Earnings Model'!T208</f>
        <v>0</v>
      </c>
      <c r="U208" s="169">
        <f>'Earnings Model (adjusted)'!U208-'Earnings Model'!U208</f>
        <v>0</v>
      </c>
      <c r="V208" s="169">
        <f>'Earnings Model (adjusted)'!V208-'Earnings Model'!V208</f>
        <v>0</v>
      </c>
      <c r="W208" s="169">
        <f>'Earnings Model (adjusted)'!W208-'Earnings Model'!W208</f>
        <v>0</v>
      </c>
      <c r="X208" s="169">
        <f>'Earnings Model (adjusted)'!X208-'Earnings Model'!X208</f>
        <v>0</v>
      </c>
      <c r="Y208" s="169">
        <f>'Earnings Model (adjusted)'!Y208-'Earnings Model'!Y208</f>
        <v>0</v>
      </c>
      <c r="Z208" s="169">
        <f>'Earnings Model (adjusted)'!Z208-'Earnings Model'!Z208</f>
        <v>0</v>
      </c>
      <c r="AA208" s="169">
        <f>'Earnings Model (adjusted)'!AA208-'Earnings Model'!AA208</f>
        <v>0</v>
      </c>
      <c r="AB208" s="169">
        <f>'Earnings Model (adjusted)'!AB208-'Earnings Model'!AB208</f>
        <v>0</v>
      </c>
      <c r="AC208" s="169">
        <f>'Earnings Model (adjusted)'!AC208-'Earnings Model'!AC208</f>
        <v>0</v>
      </c>
      <c r="AD208" s="169">
        <f>'Earnings Model (adjusted)'!AD208-'Earnings Model'!AD208</f>
        <v>0</v>
      </c>
      <c r="AE208" s="169">
        <f>'Earnings Model (adjusted)'!AE208-'Earnings Model'!AE208</f>
        <v>0</v>
      </c>
      <c r="AF208" s="169">
        <f>'Earnings Model (adjusted)'!AF208-'Earnings Model'!AF208</f>
        <v>0</v>
      </c>
      <c r="AG208" s="169">
        <f>'Earnings Model (adjusted)'!AG208-'Earnings Model'!AG208</f>
        <v>0</v>
      </c>
      <c r="AH208" s="169">
        <f>'Earnings Model (adjusted)'!AH208-'Earnings Model'!AH208</f>
        <v>0</v>
      </c>
      <c r="AI208" s="169">
        <f>'Earnings Model (adjusted)'!AI208-'Earnings Model'!AI208</f>
        <v>0</v>
      </c>
      <c r="AJ208" s="169">
        <f>'Earnings Model (adjusted)'!AJ208-'Earnings Model'!AJ208</f>
        <v>0</v>
      </c>
      <c r="AK208" s="169">
        <f>'Earnings Model (adjusted)'!AK208-'Earnings Model'!AK208</f>
        <v>0</v>
      </c>
      <c r="AL208" s="169">
        <f>'Earnings Model (adjusted)'!AL208-'Earnings Model'!AL208</f>
        <v>0</v>
      </c>
      <c r="AM208" s="169">
        <f>'Earnings Model (adjusted)'!AM208-'Earnings Model'!AM208</f>
        <v>0</v>
      </c>
      <c r="AN208" s="169">
        <f>'Earnings Model (adjusted)'!AN208-'Earnings Model'!AN208</f>
        <v>0</v>
      </c>
      <c r="AO208" s="169">
        <f>'Earnings Model (adjusted)'!AO208-'Earnings Model'!AO208</f>
        <v>0</v>
      </c>
      <c r="AP208" s="169">
        <f>'Earnings Model (adjusted)'!AP208-'Earnings Model'!AP208</f>
        <v>0</v>
      </c>
      <c r="AQ208" s="169">
        <f>'Earnings Model (adjusted)'!AQ208-'Earnings Model'!AQ208</f>
        <v>0</v>
      </c>
    </row>
    <row r="209" spans="1:43" outlineLevel="1" x14ac:dyDescent="0.25">
      <c r="A209" s="372"/>
      <c r="B209" s="547" t="s">
        <v>278</v>
      </c>
      <c r="C209" s="370"/>
      <c r="D209" s="81">
        <v>0</v>
      </c>
      <c r="E209" s="81">
        <f>75+0</f>
        <v>75</v>
      </c>
      <c r="F209" s="81">
        <v>0</v>
      </c>
      <c r="G209" s="81">
        <v>0</v>
      </c>
      <c r="H209" s="82">
        <f t="shared" si="128"/>
        <v>0</v>
      </c>
      <c r="I209" s="81">
        <f>497.9+498.7</f>
        <v>996.59999999999991</v>
      </c>
      <c r="J209" s="81">
        <f>1107.1+1249.4</f>
        <v>2356.5</v>
      </c>
      <c r="K209" s="81">
        <f>936.5+1249.6</f>
        <v>2186.1</v>
      </c>
      <c r="L209" s="81">
        <f>438.8+1249.9</f>
        <v>1688.7</v>
      </c>
      <c r="M209" s="82">
        <f t="shared" si="129"/>
        <v>1688.7</v>
      </c>
      <c r="N209" s="81">
        <f>492.6+750</f>
        <v>1242.5999999999999</v>
      </c>
      <c r="O209" s="81">
        <v>18.3</v>
      </c>
      <c r="P209" s="81">
        <v>998.9</v>
      </c>
      <c r="Q209" s="169">
        <f>'Earnings Model (adjusted)'!Q209-'Earnings Model'!Q209</f>
        <v>0</v>
      </c>
      <c r="R209" s="169">
        <f>'Earnings Model (adjusted)'!R209-'Earnings Model'!R209</f>
        <v>0</v>
      </c>
      <c r="S209" s="169">
        <f>'Earnings Model (adjusted)'!S209-'Earnings Model'!S209</f>
        <v>0</v>
      </c>
      <c r="T209" s="169">
        <f>'Earnings Model (adjusted)'!T209-'Earnings Model'!T209</f>
        <v>0</v>
      </c>
      <c r="U209" s="169">
        <f>'Earnings Model (adjusted)'!U209-'Earnings Model'!U209</f>
        <v>0</v>
      </c>
      <c r="V209" s="169">
        <f>'Earnings Model (adjusted)'!V209-'Earnings Model'!V209</f>
        <v>0</v>
      </c>
      <c r="W209" s="169">
        <f>'Earnings Model (adjusted)'!W209-'Earnings Model'!W209</f>
        <v>0</v>
      </c>
      <c r="X209" s="169">
        <f>'Earnings Model (adjusted)'!X209-'Earnings Model'!X209</f>
        <v>0</v>
      </c>
      <c r="Y209" s="169">
        <f>'Earnings Model (adjusted)'!Y209-'Earnings Model'!Y209</f>
        <v>0</v>
      </c>
      <c r="Z209" s="169">
        <f>'Earnings Model (adjusted)'!Z209-'Earnings Model'!Z209</f>
        <v>0</v>
      </c>
      <c r="AA209" s="169">
        <f>'Earnings Model (adjusted)'!AA209-'Earnings Model'!AA209</f>
        <v>0</v>
      </c>
      <c r="AB209" s="169">
        <f>'Earnings Model (adjusted)'!AB209-'Earnings Model'!AB209</f>
        <v>0</v>
      </c>
      <c r="AC209" s="169">
        <f>'Earnings Model (adjusted)'!AC209-'Earnings Model'!AC209</f>
        <v>0</v>
      </c>
      <c r="AD209" s="169">
        <f>'Earnings Model (adjusted)'!AD209-'Earnings Model'!AD209</f>
        <v>0</v>
      </c>
      <c r="AE209" s="169">
        <f>'Earnings Model (adjusted)'!AE209-'Earnings Model'!AE209</f>
        <v>0</v>
      </c>
      <c r="AF209" s="169">
        <f>'Earnings Model (adjusted)'!AF209-'Earnings Model'!AF209</f>
        <v>0</v>
      </c>
      <c r="AG209" s="169">
        <f>'Earnings Model (adjusted)'!AG209-'Earnings Model'!AG209</f>
        <v>0</v>
      </c>
      <c r="AH209" s="169">
        <f>'Earnings Model (adjusted)'!AH209-'Earnings Model'!AH209</f>
        <v>0</v>
      </c>
      <c r="AI209" s="169">
        <f>'Earnings Model (adjusted)'!AI209-'Earnings Model'!AI209</f>
        <v>0</v>
      </c>
      <c r="AJ209" s="169">
        <f>'Earnings Model (adjusted)'!AJ209-'Earnings Model'!AJ209</f>
        <v>0</v>
      </c>
      <c r="AK209" s="169">
        <f>'Earnings Model (adjusted)'!AK209-'Earnings Model'!AK209</f>
        <v>0</v>
      </c>
      <c r="AL209" s="169">
        <f>'Earnings Model (adjusted)'!AL209-'Earnings Model'!AL209</f>
        <v>0</v>
      </c>
      <c r="AM209" s="169">
        <f>'Earnings Model (adjusted)'!AM209-'Earnings Model'!AM209</f>
        <v>0</v>
      </c>
      <c r="AN209" s="169">
        <f>'Earnings Model (adjusted)'!AN209-'Earnings Model'!AN209</f>
        <v>0</v>
      </c>
      <c r="AO209" s="169">
        <f>'Earnings Model (adjusted)'!AO209-'Earnings Model'!AO209</f>
        <v>0</v>
      </c>
      <c r="AP209" s="169">
        <f>'Earnings Model (adjusted)'!AP209-'Earnings Model'!AP209</f>
        <v>0</v>
      </c>
      <c r="AQ209" s="169">
        <f>'Earnings Model (adjusted)'!AQ209-'Earnings Model'!AQ209</f>
        <v>0</v>
      </c>
    </row>
    <row r="210" spans="1:43" ht="17.25" outlineLevel="1" x14ac:dyDescent="0.4">
      <c r="A210" s="372"/>
      <c r="B210" s="547" t="s">
        <v>271</v>
      </c>
      <c r="C210" s="370"/>
      <c r="D210" s="248">
        <v>208.8</v>
      </c>
      <c r="E210" s="248">
        <v>221</v>
      </c>
      <c r="F210" s="248">
        <v>211.5</v>
      </c>
      <c r="G210" s="248">
        <v>0</v>
      </c>
      <c r="H210" s="241">
        <f t="shared" si="128"/>
        <v>0</v>
      </c>
      <c r="I210" s="248">
        <v>0</v>
      </c>
      <c r="J210" s="248">
        <v>0</v>
      </c>
      <c r="K210" s="248">
        <v>0</v>
      </c>
      <c r="L210" s="248">
        <v>0</v>
      </c>
      <c r="M210" s="241">
        <f t="shared" si="129"/>
        <v>0</v>
      </c>
      <c r="N210" s="248">
        <v>0</v>
      </c>
      <c r="O210" s="248">
        <v>0</v>
      </c>
      <c r="P210" s="248">
        <v>0</v>
      </c>
      <c r="Q210" s="169">
        <f>'Earnings Model (adjusted)'!Q210-'Earnings Model'!Q210</f>
        <v>0</v>
      </c>
      <c r="R210" s="169">
        <f>'Earnings Model (adjusted)'!R210-'Earnings Model'!R210</f>
        <v>0</v>
      </c>
      <c r="S210" s="169">
        <f>'Earnings Model (adjusted)'!S210-'Earnings Model'!S210</f>
        <v>0</v>
      </c>
      <c r="T210" s="169">
        <f>'Earnings Model (adjusted)'!T210-'Earnings Model'!T210</f>
        <v>0</v>
      </c>
      <c r="U210" s="169">
        <f>'Earnings Model (adjusted)'!U210-'Earnings Model'!U210</f>
        <v>0</v>
      </c>
      <c r="V210" s="169">
        <f>'Earnings Model (adjusted)'!V210-'Earnings Model'!V210</f>
        <v>0</v>
      </c>
      <c r="W210" s="169">
        <f>'Earnings Model (adjusted)'!W210-'Earnings Model'!W210</f>
        <v>0</v>
      </c>
      <c r="X210" s="169">
        <f>'Earnings Model (adjusted)'!X210-'Earnings Model'!X210</f>
        <v>0</v>
      </c>
      <c r="Y210" s="169">
        <f>'Earnings Model (adjusted)'!Y210-'Earnings Model'!Y210</f>
        <v>0</v>
      </c>
      <c r="Z210" s="169">
        <f>'Earnings Model (adjusted)'!Z210-'Earnings Model'!Z210</f>
        <v>0</v>
      </c>
      <c r="AA210" s="169">
        <f>'Earnings Model (adjusted)'!AA210-'Earnings Model'!AA210</f>
        <v>0</v>
      </c>
      <c r="AB210" s="169">
        <f>'Earnings Model (adjusted)'!AB210-'Earnings Model'!AB210</f>
        <v>0</v>
      </c>
      <c r="AC210" s="169">
        <f>'Earnings Model (adjusted)'!AC210-'Earnings Model'!AC210</f>
        <v>0</v>
      </c>
      <c r="AD210" s="169">
        <f>'Earnings Model (adjusted)'!AD210-'Earnings Model'!AD210</f>
        <v>0</v>
      </c>
      <c r="AE210" s="169">
        <f>'Earnings Model (adjusted)'!AE210-'Earnings Model'!AE210</f>
        <v>0</v>
      </c>
      <c r="AF210" s="169">
        <f>'Earnings Model (adjusted)'!AF210-'Earnings Model'!AF210</f>
        <v>0</v>
      </c>
      <c r="AG210" s="169">
        <f>'Earnings Model (adjusted)'!AG210-'Earnings Model'!AG210</f>
        <v>0</v>
      </c>
      <c r="AH210" s="169">
        <f>'Earnings Model (adjusted)'!AH210-'Earnings Model'!AH210</f>
        <v>0</v>
      </c>
      <c r="AI210" s="169">
        <f>'Earnings Model (adjusted)'!AI210-'Earnings Model'!AI210</f>
        <v>0</v>
      </c>
      <c r="AJ210" s="169">
        <f>'Earnings Model (adjusted)'!AJ210-'Earnings Model'!AJ210</f>
        <v>0</v>
      </c>
      <c r="AK210" s="169">
        <f>'Earnings Model (adjusted)'!AK210-'Earnings Model'!AK210</f>
        <v>0</v>
      </c>
      <c r="AL210" s="169">
        <f>'Earnings Model (adjusted)'!AL210-'Earnings Model'!AL210</f>
        <v>0</v>
      </c>
      <c r="AM210" s="169">
        <f>'Earnings Model (adjusted)'!AM210-'Earnings Model'!AM210</f>
        <v>0</v>
      </c>
      <c r="AN210" s="169">
        <f>'Earnings Model (adjusted)'!AN210-'Earnings Model'!AN210</f>
        <v>0</v>
      </c>
      <c r="AO210" s="169">
        <f>'Earnings Model (adjusted)'!AO210-'Earnings Model'!AO210</f>
        <v>0</v>
      </c>
      <c r="AP210" s="169">
        <f>'Earnings Model (adjusted)'!AP210-'Earnings Model'!AP210</f>
        <v>0</v>
      </c>
      <c r="AQ210" s="169">
        <f>'Earnings Model (adjusted)'!AQ210-'Earnings Model'!AQ210</f>
        <v>0</v>
      </c>
    </row>
    <row r="211" spans="1:43" outlineLevel="1" x14ac:dyDescent="0.25">
      <c r="A211" s="372"/>
      <c r="B211" s="549" t="s">
        <v>8</v>
      </c>
      <c r="C211" s="370"/>
      <c r="D211" s="80">
        <f t="shared" ref="D211:K211" si="130">SUM(D203:D210)</f>
        <v>5427.5</v>
      </c>
      <c r="E211" s="80">
        <f t="shared" si="130"/>
        <v>5273.4</v>
      </c>
      <c r="F211" s="80">
        <f t="shared" si="130"/>
        <v>5895.8</v>
      </c>
      <c r="G211" s="80">
        <f t="shared" si="130"/>
        <v>6168.7</v>
      </c>
      <c r="H211" s="242">
        <f t="shared" si="130"/>
        <v>6168.7</v>
      </c>
      <c r="I211" s="80">
        <f t="shared" si="130"/>
        <v>8675.5</v>
      </c>
      <c r="J211" s="80">
        <f t="shared" si="130"/>
        <v>8265.7999999999993</v>
      </c>
      <c r="K211" s="80">
        <f t="shared" si="130"/>
        <v>8002</v>
      </c>
      <c r="L211" s="80">
        <f t="shared" ref="L211:P211" si="131">SUM(L203:L209)</f>
        <v>7346.7999999999993</v>
      </c>
      <c r="M211" s="242">
        <f t="shared" si="131"/>
        <v>7346.7999999999993</v>
      </c>
      <c r="N211" s="80">
        <f t="shared" si="131"/>
        <v>7883.9</v>
      </c>
      <c r="O211" s="80">
        <f t="shared" si="131"/>
        <v>6505.0999999999995</v>
      </c>
      <c r="P211" s="80">
        <f t="shared" si="131"/>
        <v>7799.8</v>
      </c>
      <c r="Q211" s="169">
        <f>'Earnings Model (adjusted)'!Q211-'Earnings Model'!Q211</f>
        <v>-9.6789670458765613</v>
      </c>
      <c r="R211" s="169">
        <f>'Earnings Model (adjusted)'!R211-'Earnings Model'!R211</f>
        <v>-9.6789670458765613</v>
      </c>
      <c r="S211" s="169">
        <f>'Earnings Model (adjusted)'!S211-'Earnings Model'!S211</f>
        <v>-10.389828417657554</v>
      </c>
      <c r="T211" s="169">
        <f>'Earnings Model (adjusted)'!T211-'Earnings Model'!T211</f>
        <v>-9.8061008642998786</v>
      </c>
      <c r="U211" s="169">
        <f>'Earnings Model (adjusted)'!U211-'Earnings Model'!U211</f>
        <v>-18.96291525478955</v>
      </c>
      <c r="V211" s="169">
        <f>'Earnings Model (adjusted)'!V211-'Earnings Model'!V211</f>
        <v>-20.760035890589279</v>
      </c>
      <c r="W211" s="169">
        <f>'Earnings Model (adjusted)'!W211-'Earnings Model'!W211</f>
        <v>-20.760035890589279</v>
      </c>
      <c r="X211" s="169">
        <f>'Earnings Model (adjusted)'!X211-'Earnings Model'!X211</f>
        <v>-11.921251920721261</v>
      </c>
      <c r="Y211" s="169">
        <f>'Earnings Model (adjusted)'!Y211-'Earnings Model'!Y211</f>
        <v>-10.473820193457868</v>
      </c>
      <c r="Z211" s="169">
        <f>'Earnings Model (adjusted)'!Z211-'Earnings Model'!Z211</f>
        <v>-37.828698822362639</v>
      </c>
      <c r="AA211" s="169">
        <f>'Earnings Model (adjusted)'!AA211-'Earnings Model'!AA211</f>
        <v>-25.32498646327258</v>
      </c>
      <c r="AB211" s="169">
        <f>'Earnings Model (adjusted)'!AB211-'Earnings Model'!AB211</f>
        <v>-25.32498646327258</v>
      </c>
      <c r="AC211" s="169">
        <f>'Earnings Model (adjusted)'!AC211-'Earnings Model'!AC211</f>
        <v>7.2905992122723546</v>
      </c>
      <c r="AD211" s="169">
        <f>'Earnings Model (adjusted)'!AD211-'Earnings Model'!AD211</f>
        <v>8.9415114027906384</v>
      </c>
      <c r="AE211" s="169">
        <f>'Earnings Model (adjusted)'!AE211-'Earnings Model'!AE211</f>
        <v>-29.361166777849576</v>
      </c>
      <c r="AF211" s="169">
        <f>'Earnings Model (adjusted)'!AF211-'Earnings Model'!AF211</f>
        <v>-32.612519962256556</v>
      </c>
      <c r="AG211" s="169">
        <f>'Earnings Model (adjusted)'!AG211-'Earnings Model'!AG211</f>
        <v>-32.612519962256556</v>
      </c>
      <c r="AH211" s="169">
        <f>'Earnings Model (adjusted)'!AH211-'Earnings Model'!AH211</f>
        <v>18.110202549647511</v>
      </c>
      <c r="AI211" s="169">
        <f>'Earnings Model (adjusted)'!AI211-'Earnings Model'!AI211</f>
        <v>20.149761189853962</v>
      </c>
      <c r="AJ211" s="169">
        <f>'Earnings Model (adjusted)'!AJ211-'Earnings Model'!AJ211</f>
        <v>-33.209607925384262</v>
      </c>
      <c r="AK211" s="169">
        <f>'Earnings Model (adjusted)'!AK211-'Earnings Model'!AK211</f>
        <v>-45.169227385229533</v>
      </c>
      <c r="AL211" s="169">
        <f>'Earnings Model (adjusted)'!AL211-'Earnings Model'!AL211</f>
        <v>-45.169227385229533</v>
      </c>
      <c r="AM211" s="169">
        <f>'Earnings Model (adjusted)'!AM211-'Earnings Model'!AM211</f>
        <v>26.064884509367403</v>
      </c>
      <c r="AN211" s="169">
        <f>'Earnings Model (adjusted)'!AN211-'Earnings Model'!AN211</f>
        <v>28.449077795745325</v>
      </c>
      <c r="AO211" s="169">
        <f>'Earnings Model (adjusted)'!AO211-'Earnings Model'!AO211</f>
        <v>-37.426050293917797</v>
      </c>
      <c r="AP211" s="169">
        <f>'Earnings Model (adjusted)'!AP211-'Earnings Model'!AP211</f>
        <v>-50.148849159384554</v>
      </c>
      <c r="AQ211" s="169">
        <f>'Earnings Model (adjusted)'!AQ211-'Earnings Model'!AQ211</f>
        <v>-50.148849159384554</v>
      </c>
    </row>
    <row r="212" spans="1:43" outlineLevel="1" x14ac:dyDescent="0.25">
      <c r="A212" s="372"/>
      <c r="B212" s="547" t="s">
        <v>209</v>
      </c>
      <c r="C212" s="370"/>
      <c r="D212" s="81">
        <v>9130.7000000000007</v>
      </c>
      <c r="E212" s="81">
        <v>9141.5</v>
      </c>
      <c r="F212" s="81">
        <v>11159.1</v>
      </c>
      <c r="G212" s="81">
        <v>11167</v>
      </c>
      <c r="H212" s="82">
        <f t="shared" si="128"/>
        <v>11167</v>
      </c>
      <c r="I212" s="81">
        <v>10653.2</v>
      </c>
      <c r="J212" s="81">
        <v>11658.7</v>
      </c>
      <c r="K212" s="81">
        <v>14645.6</v>
      </c>
      <c r="L212" s="81">
        <v>14659.6</v>
      </c>
      <c r="M212" s="82">
        <f t="shared" si="129"/>
        <v>14659.6</v>
      </c>
      <c r="N212" s="81">
        <v>14673.5</v>
      </c>
      <c r="O212" s="81">
        <v>14630.3</v>
      </c>
      <c r="P212" s="81">
        <v>13619.2</v>
      </c>
      <c r="Q212" s="169">
        <f>'Earnings Model (adjusted)'!Q212-'Earnings Model'!Q212</f>
        <v>0</v>
      </c>
      <c r="R212" s="169">
        <f>'Earnings Model (adjusted)'!R212-'Earnings Model'!R212</f>
        <v>0</v>
      </c>
      <c r="S212" s="169">
        <f>'Earnings Model (adjusted)'!S212-'Earnings Model'!S212</f>
        <v>0</v>
      </c>
      <c r="T212" s="169">
        <f>'Earnings Model (adjusted)'!T212-'Earnings Model'!T212</f>
        <v>0</v>
      </c>
      <c r="U212" s="169">
        <f>'Earnings Model (adjusted)'!U212-'Earnings Model'!U212</f>
        <v>0</v>
      </c>
      <c r="V212" s="169">
        <f>'Earnings Model (adjusted)'!V212-'Earnings Model'!V212</f>
        <v>0</v>
      </c>
      <c r="W212" s="169">
        <f>'Earnings Model (adjusted)'!W212-'Earnings Model'!W212</f>
        <v>0</v>
      </c>
      <c r="X212" s="169">
        <f>'Earnings Model (adjusted)'!X212-'Earnings Model'!X212</f>
        <v>0</v>
      </c>
      <c r="Y212" s="169">
        <f>'Earnings Model (adjusted)'!Y212-'Earnings Model'!Y212</f>
        <v>0</v>
      </c>
      <c r="Z212" s="169">
        <f>'Earnings Model (adjusted)'!Z212-'Earnings Model'!Z212</f>
        <v>0</v>
      </c>
      <c r="AA212" s="169">
        <f>'Earnings Model (adjusted)'!AA212-'Earnings Model'!AA212</f>
        <v>0</v>
      </c>
      <c r="AB212" s="169">
        <f>'Earnings Model (adjusted)'!AB212-'Earnings Model'!AB212</f>
        <v>0</v>
      </c>
      <c r="AC212" s="169">
        <f>'Earnings Model (adjusted)'!AC212-'Earnings Model'!AC212</f>
        <v>0</v>
      </c>
      <c r="AD212" s="169">
        <f>'Earnings Model (adjusted)'!AD212-'Earnings Model'!AD212</f>
        <v>0</v>
      </c>
      <c r="AE212" s="169">
        <f>'Earnings Model (adjusted)'!AE212-'Earnings Model'!AE212</f>
        <v>0</v>
      </c>
      <c r="AF212" s="169">
        <f>'Earnings Model (adjusted)'!AF212-'Earnings Model'!AF212</f>
        <v>0</v>
      </c>
      <c r="AG212" s="169">
        <f>'Earnings Model (adjusted)'!AG212-'Earnings Model'!AG212</f>
        <v>0</v>
      </c>
      <c r="AH212" s="169">
        <f>'Earnings Model (adjusted)'!AH212-'Earnings Model'!AH212</f>
        <v>0</v>
      </c>
      <c r="AI212" s="169">
        <f>'Earnings Model (adjusted)'!AI212-'Earnings Model'!AI212</f>
        <v>0</v>
      </c>
      <c r="AJ212" s="169">
        <f>'Earnings Model (adjusted)'!AJ212-'Earnings Model'!AJ212</f>
        <v>0</v>
      </c>
      <c r="AK212" s="169">
        <f>'Earnings Model (adjusted)'!AK212-'Earnings Model'!AK212</f>
        <v>0</v>
      </c>
      <c r="AL212" s="169">
        <f>'Earnings Model (adjusted)'!AL212-'Earnings Model'!AL212</f>
        <v>0</v>
      </c>
      <c r="AM212" s="169">
        <f>'Earnings Model (adjusted)'!AM212-'Earnings Model'!AM212</f>
        <v>0</v>
      </c>
      <c r="AN212" s="169">
        <f>'Earnings Model (adjusted)'!AN212-'Earnings Model'!AN212</f>
        <v>0</v>
      </c>
      <c r="AO212" s="169">
        <f>'Earnings Model (adjusted)'!AO212-'Earnings Model'!AO212</f>
        <v>0</v>
      </c>
      <c r="AP212" s="169">
        <f>'Earnings Model (adjusted)'!AP212-'Earnings Model'!AP212</f>
        <v>0</v>
      </c>
      <c r="AQ212" s="169">
        <f>'Earnings Model (adjusted)'!AQ212-'Earnings Model'!AQ212</f>
        <v>0</v>
      </c>
    </row>
    <row r="213" spans="1:43" outlineLevel="1" x14ac:dyDescent="0.25">
      <c r="A213" s="372"/>
      <c r="B213" s="547" t="s">
        <v>279</v>
      </c>
      <c r="C213" s="229"/>
      <c r="D213" s="81">
        <v>0</v>
      </c>
      <c r="E213" s="81">
        <v>0</v>
      </c>
      <c r="F213" s="81">
        <v>0</v>
      </c>
      <c r="G213" s="81">
        <v>0</v>
      </c>
      <c r="H213" s="82">
        <f t="shared" si="128"/>
        <v>0</v>
      </c>
      <c r="I213" s="81">
        <v>7711.7</v>
      </c>
      <c r="J213" s="81">
        <v>7650.4</v>
      </c>
      <c r="K213" s="81">
        <v>7653.6</v>
      </c>
      <c r="L213" s="81">
        <v>7661.7</v>
      </c>
      <c r="M213" s="82">
        <f>L213</f>
        <v>7661.7</v>
      </c>
      <c r="N213" s="81">
        <v>7754.5</v>
      </c>
      <c r="O213" s="81">
        <v>7577.7</v>
      </c>
      <c r="P213" s="81">
        <v>7597.8</v>
      </c>
      <c r="Q213" s="169">
        <f>'Earnings Model (adjusted)'!Q213-'Earnings Model'!Q213</f>
        <v>0</v>
      </c>
      <c r="R213" s="169">
        <f>'Earnings Model (adjusted)'!R213-'Earnings Model'!R213</f>
        <v>0</v>
      </c>
      <c r="S213" s="169">
        <f>'Earnings Model (adjusted)'!S213-'Earnings Model'!S213</f>
        <v>0</v>
      </c>
      <c r="T213" s="169">
        <f>'Earnings Model (adjusted)'!T213-'Earnings Model'!T213</f>
        <v>0</v>
      </c>
      <c r="U213" s="169">
        <f>'Earnings Model (adjusted)'!U213-'Earnings Model'!U213</f>
        <v>0</v>
      </c>
      <c r="V213" s="169">
        <f>'Earnings Model (adjusted)'!V213-'Earnings Model'!V213</f>
        <v>0</v>
      </c>
      <c r="W213" s="169">
        <f>'Earnings Model (adjusted)'!W213-'Earnings Model'!W213</f>
        <v>0</v>
      </c>
      <c r="X213" s="169">
        <f>'Earnings Model (adjusted)'!X213-'Earnings Model'!X213</f>
        <v>0</v>
      </c>
      <c r="Y213" s="169">
        <f>'Earnings Model (adjusted)'!Y213-'Earnings Model'!Y213</f>
        <v>0</v>
      </c>
      <c r="Z213" s="169">
        <f>'Earnings Model (adjusted)'!Z213-'Earnings Model'!Z213</f>
        <v>0</v>
      </c>
      <c r="AA213" s="169">
        <f>'Earnings Model (adjusted)'!AA213-'Earnings Model'!AA213</f>
        <v>0</v>
      </c>
      <c r="AB213" s="169">
        <f>'Earnings Model (adjusted)'!AB213-'Earnings Model'!AB213</f>
        <v>0</v>
      </c>
      <c r="AC213" s="169">
        <f>'Earnings Model (adjusted)'!AC213-'Earnings Model'!AC213</f>
        <v>0</v>
      </c>
      <c r="AD213" s="169">
        <f>'Earnings Model (adjusted)'!AD213-'Earnings Model'!AD213</f>
        <v>0</v>
      </c>
      <c r="AE213" s="169">
        <f>'Earnings Model (adjusted)'!AE213-'Earnings Model'!AE213</f>
        <v>0</v>
      </c>
      <c r="AF213" s="169">
        <f>'Earnings Model (adjusted)'!AF213-'Earnings Model'!AF213</f>
        <v>0</v>
      </c>
      <c r="AG213" s="169">
        <f>'Earnings Model (adjusted)'!AG213-'Earnings Model'!AG213</f>
        <v>0</v>
      </c>
      <c r="AH213" s="169">
        <f>'Earnings Model (adjusted)'!AH213-'Earnings Model'!AH213</f>
        <v>0</v>
      </c>
      <c r="AI213" s="169">
        <f>'Earnings Model (adjusted)'!AI213-'Earnings Model'!AI213</f>
        <v>0</v>
      </c>
      <c r="AJ213" s="169">
        <f>'Earnings Model (adjusted)'!AJ213-'Earnings Model'!AJ213</f>
        <v>0</v>
      </c>
      <c r="AK213" s="169">
        <f>'Earnings Model (adjusted)'!AK213-'Earnings Model'!AK213</f>
        <v>0</v>
      </c>
      <c r="AL213" s="169">
        <f>'Earnings Model (adjusted)'!AL213-'Earnings Model'!AL213</f>
        <v>0</v>
      </c>
      <c r="AM213" s="169">
        <f>'Earnings Model (adjusted)'!AM213-'Earnings Model'!AM213</f>
        <v>0</v>
      </c>
      <c r="AN213" s="169">
        <f>'Earnings Model (adjusted)'!AN213-'Earnings Model'!AN213</f>
        <v>0</v>
      </c>
      <c r="AO213" s="169">
        <f>'Earnings Model (adjusted)'!AO213-'Earnings Model'!AO213</f>
        <v>0</v>
      </c>
      <c r="AP213" s="169">
        <f>'Earnings Model (adjusted)'!AP213-'Earnings Model'!AP213</f>
        <v>0</v>
      </c>
      <c r="AQ213" s="169">
        <f>'Earnings Model (adjusted)'!AQ213-'Earnings Model'!AQ213</f>
        <v>0</v>
      </c>
    </row>
    <row r="214" spans="1:43" outlineLevel="1" x14ac:dyDescent="0.25">
      <c r="A214" s="372"/>
      <c r="B214" s="547" t="s">
        <v>218</v>
      </c>
      <c r="C214" s="229"/>
      <c r="D214" s="81">
        <v>6823.7</v>
      </c>
      <c r="E214" s="81">
        <v>6761.9</v>
      </c>
      <c r="F214" s="81">
        <v>6717.9</v>
      </c>
      <c r="G214" s="81">
        <v>6744.4</v>
      </c>
      <c r="H214" s="82">
        <f>G214</f>
        <v>6744.4</v>
      </c>
      <c r="I214" s="81">
        <v>6748.8</v>
      </c>
      <c r="J214" s="81">
        <v>6685.5</v>
      </c>
      <c r="K214" s="81">
        <v>6642.6</v>
      </c>
      <c r="L214" s="81">
        <v>6598.5</v>
      </c>
      <c r="M214" s="82">
        <f>L214</f>
        <v>6598.5</v>
      </c>
      <c r="N214" s="81">
        <v>6597.7</v>
      </c>
      <c r="O214" s="81">
        <v>6532.1</v>
      </c>
      <c r="P214" s="81">
        <v>6491.4</v>
      </c>
      <c r="Q214" s="169">
        <f>'Earnings Model (adjusted)'!Q214-'Earnings Model'!Q214</f>
        <v>0</v>
      </c>
      <c r="R214" s="169">
        <f>'Earnings Model (adjusted)'!R214-'Earnings Model'!R214</f>
        <v>0</v>
      </c>
      <c r="S214" s="169">
        <f>'Earnings Model (adjusted)'!S214-'Earnings Model'!S214</f>
        <v>0</v>
      </c>
      <c r="T214" s="169">
        <f>'Earnings Model (adjusted)'!T214-'Earnings Model'!T214</f>
        <v>0</v>
      </c>
      <c r="U214" s="169">
        <f>'Earnings Model (adjusted)'!U214-'Earnings Model'!U214</f>
        <v>0</v>
      </c>
      <c r="V214" s="169">
        <f>'Earnings Model (adjusted)'!V214-'Earnings Model'!V214</f>
        <v>0</v>
      </c>
      <c r="W214" s="169">
        <f>'Earnings Model (adjusted)'!W214-'Earnings Model'!W214</f>
        <v>0</v>
      </c>
      <c r="X214" s="169">
        <f>'Earnings Model (adjusted)'!X214-'Earnings Model'!X214</f>
        <v>0</v>
      </c>
      <c r="Y214" s="169">
        <f>'Earnings Model (adjusted)'!Y214-'Earnings Model'!Y214</f>
        <v>0</v>
      </c>
      <c r="Z214" s="169">
        <f>'Earnings Model (adjusted)'!Z214-'Earnings Model'!Z214</f>
        <v>0</v>
      </c>
      <c r="AA214" s="169">
        <f>'Earnings Model (adjusted)'!AA214-'Earnings Model'!AA214</f>
        <v>0</v>
      </c>
      <c r="AB214" s="169">
        <f>'Earnings Model (adjusted)'!AB214-'Earnings Model'!AB214</f>
        <v>0</v>
      </c>
      <c r="AC214" s="169">
        <f>'Earnings Model (adjusted)'!AC214-'Earnings Model'!AC214</f>
        <v>0</v>
      </c>
      <c r="AD214" s="169">
        <f>'Earnings Model (adjusted)'!AD214-'Earnings Model'!AD214</f>
        <v>0</v>
      </c>
      <c r="AE214" s="169">
        <f>'Earnings Model (adjusted)'!AE214-'Earnings Model'!AE214</f>
        <v>0</v>
      </c>
      <c r="AF214" s="169">
        <f>'Earnings Model (adjusted)'!AF214-'Earnings Model'!AF214</f>
        <v>0</v>
      </c>
      <c r="AG214" s="169">
        <f>'Earnings Model (adjusted)'!AG214-'Earnings Model'!AG214</f>
        <v>0</v>
      </c>
      <c r="AH214" s="169">
        <f>'Earnings Model (adjusted)'!AH214-'Earnings Model'!AH214</f>
        <v>0</v>
      </c>
      <c r="AI214" s="169">
        <f>'Earnings Model (adjusted)'!AI214-'Earnings Model'!AI214</f>
        <v>0</v>
      </c>
      <c r="AJ214" s="169">
        <f>'Earnings Model (adjusted)'!AJ214-'Earnings Model'!AJ214</f>
        <v>0</v>
      </c>
      <c r="AK214" s="169">
        <f>'Earnings Model (adjusted)'!AK214-'Earnings Model'!AK214</f>
        <v>0</v>
      </c>
      <c r="AL214" s="169">
        <f>'Earnings Model (adjusted)'!AL214-'Earnings Model'!AL214</f>
        <v>0</v>
      </c>
      <c r="AM214" s="169">
        <f>'Earnings Model (adjusted)'!AM214-'Earnings Model'!AM214</f>
        <v>0</v>
      </c>
      <c r="AN214" s="169">
        <f>'Earnings Model (adjusted)'!AN214-'Earnings Model'!AN214</f>
        <v>0</v>
      </c>
      <c r="AO214" s="169">
        <f>'Earnings Model (adjusted)'!AO214-'Earnings Model'!AO214</f>
        <v>0</v>
      </c>
      <c r="AP214" s="169">
        <f>'Earnings Model (adjusted)'!AP214-'Earnings Model'!AP214</f>
        <v>0</v>
      </c>
      <c r="AQ214" s="169">
        <f>'Earnings Model (adjusted)'!AQ214-'Earnings Model'!AQ214</f>
        <v>0</v>
      </c>
    </row>
    <row r="215" spans="1:43" ht="15.75" customHeight="1" outlineLevel="1" x14ac:dyDescent="0.4">
      <c r="A215" s="372"/>
      <c r="B215" s="619" t="s">
        <v>210</v>
      </c>
      <c r="C215" s="620"/>
      <c r="D215" s="248">
        <v>1478.2</v>
      </c>
      <c r="E215" s="248">
        <v>1500.3</v>
      </c>
      <c r="F215" s="248">
        <v>1440.6</v>
      </c>
      <c r="G215" s="248">
        <v>1370.5</v>
      </c>
      <c r="H215" s="241">
        <f t="shared" si="128"/>
        <v>1370.5</v>
      </c>
      <c r="I215" s="248">
        <v>701.2</v>
      </c>
      <c r="J215" s="248">
        <v>751.4</v>
      </c>
      <c r="K215" s="248">
        <v>821.1</v>
      </c>
      <c r="L215" s="248">
        <v>907.3</v>
      </c>
      <c r="M215" s="241">
        <f t="shared" si="129"/>
        <v>907.3</v>
      </c>
      <c r="N215" s="248">
        <v>962.8</v>
      </c>
      <c r="O215" s="248">
        <v>774.8</v>
      </c>
      <c r="P215" s="248">
        <v>762.9</v>
      </c>
      <c r="Q215" s="169">
        <f>'Earnings Model (adjusted)'!Q215-'Earnings Model'!Q215</f>
        <v>0</v>
      </c>
      <c r="R215" s="169">
        <f>'Earnings Model (adjusted)'!R215-'Earnings Model'!R215</f>
        <v>0</v>
      </c>
      <c r="S215" s="169">
        <f>'Earnings Model (adjusted)'!S215-'Earnings Model'!S215</f>
        <v>0</v>
      </c>
      <c r="T215" s="169">
        <f>'Earnings Model (adjusted)'!T215-'Earnings Model'!T215</f>
        <v>0</v>
      </c>
      <c r="U215" s="169">
        <f>'Earnings Model (adjusted)'!U215-'Earnings Model'!U215</f>
        <v>0</v>
      </c>
      <c r="V215" s="169">
        <f>'Earnings Model (adjusted)'!V215-'Earnings Model'!V215</f>
        <v>0</v>
      </c>
      <c r="W215" s="169">
        <f>'Earnings Model (adjusted)'!W215-'Earnings Model'!W215</f>
        <v>0</v>
      </c>
      <c r="X215" s="169">
        <f>'Earnings Model (adjusted)'!X215-'Earnings Model'!X215</f>
        <v>0</v>
      </c>
      <c r="Y215" s="169">
        <f>'Earnings Model (adjusted)'!Y215-'Earnings Model'!Y215</f>
        <v>0</v>
      </c>
      <c r="Z215" s="169">
        <f>'Earnings Model (adjusted)'!Z215-'Earnings Model'!Z215</f>
        <v>0</v>
      </c>
      <c r="AA215" s="169">
        <f>'Earnings Model (adjusted)'!AA215-'Earnings Model'!AA215</f>
        <v>0</v>
      </c>
      <c r="AB215" s="169">
        <f>'Earnings Model (adjusted)'!AB215-'Earnings Model'!AB215</f>
        <v>0</v>
      </c>
      <c r="AC215" s="169">
        <f>'Earnings Model (adjusted)'!AC215-'Earnings Model'!AC215</f>
        <v>0</v>
      </c>
      <c r="AD215" s="169">
        <f>'Earnings Model (adjusted)'!AD215-'Earnings Model'!AD215</f>
        <v>0</v>
      </c>
      <c r="AE215" s="169">
        <f>'Earnings Model (adjusted)'!AE215-'Earnings Model'!AE215</f>
        <v>0</v>
      </c>
      <c r="AF215" s="169">
        <f>'Earnings Model (adjusted)'!AF215-'Earnings Model'!AF215</f>
        <v>0</v>
      </c>
      <c r="AG215" s="169">
        <f>'Earnings Model (adjusted)'!AG215-'Earnings Model'!AG215</f>
        <v>0</v>
      </c>
      <c r="AH215" s="169">
        <f>'Earnings Model (adjusted)'!AH215-'Earnings Model'!AH215</f>
        <v>0</v>
      </c>
      <c r="AI215" s="169">
        <f>'Earnings Model (adjusted)'!AI215-'Earnings Model'!AI215</f>
        <v>0</v>
      </c>
      <c r="AJ215" s="169">
        <f>'Earnings Model (adjusted)'!AJ215-'Earnings Model'!AJ215</f>
        <v>0</v>
      </c>
      <c r="AK215" s="169">
        <f>'Earnings Model (adjusted)'!AK215-'Earnings Model'!AK215</f>
        <v>0</v>
      </c>
      <c r="AL215" s="169">
        <f>'Earnings Model (adjusted)'!AL215-'Earnings Model'!AL215</f>
        <v>0</v>
      </c>
      <c r="AM215" s="169">
        <f>'Earnings Model (adjusted)'!AM215-'Earnings Model'!AM215</f>
        <v>0</v>
      </c>
      <c r="AN215" s="169">
        <f>'Earnings Model (adjusted)'!AN215-'Earnings Model'!AN215</f>
        <v>0</v>
      </c>
      <c r="AO215" s="169">
        <f>'Earnings Model (adjusted)'!AO215-'Earnings Model'!AO215</f>
        <v>0</v>
      </c>
      <c r="AP215" s="169">
        <f>'Earnings Model (adjusted)'!AP215-'Earnings Model'!AP215</f>
        <v>0</v>
      </c>
      <c r="AQ215" s="169">
        <f>'Earnings Model (adjusted)'!AQ215-'Earnings Model'!AQ215</f>
        <v>0</v>
      </c>
    </row>
    <row r="216" spans="1:43" outlineLevel="1" x14ac:dyDescent="0.25">
      <c r="A216" s="372"/>
      <c r="B216" s="621" t="s">
        <v>9</v>
      </c>
      <c r="C216" s="622"/>
      <c r="D216" s="80">
        <f t="shared" ref="D216" si="132">SUM(D211:D215)</f>
        <v>22860.100000000002</v>
      </c>
      <c r="E216" s="80">
        <f>SUM(E211:E215)</f>
        <v>22677.1</v>
      </c>
      <c r="F216" s="80">
        <f>SUM(F211:F215)</f>
        <v>25213.4</v>
      </c>
      <c r="G216" s="80">
        <f>SUM(G211:G215)</f>
        <v>25450.6</v>
      </c>
      <c r="H216" s="242">
        <f t="shared" ref="H216" si="133">SUM(H211:H215)</f>
        <v>25450.6</v>
      </c>
      <c r="I216" s="80">
        <f>SUM(I211:I215)</f>
        <v>34490.400000000001</v>
      </c>
      <c r="J216" s="80">
        <f>SUM(J211:J215)</f>
        <v>35011.800000000003</v>
      </c>
      <c r="K216" s="80">
        <f>SUM(K211:K215)</f>
        <v>37764.899999999994</v>
      </c>
      <c r="L216" s="80">
        <f>SUM(L211:L215)</f>
        <v>37173.900000000009</v>
      </c>
      <c r="M216" s="242">
        <f t="shared" ref="M216" si="134">SUM(M211:M215)</f>
        <v>37173.900000000009</v>
      </c>
      <c r="N216" s="80">
        <f>SUM(N211:N215)</f>
        <v>37872.400000000001</v>
      </c>
      <c r="O216" s="80">
        <f>SUM(O211:O215)</f>
        <v>36020</v>
      </c>
      <c r="P216" s="80">
        <f>SUM(P211:P215)</f>
        <v>36271.1</v>
      </c>
      <c r="Q216" s="169">
        <f>'Earnings Model (adjusted)'!Q216-'Earnings Model'!Q216</f>
        <v>-9.6789670458747423</v>
      </c>
      <c r="R216" s="169">
        <f>'Earnings Model (adjusted)'!R216-'Earnings Model'!R216</f>
        <v>-9.6789670458747423</v>
      </c>
      <c r="S216" s="169">
        <f>'Earnings Model (adjusted)'!S216-'Earnings Model'!S216</f>
        <v>-10.389828417653916</v>
      </c>
      <c r="T216" s="169">
        <f>'Earnings Model (adjusted)'!T216-'Earnings Model'!T216</f>
        <v>-9.8061008642980596</v>
      </c>
      <c r="U216" s="169">
        <f>'Earnings Model (adjusted)'!U216-'Earnings Model'!U216</f>
        <v>-18.962915254785912</v>
      </c>
      <c r="V216" s="169">
        <f>'Earnings Model (adjusted)'!V216-'Earnings Model'!V216</f>
        <v>-20.760035890591098</v>
      </c>
      <c r="W216" s="169">
        <f>'Earnings Model (adjusted)'!W216-'Earnings Model'!W216</f>
        <v>-20.760035890591098</v>
      </c>
      <c r="X216" s="169">
        <f>'Earnings Model (adjusted)'!X216-'Earnings Model'!X216</f>
        <v>-11.921251920721261</v>
      </c>
      <c r="Y216" s="169">
        <f>'Earnings Model (adjusted)'!Y216-'Earnings Model'!Y216</f>
        <v>-10.473820193466963</v>
      </c>
      <c r="Z216" s="169">
        <f>'Earnings Model (adjusted)'!Z216-'Earnings Model'!Z216</f>
        <v>-37.828698822362639</v>
      </c>
      <c r="AA216" s="169">
        <f>'Earnings Model (adjusted)'!AA216-'Earnings Model'!AA216</f>
        <v>-25.324986463274399</v>
      </c>
      <c r="AB216" s="169">
        <f>'Earnings Model (adjusted)'!AB216-'Earnings Model'!AB216</f>
        <v>-25.324986463274399</v>
      </c>
      <c r="AC216" s="169">
        <f>'Earnings Model (adjusted)'!AC216-'Earnings Model'!AC216</f>
        <v>7.2905992122687167</v>
      </c>
      <c r="AD216" s="169">
        <f>'Earnings Model (adjusted)'!AD216-'Earnings Model'!AD216</f>
        <v>8.9415114027942764</v>
      </c>
      <c r="AE216" s="169">
        <f>'Earnings Model (adjusted)'!AE216-'Earnings Model'!AE216</f>
        <v>-29.361166777853214</v>
      </c>
      <c r="AF216" s="169">
        <f>'Earnings Model (adjusted)'!AF216-'Earnings Model'!AF216</f>
        <v>-32.612519962254737</v>
      </c>
      <c r="AG216" s="169">
        <f>'Earnings Model (adjusted)'!AG216-'Earnings Model'!AG216</f>
        <v>-32.612519962254737</v>
      </c>
      <c r="AH216" s="169">
        <f>'Earnings Model (adjusted)'!AH216-'Earnings Model'!AH216</f>
        <v>18.110202549651149</v>
      </c>
      <c r="AI216" s="169">
        <f>'Earnings Model (adjusted)'!AI216-'Earnings Model'!AI216</f>
        <v>20.149761189855781</v>
      </c>
      <c r="AJ216" s="169">
        <f>'Earnings Model (adjusted)'!AJ216-'Earnings Model'!AJ216</f>
        <v>-33.209607925382443</v>
      </c>
      <c r="AK216" s="169">
        <f>'Earnings Model (adjusted)'!AK216-'Earnings Model'!AK216</f>
        <v>-45.169227385227714</v>
      </c>
      <c r="AL216" s="169">
        <f>'Earnings Model (adjusted)'!AL216-'Earnings Model'!AL216</f>
        <v>-45.169227385227714</v>
      </c>
      <c r="AM216" s="169">
        <f>'Earnings Model (adjusted)'!AM216-'Earnings Model'!AM216</f>
        <v>26.064884509367403</v>
      </c>
      <c r="AN216" s="169">
        <f>'Earnings Model (adjusted)'!AN216-'Earnings Model'!AN216</f>
        <v>28.449077795747144</v>
      </c>
      <c r="AO216" s="169">
        <f>'Earnings Model (adjusted)'!AO216-'Earnings Model'!AO216</f>
        <v>-37.426050293921435</v>
      </c>
      <c r="AP216" s="169">
        <f>'Earnings Model (adjusted)'!AP216-'Earnings Model'!AP216</f>
        <v>-50.148849159384554</v>
      </c>
      <c r="AQ216" s="169">
        <f>'Earnings Model (adjusted)'!AQ216-'Earnings Model'!AQ216</f>
        <v>-50.148849159384554</v>
      </c>
    </row>
    <row r="217" spans="1:43" ht="18" x14ac:dyDescent="0.4">
      <c r="A217" s="254"/>
      <c r="B217" s="565" t="s">
        <v>78</v>
      </c>
      <c r="C217" s="566"/>
      <c r="D217" s="32" t="s">
        <v>119</v>
      </c>
      <c r="E217" s="32" t="s">
        <v>243</v>
      </c>
      <c r="F217" s="32" t="s">
        <v>247</v>
      </c>
      <c r="G217" s="32" t="s">
        <v>257</v>
      </c>
      <c r="H217" s="86" t="s">
        <v>258</v>
      </c>
      <c r="I217" s="32" t="s">
        <v>259</v>
      </c>
      <c r="J217" s="32" t="s">
        <v>260</v>
      </c>
      <c r="K217" s="32" t="s">
        <v>261</v>
      </c>
      <c r="L217" s="32" t="s">
        <v>322</v>
      </c>
      <c r="M217" s="86" t="s">
        <v>333</v>
      </c>
      <c r="N217" s="32" t="s">
        <v>339</v>
      </c>
      <c r="O217" s="32" t="s">
        <v>347</v>
      </c>
      <c r="P217" s="32" t="s">
        <v>349</v>
      </c>
      <c r="Q217" s="169" t="e">
        <f>'Earnings Model (adjusted)'!Q217-'Earnings Model'!Q217</f>
        <v>#VALUE!</v>
      </c>
      <c r="R217" s="169" t="e">
        <f>'Earnings Model (adjusted)'!R217-'Earnings Model'!R217</f>
        <v>#VALUE!</v>
      </c>
      <c r="S217" s="169" t="e">
        <f>'Earnings Model (adjusted)'!S217-'Earnings Model'!S217</f>
        <v>#VALUE!</v>
      </c>
      <c r="T217" s="169" t="e">
        <f>'Earnings Model (adjusted)'!T217-'Earnings Model'!T217</f>
        <v>#VALUE!</v>
      </c>
      <c r="U217" s="169" t="e">
        <f>'Earnings Model (adjusted)'!U217-'Earnings Model'!U217</f>
        <v>#VALUE!</v>
      </c>
      <c r="V217" s="169" t="e">
        <f>'Earnings Model (adjusted)'!V217-'Earnings Model'!V217</f>
        <v>#VALUE!</v>
      </c>
      <c r="W217" s="169" t="e">
        <f>'Earnings Model (adjusted)'!W217-'Earnings Model'!W217</f>
        <v>#VALUE!</v>
      </c>
      <c r="X217" s="169" t="e">
        <f>'Earnings Model (adjusted)'!X217-'Earnings Model'!X217</f>
        <v>#VALUE!</v>
      </c>
      <c r="Y217" s="169" t="e">
        <f>'Earnings Model (adjusted)'!Y217-'Earnings Model'!Y217</f>
        <v>#VALUE!</v>
      </c>
      <c r="Z217" s="169" t="e">
        <f>'Earnings Model (adjusted)'!Z217-'Earnings Model'!Z217</f>
        <v>#VALUE!</v>
      </c>
      <c r="AA217" s="169" t="e">
        <f>'Earnings Model (adjusted)'!AA217-'Earnings Model'!AA217</f>
        <v>#VALUE!</v>
      </c>
      <c r="AB217" s="169" t="e">
        <f>'Earnings Model (adjusted)'!AB217-'Earnings Model'!AB217</f>
        <v>#VALUE!</v>
      </c>
      <c r="AC217" s="169" t="e">
        <f>'Earnings Model (adjusted)'!AC217-'Earnings Model'!AC217</f>
        <v>#VALUE!</v>
      </c>
      <c r="AD217" s="169" t="e">
        <f>'Earnings Model (adjusted)'!AD217-'Earnings Model'!AD217</f>
        <v>#VALUE!</v>
      </c>
      <c r="AE217" s="169" t="e">
        <f>'Earnings Model (adjusted)'!AE217-'Earnings Model'!AE217</f>
        <v>#VALUE!</v>
      </c>
      <c r="AF217" s="169" t="e">
        <f>'Earnings Model (adjusted)'!AF217-'Earnings Model'!AF217</f>
        <v>#VALUE!</v>
      </c>
      <c r="AG217" s="169" t="e">
        <f>'Earnings Model (adjusted)'!AG217-'Earnings Model'!AG217</f>
        <v>#VALUE!</v>
      </c>
      <c r="AH217" s="169" t="e">
        <f>'Earnings Model (adjusted)'!AH217-'Earnings Model'!AH217</f>
        <v>#VALUE!</v>
      </c>
      <c r="AI217" s="169" t="e">
        <f>'Earnings Model (adjusted)'!AI217-'Earnings Model'!AI217</f>
        <v>#VALUE!</v>
      </c>
      <c r="AJ217" s="169" t="e">
        <f>'Earnings Model (adjusted)'!AJ217-'Earnings Model'!AJ217</f>
        <v>#VALUE!</v>
      </c>
      <c r="AK217" s="169" t="e">
        <f>'Earnings Model (adjusted)'!AK217-'Earnings Model'!AK217</f>
        <v>#VALUE!</v>
      </c>
      <c r="AL217" s="169" t="e">
        <f>'Earnings Model (adjusted)'!AL217-'Earnings Model'!AL217</f>
        <v>#VALUE!</v>
      </c>
      <c r="AM217" s="169" t="e">
        <f>'Earnings Model (adjusted)'!AM217-'Earnings Model'!AM217</f>
        <v>#VALUE!</v>
      </c>
      <c r="AN217" s="169" t="e">
        <f>'Earnings Model (adjusted)'!AN217-'Earnings Model'!AN217</f>
        <v>#VALUE!</v>
      </c>
      <c r="AO217" s="169" t="e">
        <f>'Earnings Model (adjusted)'!AO217-'Earnings Model'!AO217</f>
        <v>#VALUE!</v>
      </c>
      <c r="AP217" s="169" t="e">
        <f>'Earnings Model (adjusted)'!AP217-'Earnings Model'!AP217</f>
        <v>#VALUE!</v>
      </c>
      <c r="AQ217" s="169" t="e">
        <f>'Earnings Model (adjusted)'!AQ217-'Earnings Model'!AQ217</f>
        <v>#VALUE!</v>
      </c>
    </row>
    <row r="218" spans="1:43" outlineLevel="1" x14ac:dyDescent="0.25">
      <c r="A218" s="254"/>
      <c r="B218" s="595" t="s">
        <v>211</v>
      </c>
      <c r="C218" s="596"/>
      <c r="D218" s="34">
        <f>1.2+41.1</f>
        <v>42.300000000000004</v>
      </c>
      <c r="E218" s="34">
        <f>1.2+41.1</f>
        <v>42.300000000000004</v>
      </c>
      <c r="F218" s="34">
        <f>1.2+41.1</f>
        <v>42.300000000000004</v>
      </c>
      <c r="G218" s="34">
        <f>1.2+41.1</f>
        <v>42.300000000000004</v>
      </c>
      <c r="H218" s="35">
        <f>G218</f>
        <v>42.300000000000004</v>
      </c>
      <c r="I218" s="34">
        <f>1.2+41.1</f>
        <v>42.300000000000004</v>
      </c>
      <c r="J218" s="34">
        <f>1.2+41.1</f>
        <v>42.300000000000004</v>
      </c>
      <c r="K218" s="34">
        <f>1.2+115.4</f>
        <v>116.60000000000001</v>
      </c>
      <c r="L218" s="34">
        <f>1.2+373.9</f>
        <v>375.09999999999997</v>
      </c>
      <c r="M218" s="35">
        <f>L218</f>
        <v>375.09999999999997</v>
      </c>
      <c r="N218" s="34">
        <f>1.2+488.6</f>
        <v>489.8</v>
      </c>
      <c r="O218" s="34">
        <f>1.2+595.4</f>
        <v>596.6</v>
      </c>
      <c r="P218" s="34">
        <f>1.2+729.3</f>
        <v>730.5</v>
      </c>
      <c r="Q218" s="169">
        <f>'Earnings Model (adjusted)'!Q218-'Earnings Model'!Q218</f>
        <v>0</v>
      </c>
      <c r="R218" s="169">
        <f>'Earnings Model (adjusted)'!R218-'Earnings Model'!R218</f>
        <v>0</v>
      </c>
      <c r="S218" s="169">
        <f>'Earnings Model (adjusted)'!S218-'Earnings Model'!S218</f>
        <v>0.9598543427111963</v>
      </c>
      <c r="T218" s="169">
        <f>'Earnings Model (adjusted)'!T218-'Earnings Model'!T218</f>
        <v>1.8428708903769575</v>
      </c>
      <c r="U218" s="169">
        <f>'Earnings Model (adjusted)'!U218-'Earnings Model'!U218</f>
        <v>2.3568741853684969</v>
      </c>
      <c r="V218" s="169">
        <f>'Earnings Model (adjusted)'!V218-'Earnings Model'!V218</f>
        <v>2.8781550817452626</v>
      </c>
      <c r="W218" s="169">
        <f>'Earnings Model (adjusted)'!W218-'Earnings Model'!W218</f>
        <v>2.8781550817452626</v>
      </c>
      <c r="X218" s="169">
        <f>'Earnings Model (adjusted)'!X218-'Earnings Model'!X218</f>
        <v>4.1042041076191254</v>
      </c>
      <c r="Y218" s="169">
        <f>'Earnings Model (adjusted)'!Y218-'Earnings Model'!Y218</f>
        <v>5.3165690233513487</v>
      </c>
      <c r="Z218" s="169">
        <f>'Earnings Model (adjusted)'!Z218-'Earnings Model'!Z218</f>
        <v>5.8729190921510508</v>
      </c>
      <c r="AA218" s="169">
        <f>'Earnings Model (adjusted)'!AA218-'Earnings Model'!AA218</f>
        <v>6.4261322005520469</v>
      </c>
      <c r="AB218" s="169">
        <f>'Earnings Model (adjusted)'!AB218-'Earnings Model'!AB218</f>
        <v>6.4261322005520469</v>
      </c>
      <c r="AC218" s="169">
        <f>'Earnings Model (adjusted)'!AC218-'Earnings Model'!AC218</f>
        <v>8.0161618049814933</v>
      </c>
      <c r="AD218" s="169">
        <f>'Earnings Model (adjusted)'!AD218-'Earnings Model'!AD218</f>
        <v>9.604668242239768</v>
      </c>
      <c r="AE218" s="169">
        <f>'Earnings Model (adjusted)'!AE218-'Earnings Model'!AE218</f>
        <v>10.204145972589686</v>
      </c>
      <c r="AF218" s="169">
        <f>'Earnings Model (adjusted)'!AF218-'Earnings Model'!AF218</f>
        <v>10.488662905929004</v>
      </c>
      <c r="AG218" s="169">
        <f>'Earnings Model (adjusted)'!AG218-'Earnings Model'!AG218</f>
        <v>10.488662905929004</v>
      </c>
      <c r="AH218" s="169">
        <f>'Earnings Model (adjusted)'!AH218-'Earnings Model'!AH218</f>
        <v>12.494870928604541</v>
      </c>
      <c r="AI218" s="169">
        <f>'Earnings Model (adjusted)'!AI218-'Earnings Model'!AI218</f>
        <v>14.501190598427911</v>
      </c>
      <c r="AJ218" s="169">
        <f>'Earnings Model (adjusted)'!AJ218-'Earnings Model'!AJ218</f>
        <v>15.142983953997827</v>
      </c>
      <c r="AK218" s="169">
        <f>'Earnings Model (adjusted)'!AK218-'Earnings Model'!AK218</f>
        <v>15.447429947012552</v>
      </c>
      <c r="AL218" s="169">
        <f>'Earnings Model (adjusted)'!AL218-'Earnings Model'!AL218</f>
        <v>15.447429947012552</v>
      </c>
      <c r="AM218" s="169">
        <f>'Earnings Model (adjusted)'!AM218-'Earnings Model'!AM218</f>
        <v>17.594203990111055</v>
      </c>
      <c r="AN218" s="169">
        <f>'Earnings Model (adjusted)'!AN218-'Earnings Model'!AN218</f>
        <v>19.740932623518347</v>
      </c>
      <c r="AO218" s="169">
        <f>'Earnings Model (adjusted)'!AO218-'Earnings Model'!AO218</f>
        <v>20.42741436712322</v>
      </c>
      <c r="AP218" s="169">
        <f>'Earnings Model (adjusted)'!AP218-'Earnings Model'!AP218</f>
        <v>20.752988597442709</v>
      </c>
      <c r="AQ218" s="169">
        <f>'Earnings Model (adjusted)'!AQ218-'Earnings Model'!AQ218</f>
        <v>20.752988597442709</v>
      </c>
    </row>
    <row r="219" spans="1:43" outlineLevel="1" x14ac:dyDescent="0.25">
      <c r="A219" s="254"/>
      <c r="B219" s="615" t="s">
        <v>38</v>
      </c>
      <c r="C219" s="616"/>
      <c r="D219" s="34">
        <v>-2584</v>
      </c>
      <c r="E219" s="256">
        <v>-4807.7</v>
      </c>
      <c r="F219" s="256">
        <v>-4013.9</v>
      </c>
      <c r="G219" s="256">
        <v>-5771.2</v>
      </c>
      <c r="H219" s="449">
        <f>G219</f>
        <v>-5771.2</v>
      </c>
      <c r="I219" s="256">
        <v>-6414.8</v>
      </c>
      <c r="J219" s="256">
        <v>-7050.6</v>
      </c>
      <c r="K219" s="256">
        <v>-8208.2999999999993</v>
      </c>
      <c r="L219" s="256">
        <v>-7815.6</v>
      </c>
      <c r="M219" s="449">
        <f>L219</f>
        <v>-7815.6</v>
      </c>
      <c r="N219" s="256">
        <v>-8253.6</v>
      </c>
      <c r="O219" s="256">
        <v>-8124.3</v>
      </c>
      <c r="P219" s="256">
        <v>-7501.6</v>
      </c>
      <c r="Q219" s="169">
        <f>'Earnings Model (adjusted)'!Q219-'Earnings Model'!Q219</f>
        <v>36.526254633705321</v>
      </c>
      <c r="R219" s="169">
        <f>'Earnings Model (adjusted)'!R219-'Earnings Model'!R219</f>
        <v>36.526254633705321</v>
      </c>
      <c r="S219" s="169">
        <f>'Earnings Model (adjusted)'!S219-'Earnings Model'!S219</f>
        <v>122.38115123125772</v>
      </c>
      <c r="T219" s="169">
        <f>'Earnings Model (adjusted)'!T219-'Earnings Model'!T219</f>
        <v>205.10513675113543</v>
      </c>
      <c r="U219" s="169">
        <f>'Earnings Model (adjusted)'!U219-'Earnings Model'!U219</f>
        <v>294.60207820650976</v>
      </c>
      <c r="V219" s="169">
        <f>'Earnings Model (adjusted)'!V219-'Earnings Model'!V219</f>
        <v>358.4502381980883</v>
      </c>
      <c r="W219" s="169">
        <f>'Earnings Model (adjusted)'!W219-'Earnings Model'!W219</f>
        <v>358.4502381980883</v>
      </c>
      <c r="X219" s="169">
        <f>'Earnings Model (adjusted)'!X219-'Earnings Model'!X219</f>
        <v>444.62118260611896</v>
      </c>
      <c r="Y219" s="169">
        <f>'Earnings Model (adjusted)'!Y219-'Earnings Model'!Y219</f>
        <v>529.35015015832232</v>
      </c>
      <c r="Z219" s="169">
        <f>'Earnings Model (adjusted)'!Z219-'Earnings Model'!Z219</f>
        <v>613.48373517606342</v>
      </c>
      <c r="AA219" s="169">
        <f>'Earnings Model (adjusted)'!AA219-'Earnings Model'!AA219</f>
        <v>696.04557202798151</v>
      </c>
      <c r="AB219" s="169">
        <f>'Earnings Model (adjusted)'!AB219-'Earnings Model'!AB219</f>
        <v>696.04557202798151</v>
      </c>
      <c r="AC219" s="169">
        <f>'Earnings Model (adjusted)'!AC219-'Earnings Model'!AC219</f>
        <v>785.52206718150865</v>
      </c>
      <c r="AD219" s="169">
        <f>'Earnings Model (adjusted)'!AD219-'Earnings Model'!AD219</f>
        <v>873.22619592874707</v>
      </c>
      <c r="AE219" s="169">
        <f>'Earnings Model (adjusted)'!AE219-'Earnings Model'!AE219</f>
        <v>954.98647717817494</v>
      </c>
      <c r="AF219" s="169">
        <f>'Earnings Model (adjusted)'!AF219-'Earnings Model'!AF219</f>
        <v>1030.3000891096135</v>
      </c>
      <c r="AG219" s="169">
        <f>'Earnings Model (adjusted)'!AG219-'Earnings Model'!AG219</f>
        <v>1030.3000891096135</v>
      </c>
      <c r="AH219" s="169">
        <f>'Earnings Model (adjusted)'!AH219-'Earnings Model'!AH219</f>
        <v>1139.3711789208419</v>
      </c>
      <c r="AI219" s="169">
        <f>'Earnings Model (adjusted)'!AI219-'Earnings Model'!AI219</f>
        <v>1246.1543588364193</v>
      </c>
      <c r="AJ219" s="169">
        <f>'Earnings Model (adjusted)'!AJ219-'Earnings Model'!AJ219</f>
        <v>1342.8959939258766</v>
      </c>
      <c r="AK219" s="169">
        <f>'Earnings Model (adjusted)'!AK219-'Earnings Model'!AK219</f>
        <v>1432.6074718884765</v>
      </c>
      <c r="AL219" s="169">
        <f>'Earnings Model (adjusted)'!AL219-'Earnings Model'!AL219</f>
        <v>1432.6074718884765</v>
      </c>
      <c r="AM219" s="169">
        <f>'Earnings Model (adjusted)'!AM219-'Earnings Model'!AM219</f>
        <v>1546.0237869683244</v>
      </c>
      <c r="AN219" s="169">
        <f>'Earnings Model (adjusted)'!AN219-'Earnings Model'!AN219</f>
        <v>1657.014006538577</v>
      </c>
      <c r="AO219" s="169">
        <f>'Earnings Model (adjusted)'!AO219-'Earnings Model'!AO219</f>
        <v>1756.8797134925449</v>
      </c>
      <c r="AP219" s="169">
        <f>'Earnings Model (adjusted)'!AP219-'Earnings Model'!AP219</f>
        <v>1849.282386526027</v>
      </c>
      <c r="AQ219" s="169">
        <f>'Earnings Model (adjusted)'!AQ219-'Earnings Model'!AQ219</f>
        <v>1849.282386526027</v>
      </c>
    </row>
    <row r="220" spans="1:43" outlineLevel="1" x14ac:dyDescent="0.25">
      <c r="A220" s="254"/>
      <c r="B220" s="615" t="s">
        <v>114</v>
      </c>
      <c r="C220" s="616"/>
      <c r="D220" s="34">
        <v>-343.2</v>
      </c>
      <c r="E220" s="258">
        <v>-271.5</v>
      </c>
      <c r="F220" s="256">
        <v>-349</v>
      </c>
      <c r="G220" s="256">
        <v>-503.3</v>
      </c>
      <c r="H220" s="449">
        <f>+G220</f>
        <v>-503.3</v>
      </c>
      <c r="I220" s="256">
        <v>-387.4</v>
      </c>
      <c r="J220" s="256">
        <v>-521.79999999999995</v>
      </c>
      <c r="K220" s="256">
        <v>-529.9</v>
      </c>
      <c r="L220" s="256">
        <v>-364.6</v>
      </c>
      <c r="M220" s="449">
        <f>+L220</f>
        <v>-364.6</v>
      </c>
      <c r="N220" s="256">
        <v>-145.9</v>
      </c>
      <c r="O220" s="256">
        <v>-126.3</v>
      </c>
      <c r="P220" s="256">
        <v>-29.7</v>
      </c>
      <c r="Q220" s="169">
        <f>'Earnings Model (adjusted)'!Q220-'Earnings Model'!Q220</f>
        <v>0</v>
      </c>
      <c r="R220" s="169">
        <f>'Earnings Model (adjusted)'!R220-'Earnings Model'!R220</f>
        <v>0</v>
      </c>
      <c r="S220" s="169">
        <f>'Earnings Model (adjusted)'!S220-'Earnings Model'!S220</f>
        <v>0</v>
      </c>
      <c r="T220" s="169">
        <f>'Earnings Model (adjusted)'!T220-'Earnings Model'!T220</f>
        <v>0</v>
      </c>
      <c r="U220" s="169">
        <f>'Earnings Model (adjusted)'!U220-'Earnings Model'!U220</f>
        <v>0</v>
      </c>
      <c r="V220" s="169">
        <f>'Earnings Model (adjusted)'!V220-'Earnings Model'!V220</f>
        <v>0</v>
      </c>
      <c r="W220" s="169">
        <f>'Earnings Model (adjusted)'!W220-'Earnings Model'!W220</f>
        <v>0</v>
      </c>
      <c r="X220" s="169">
        <f>'Earnings Model (adjusted)'!X220-'Earnings Model'!X220</f>
        <v>0</v>
      </c>
      <c r="Y220" s="169">
        <f>'Earnings Model (adjusted)'!Y220-'Earnings Model'!Y220</f>
        <v>0</v>
      </c>
      <c r="Z220" s="169">
        <f>'Earnings Model (adjusted)'!Z220-'Earnings Model'!Z220</f>
        <v>0</v>
      </c>
      <c r="AA220" s="169">
        <f>'Earnings Model (adjusted)'!AA220-'Earnings Model'!AA220</f>
        <v>0</v>
      </c>
      <c r="AB220" s="169">
        <f>'Earnings Model (adjusted)'!AB220-'Earnings Model'!AB220</f>
        <v>0</v>
      </c>
      <c r="AC220" s="169">
        <f>'Earnings Model (adjusted)'!AC220-'Earnings Model'!AC220</f>
        <v>0</v>
      </c>
      <c r="AD220" s="169">
        <f>'Earnings Model (adjusted)'!AD220-'Earnings Model'!AD220</f>
        <v>0</v>
      </c>
      <c r="AE220" s="169">
        <f>'Earnings Model (adjusted)'!AE220-'Earnings Model'!AE220</f>
        <v>0</v>
      </c>
      <c r="AF220" s="169">
        <f>'Earnings Model (adjusted)'!AF220-'Earnings Model'!AF220</f>
        <v>0</v>
      </c>
      <c r="AG220" s="169">
        <f>'Earnings Model (adjusted)'!AG220-'Earnings Model'!AG220</f>
        <v>0</v>
      </c>
      <c r="AH220" s="169">
        <f>'Earnings Model (adjusted)'!AH220-'Earnings Model'!AH220</f>
        <v>0</v>
      </c>
      <c r="AI220" s="169">
        <f>'Earnings Model (adjusted)'!AI220-'Earnings Model'!AI220</f>
        <v>0</v>
      </c>
      <c r="AJ220" s="169">
        <f>'Earnings Model (adjusted)'!AJ220-'Earnings Model'!AJ220</f>
        <v>0</v>
      </c>
      <c r="AK220" s="169">
        <f>'Earnings Model (adjusted)'!AK220-'Earnings Model'!AK220</f>
        <v>0</v>
      </c>
      <c r="AL220" s="169">
        <f>'Earnings Model (adjusted)'!AL220-'Earnings Model'!AL220</f>
        <v>0</v>
      </c>
      <c r="AM220" s="169">
        <f>'Earnings Model (adjusted)'!AM220-'Earnings Model'!AM220</f>
        <v>0</v>
      </c>
      <c r="AN220" s="169">
        <f>'Earnings Model (adjusted)'!AN220-'Earnings Model'!AN220</f>
        <v>0</v>
      </c>
      <c r="AO220" s="169">
        <f>'Earnings Model (adjusted)'!AO220-'Earnings Model'!AO220</f>
        <v>0</v>
      </c>
      <c r="AP220" s="169">
        <f>'Earnings Model (adjusted)'!AP220-'Earnings Model'!AP220</f>
        <v>0</v>
      </c>
      <c r="AQ220" s="169">
        <f>'Earnings Model (adjusted)'!AQ220-'Earnings Model'!AQ220</f>
        <v>0</v>
      </c>
    </row>
    <row r="221" spans="1:43" ht="17.25" outlineLevel="1" x14ac:dyDescent="0.4">
      <c r="A221" s="254"/>
      <c r="B221" s="163" t="s">
        <v>212</v>
      </c>
      <c r="C221" s="164"/>
      <c r="D221" s="37">
        <v>6.1</v>
      </c>
      <c r="E221" s="270">
        <v>1.7</v>
      </c>
      <c r="F221" s="270">
        <v>1.6</v>
      </c>
      <c r="G221" s="270">
        <v>1.2</v>
      </c>
      <c r="H221" s="38">
        <f>+G221</f>
        <v>1.2</v>
      </c>
      <c r="I221" s="270">
        <v>0.8</v>
      </c>
      <c r="J221" s="270">
        <v>-2.8</v>
      </c>
      <c r="K221" s="270">
        <v>-2.7</v>
      </c>
      <c r="L221" s="270">
        <v>5.7</v>
      </c>
      <c r="M221" s="356">
        <f>+L221</f>
        <v>5.7</v>
      </c>
      <c r="N221" s="270">
        <v>5.7</v>
      </c>
      <c r="O221" s="270">
        <v>5.7</v>
      </c>
      <c r="P221" s="270">
        <v>6.5</v>
      </c>
      <c r="Q221" s="169">
        <f>'Earnings Model (adjusted)'!Q221-'Earnings Model'!Q221</f>
        <v>0</v>
      </c>
      <c r="R221" s="169">
        <f>'Earnings Model (adjusted)'!R221-'Earnings Model'!R221</f>
        <v>0</v>
      </c>
      <c r="S221" s="169">
        <f>'Earnings Model (adjusted)'!S221-'Earnings Model'!S221</f>
        <v>0</v>
      </c>
      <c r="T221" s="169">
        <f>'Earnings Model (adjusted)'!T221-'Earnings Model'!T221</f>
        <v>0</v>
      </c>
      <c r="U221" s="169">
        <f>'Earnings Model (adjusted)'!U221-'Earnings Model'!U221</f>
        <v>0</v>
      </c>
      <c r="V221" s="169">
        <f>'Earnings Model (adjusted)'!V221-'Earnings Model'!V221</f>
        <v>0</v>
      </c>
      <c r="W221" s="169">
        <f>'Earnings Model (adjusted)'!W221-'Earnings Model'!W221</f>
        <v>0</v>
      </c>
      <c r="X221" s="169">
        <f>'Earnings Model (adjusted)'!X221-'Earnings Model'!X221</f>
        <v>0</v>
      </c>
      <c r="Y221" s="169">
        <f>'Earnings Model (adjusted)'!Y221-'Earnings Model'!Y221</f>
        <v>0</v>
      </c>
      <c r="Z221" s="169">
        <f>'Earnings Model (adjusted)'!Z221-'Earnings Model'!Z221</f>
        <v>0</v>
      </c>
      <c r="AA221" s="169">
        <f>'Earnings Model (adjusted)'!AA221-'Earnings Model'!AA221</f>
        <v>0</v>
      </c>
      <c r="AB221" s="169">
        <f>'Earnings Model (adjusted)'!AB221-'Earnings Model'!AB221</f>
        <v>0</v>
      </c>
      <c r="AC221" s="169">
        <f>'Earnings Model (adjusted)'!AC221-'Earnings Model'!AC221</f>
        <v>0</v>
      </c>
      <c r="AD221" s="169">
        <f>'Earnings Model (adjusted)'!AD221-'Earnings Model'!AD221</f>
        <v>0</v>
      </c>
      <c r="AE221" s="169">
        <f>'Earnings Model (adjusted)'!AE221-'Earnings Model'!AE221</f>
        <v>0</v>
      </c>
      <c r="AF221" s="169">
        <f>'Earnings Model (adjusted)'!AF221-'Earnings Model'!AF221</f>
        <v>0</v>
      </c>
      <c r="AG221" s="169">
        <f>'Earnings Model (adjusted)'!AG221-'Earnings Model'!AG221</f>
        <v>0</v>
      </c>
      <c r="AH221" s="169">
        <f>'Earnings Model (adjusted)'!AH221-'Earnings Model'!AH221</f>
        <v>0</v>
      </c>
      <c r="AI221" s="169">
        <f>'Earnings Model (adjusted)'!AI221-'Earnings Model'!AI221</f>
        <v>0</v>
      </c>
      <c r="AJ221" s="169">
        <f>'Earnings Model (adjusted)'!AJ221-'Earnings Model'!AJ221</f>
        <v>0</v>
      </c>
      <c r="AK221" s="169">
        <f>'Earnings Model (adjusted)'!AK221-'Earnings Model'!AK221</f>
        <v>0</v>
      </c>
      <c r="AL221" s="169">
        <f>'Earnings Model (adjusted)'!AL221-'Earnings Model'!AL221</f>
        <v>0</v>
      </c>
      <c r="AM221" s="169">
        <f>'Earnings Model (adjusted)'!AM221-'Earnings Model'!AM221</f>
        <v>0</v>
      </c>
      <c r="AN221" s="169">
        <f>'Earnings Model (adjusted)'!AN221-'Earnings Model'!AN221</f>
        <v>0</v>
      </c>
      <c r="AO221" s="169">
        <f>'Earnings Model (adjusted)'!AO221-'Earnings Model'!AO221</f>
        <v>0</v>
      </c>
      <c r="AP221" s="169">
        <f>'Earnings Model (adjusted)'!AP221-'Earnings Model'!AP221</f>
        <v>0</v>
      </c>
      <c r="AQ221" s="169">
        <f>'Earnings Model (adjusted)'!AQ221-'Earnings Model'!AQ221</f>
        <v>0</v>
      </c>
    </row>
    <row r="222" spans="1:43" outlineLevel="1" x14ac:dyDescent="0.25">
      <c r="A222" s="254"/>
      <c r="B222" s="613" t="s">
        <v>39</v>
      </c>
      <c r="C222" s="614"/>
      <c r="D222" s="41">
        <f t="shared" ref="D222:P222" si="135">SUM(D218:D221)</f>
        <v>-2878.7999999999997</v>
      </c>
      <c r="E222" s="41">
        <f t="shared" si="135"/>
        <v>-5035.2</v>
      </c>
      <c r="F222" s="41">
        <f t="shared" si="135"/>
        <v>-4319</v>
      </c>
      <c r="G222" s="41">
        <f t="shared" si="135"/>
        <v>-6231</v>
      </c>
      <c r="H222" s="42">
        <f t="shared" si="135"/>
        <v>-6231</v>
      </c>
      <c r="I222" s="41">
        <f t="shared" si="135"/>
        <v>-6759.0999999999995</v>
      </c>
      <c r="J222" s="41">
        <f t="shared" si="135"/>
        <v>-7532.9000000000005</v>
      </c>
      <c r="K222" s="41">
        <f t="shared" si="135"/>
        <v>-8624.2999999999993</v>
      </c>
      <c r="L222" s="41">
        <f t="shared" si="135"/>
        <v>-7799.4000000000005</v>
      </c>
      <c r="M222" s="42">
        <f t="shared" si="135"/>
        <v>-7799.4000000000005</v>
      </c>
      <c r="N222" s="41">
        <f t="shared" si="135"/>
        <v>-7904</v>
      </c>
      <c r="O222" s="41">
        <f t="shared" si="135"/>
        <v>-7648.3</v>
      </c>
      <c r="P222" s="41">
        <f t="shared" si="135"/>
        <v>-6794.3</v>
      </c>
      <c r="Q222" s="169">
        <f>'Earnings Model (adjusted)'!Q222-'Earnings Model'!Q222</f>
        <v>36.526254633705321</v>
      </c>
      <c r="R222" s="169">
        <f>'Earnings Model (adjusted)'!R222-'Earnings Model'!R222</f>
        <v>36.526254633705321</v>
      </c>
      <c r="S222" s="169">
        <f>'Earnings Model (adjusted)'!S222-'Earnings Model'!S222</f>
        <v>123.34100557396869</v>
      </c>
      <c r="T222" s="169">
        <f>'Earnings Model (adjusted)'!T222-'Earnings Model'!T222</f>
        <v>206.94800764151205</v>
      </c>
      <c r="U222" s="169">
        <f>'Earnings Model (adjusted)'!U222-'Earnings Model'!U222</f>
        <v>296.95895239187757</v>
      </c>
      <c r="V222" s="169">
        <f>'Earnings Model (adjusted)'!V222-'Earnings Model'!V222</f>
        <v>361.32839327983311</v>
      </c>
      <c r="W222" s="169">
        <f>'Earnings Model (adjusted)'!W222-'Earnings Model'!W222</f>
        <v>361.32839327983311</v>
      </c>
      <c r="X222" s="169">
        <f>'Earnings Model (adjusted)'!X222-'Earnings Model'!X222</f>
        <v>448.72538671373786</v>
      </c>
      <c r="Y222" s="169">
        <f>'Earnings Model (adjusted)'!Y222-'Earnings Model'!Y222</f>
        <v>534.66671918167322</v>
      </c>
      <c r="Z222" s="169">
        <f>'Earnings Model (adjusted)'!Z222-'Earnings Model'!Z222</f>
        <v>619.35665426821379</v>
      </c>
      <c r="AA222" s="169">
        <f>'Earnings Model (adjusted)'!AA222-'Earnings Model'!AA222</f>
        <v>702.47170422853378</v>
      </c>
      <c r="AB222" s="169">
        <f>'Earnings Model (adjusted)'!AB222-'Earnings Model'!AB222</f>
        <v>702.47170422853378</v>
      </c>
      <c r="AC222" s="169">
        <f>'Earnings Model (adjusted)'!AC222-'Earnings Model'!AC222</f>
        <v>793.53822898649014</v>
      </c>
      <c r="AD222" s="169">
        <f>'Earnings Model (adjusted)'!AD222-'Earnings Model'!AD222</f>
        <v>882.83086417098639</v>
      </c>
      <c r="AE222" s="169">
        <f>'Earnings Model (adjusted)'!AE222-'Earnings Model'!AE222</f>
        <v>965.19062315076462</v>
      </c>
      <c r="AF222" s="169">
        <f>'Earnings Model (adjusted)'!AF222-'Earnings Model'!AF222</f>
        <v>1040.7887520155427</v>
      </c>
      <c r="AG222" s="169">
        <f>'Earnings Model (adjusted)'!AG222-'Earnings Model'!AG222</f>
        <v>1040.7887520155427</v>
      </c>
      <c r="AH222" s="169">
        <f>'Earnings Model (adjusted)'!AH222-'Earnings Model'!AH222</f>
        <v>1151.8660498494462</v>
      </c>
      <c r="AI222" s="169">
        <f>'Earnings Model (adjusted)'!AI222-'Earnings Model'!AI222</f>
        <v>1260.655549434847</v>
      </c>
      <c r="AJ222" s="169">
        <f>'Earnings Model (adjusted)'!AJ222-'Earnings Model'!AJ222</f>
        <v>1358.0389778798744</v>
      </c>
      <c r="AK222" s="169">
        <f>'Earnings Model (adjusted)'!AK222-'Earnings Model'!AK222</f>
        <v>1448.0549018354891</v>
      </c>
      <c r="AL222" s="169">
        <f>'Earnings Model (adjusted)'!AL222-'Earnings Model'!AL222</f>
        <v>1448.0549018354891</v>
      </c>
      <c r="AM222" s="169">
        <f>'Earnings Model (adjusted)'!AM222-'Earnings Model'!AM222</f>
        <v>1563.6179909584355</v>
      </c>
      <c r="AN222" s="169">
        <f>'Earnings Model (adjusted)'!AN222-'Earnings Model'!AN222</f>
        <v>1676.7549391620955</v>
      </c>
      <c r="AO222" s="169">
        <f>'Earnings Model (adjusted)'!AO222-'Earnings Model'!AO222</f>
        <v>1777.3071278596683</v>
      </c>
      <c r="AP222" s="169">
        <f>'Earnings Model (adjusted)'!AP222-'Earnings Model'!AP222</f>
        <v>1870.0353751234697</v>
      </c>
      <c r="AQ222" s="169">
        <f>'Earnings Model (adjusted)'!AQ222-'Earnings Model'!AQ222</f>
        <v>1870.0353751234697</v>
      </c>
    </row>
    <row r="223" spans="1:43" outlineLevel="1" x14ac:dyDescent="0.25">
      <c r="A223" s="254"/>
      <c r="B223" s="617" t="s">
        <v>10</v>
      </c>
      <c r="C223" s="618"/>
      <c r="D223" s="48">
        <f t="shared" ref="D223:P223" si="136">D222+D216</f>
        <v>19981.300000000003</v>
      </c>
      <c r="E223" s="48">
        <f t="shared" si="136"/>
        <v>17641.899999999998</v>
      </c>
      <c r="F223" s="48">
        <f t="shared" si="136"/>
        <v>20894.400000000001</v>
      </c>
      <c r="G223" s="48">
        <f t="shared" si="136"/>
        <v>19219.599999999999</v>
      </c>
      <c r="H223" s="245">
        <f t="shared" si="136"/>
        <v>19219.599999999999</v>
      </c>
      <c r="I223" s="48">
        <f t="shared" si="136"/>
        <v>27731.300000000003</v>
      </c>
      <c r="J223" s="48">
        <f t="shared" si="136"/>
        <v>27478.9</v>
      </c>
      <c r="K223" s="48">
        <f t="shared" si="136"/>
        <v>29140.599999999995</v>
      </c>
      <c r="L223" s="48">
        <f t="shared" si="136"/>
        <v>29374.500000000007</v>
      </c>
      <c r="M223" s="245">
        <f t="shared" si="136"/>
        <v>29374.500000000007</v>
      </c>
      <c r="N223" s="48">
        <f t="shared" si="136"/>
        <v>29968.400000000001</v>
      </c>
      <c r="O223" s="48">
        <f t="shared" si="136"/>
        <v>28371.7</v>
      </c>
      <c r="P223" s="48">
        <f t="shared" si="136"/>
        <v>29476.799999999999</v>
      </c>
      <c r="Q223" s="169">
        <f>'Earnings Model (adjusted)'!Q223-'Earnings Model'!Q223</f>
        <v>26.847287587832398</v>
      </c>
      <c r="R223" s="169">
        <f>'Earnings Model (adjusted)'!R223-'Earnings Model'!R223</f>
        <v>26.847287587832398</v>
      </c>
      <c r="S223" s="169">
        <f>'Earnings Model (adjusted)'!S223-'Earnings Model'!S223</f>
        <v>112.95117715631568</v>
      </c>
      <c r="T223" s="169">
        <f>'Earnings Model (adjusted)'!T223-'Earnings Model'!T223</f>
        <v>197.1419067772149</v>
      </c>
      <c r="U223" s="169">
        <f>'Earnings Model (adjusted)'!U223-'Earnings Model'!U223</f>
        <v>277.99603713709075</v>
      </c>
      <c r="V223" s="169">
        <f>'Earnings Model (adjusted)'!V223-'Earnings Model'!V223</f>
        <v>340.56835738924201</v>
      </c>
      <c r="W223" s="169">
        <f>'Earnings Model (adjusted)'!W223-'Earnings Model'!W223</f>
        <v>340.56835738924201</v>
      </c>
      <c r="X223" s="169">
        <f>'Earnings Model (adjusted)'!X223-'Earnings Model'!X223</f>
        <v>436.80413479301569</v>
      </c>
      <c r="Y223" s="169">
        <f>'Earnings Model (adjusted)'!Y223-'Earnings Model'!Y223</f>
        <v>524.19289898820716</v>
      </c>
      <c r="Z223" s="169">
        <f>'Earnings Model (adjusted)'!Z223-'Earnings Model'!Z223</f>
        <v>581.52795544585024</v>
      </c>
      <c r="AA223" s="169">
        <f>'Earnings Model (adjusted)'!AA223-'Earnings Model'!AA223</f>
        <v>677.14671776525938</v>
      </c>
      <c r="AB223" s="169">
        <f>'Earnings Model (adjusted)'!AB223-'Earnings Model'!AB223</f>
        <v>677.14671776525938</v>
      </c>
      <c r="AC223" s="169">
        <f>'Earnings Model (adjusted)'!AC223-'Earnings Model'!AC223</f>
        <v>800.82882819875886</v>
      </c>
      <c r="AD223" s="169">
        <f>'Earnings Model (adjusted)'!AD223-'Earnings Model'!AD223</f>
        <v>891.77237557377885</v>
      </c>
      <c r="AE223" s="169">
        <f>'Earnings Model (adjusted)'!AE223-'Earnings Model'!AE223</f>
        <v>935.8294563729105</v>
      </c>
      <c r="AF223" s="169">
        <f>'Earnings Model (adjusted)'!AF223-'Earnings Model'!AF223</f>
        <v>1008.1762320532871</v>
      </c>
      <c r="AG223" s="169">
        <f>'Earnings Model (adjusted)'!AG223-'Earnings Model'!AG223</f>
        <v>1008.1762320532871</v>
      </c>
      <c r="AH223" s="169">
        <f>'Earnings Model (adjusted)'!AH223-'Earnings Model'!AH223</f>
        <v>1169.9762523990976</v>
      </c>
      <c r="AI223" s="169">
        <f>'Earnings Model (adjusted)'!AI223-'Earnings Model'!AI223</f>
        <v>1280.8053106247025</v>
      </c>
      <c r="AJ223" s="169">
        <f>'Earnings Model (adjusted)'!AJ223-'Earnings Model'!AJ223</f>
        <v>1324.829369954492</v>
      </c>
      <c r="AK223" s="169">
        <f>'Earnings Model (adjusted)'!AK223-'Earnings Model'!AK223</f>
        <v>1402.8856744502627</v>
      </c>
      <c r="AL223" s="169">
        <f>'Earnings Model (adjusted)'!AL223-'Earnings Model'!AL223</f>
        <v>1402.8856744502627</v>
      </c>
      <c r="AM223" s="169">
        <f>'Earnings Model (adjusted)'!AM223-'Earnings Model'!AM223</f>
        <v>1589.682875467799</v>
      </c>
      <c r="AN223" s="169">
        <f>'Earnings Model (adjusted)'!AN223-'Earnings Model'!AN223</f>
        <v>1705.2040169578431</v>
      </c>
      <c r="AO223" s="169">
        <f>'Earnings Model (adjusted)'!AO223-'Earnings Model'!AO223</f>
        <v>1739.8810775657475</v>
      </c>
      <c r="AP223" s="169">
        <f>'Earnings Model (adjusted)'!AP223-'Earnings Model'!AP223</f>
        <v>1819.8865259640806</v>
      </c>
      <c r="AQ223" s="169">
        <f>'Earnings Model (adjusted)'!AQ223-'Earnings Model'!AQ223</f>
        <v>1819.8865259640806</v>
      </c>
    </row>
    <row r="224" spans="1:43" x14ac:dyDescent="0.25">
      <c r="A224" s="254"/>
      <c r="B224" s="371"/>
      <c r="C224" s="238"/>
      <c r="D224" s="358">
        <f t="shared" ref="D224:P224" si="137">ROUND((D223-D201),0)</f>
        <v>0</v>
      </c>
      <c r="E224" s="358">
        <f t="shared" si="137"/>
        <v>0</v>
      </c>
      <c r="F224" s="358">
        <f t="shared" si="137"/>
        <v>0</v>
      </c>
      <c r="G224" s="358">
        <f t="shared" si="137"/>
        <v>0</v>
      </c>
      <c r="H224" s="358">
        <f t="shared" si="137"/>
        <v>0</v>
      </c>
      <c r="I224" s="358">
        <f t="shared" si="137"/>
        <v>0</v>
      </c>
      <c r="J224" s="358">
        <f t="shared" si="137"/>
        <v>0</v>
      </c>
      <c r="K224" s="358">
        <f t="shared" si="137"/>
        <v>0</v>
      </c>
      <c r="L224" s="66">
        <f t="shared" si="137"/>
        <v>0</v>
      </c>
      <c r="M224" s="66">
        <f t="shared" si="137"/>
        <v>0</v>
      </c>
      <c r="N224" s="66">
        <f t="shared" si="137"/>
        <v>0</v>
      </c>
      <c r="O224" s="66">
        <f t="shared" si="137"/>
        <v>0</v>
      </c>
      <c r="P224" s="66">
        <f t="shared" si="137"/>
        <v>0</v>
      </c>
      <c r="Q224" s="169">
        <f>'Earnings Model (adjusted)'!Q224-'Earnings Model'!Q224</f>
        <v>0</v>
      </c>
      <c r="R224" s="169">
        <f>'Earnings Model (adjusted)'!R224-'Earnings Model'!R224</f>
        <v>0</v>
      </c>
      <c r="S224" s="169">
        <f>'Earnings Model (adjusted)'!S224-'Earnings Model'!S224</f>
        <v>0</v>
      </c>
      <c r="T224" s="169">
        <f>'Earnings Model (adjusted)'!T224-'Earnings Model'!T224</f>
        <v>0</v>
      </c>
      <c r="U224" s="169">
        <f>'Earnings Model (adjusted)'!U224-'Earnings Model'!U224</f>
        <v>0</v>
      </c>
      <c r="V224" s="169">
        <f>'Earnings Model (adjusted)'!V224-'Earnings Model'!V224</f>
        <v>0</v>
      </c>
      <c r="W224" s="169">
        <f>'Earnings Model (adjusted)'!W224-'Earnings Model'!W224</f>
        <v>0</v>
      </c>
      <c r="X224" s="169">
        <f>'Earnings Model (adjusted)'!X224-'Earnings Model'!X224</f>
        <v>0</v>
      </c>
      <c r="Y224" s="169">
        <f>'Earnings Model (adjusted)'!Y224-'Earnings Model'!Y224</f>
        <v>0</v>
      </c>
      <c r="Z224" s="169">
        <f>'Earnings Model (adjusted)'!Z224-'Earnings Model'!Z224</f>
        <v>0</v>
      </c>
      <c r="AA224" s="169">
        <f>'Earnings Model (adjusted)'!AA224-'Earnings Model'!AA224</f>
        <v>0</v>
      </c>
      <c r="AB224" s="169">
        <f>'Earnings Model (adjusted)'!AB224-'Earnings Model'!AB224</f>
        <v>0</v>
      </c>
      <c r="AC224" s="169">
        <f>'Earnings Model (adjusted)'!AC224-'Earnings Model'!AC224</f>
        <v>0</v>
      </c>
      <c r="AD224" s="169">
        <f>'Earnings Model (adjusted)'!AD224-'Earnings Model'!AD224</f>
        <v>0</v>
      </c>
      <c r="AE224" s="169">
        <f>'Earnings Model (adjusted)'!AE224-'Earnings Model'!AE224</f>
        <v>0</v>
      </c>
      <c r="AF224" s="169">
        <f>'Earnings Model (adjusted)'!AF224-'Earnings Model'!AF224</f>
        <v>0</v>
      </c>
      <c r="AG224" s="169">
        <f>'Earnings Model (adjusted)'!AG224-'Earnings Model'!AG224</f>
        <v>0</v>
      </c>
      <c r="AH224" s="169">
        <f>'Earnings Model (adjusted)'!AH224-'Earnings Model'!AH224</f>
        <v>0</v>
      </c>
      <c r="AI224" s="169">
        <f>'Earnings Model (adjusted)'!AI224-'Earnings Model'!AI224</f>
        <v>0</v>
      </c>
      <c r="AJ224" s="169">
        <f>'Earnings Model (adjusted)'!AJ224-'Earnings Model'!AJ224</f>
        <v>0</v>
      </c>
      <c r="AK224" s="169">
        <f>'Earnings Model (adjusted)'!AK224-'Earnings Model'!AK224</f>
        <v>0</v>
      </c>
      <c r="AL224" s="169">
        <f>'Earnings Model (adjusted)'!AL224-'Earnings Model'!AL224</f>
        <v>0</v>
      </c>
      <c r="AM224" s="169">
        <f>'Earnings Model (adjusted)'!AM224-'Earnings Model'!AM224</f>
        <v>0</v>
      </c>
      <c r="AN224" s="169">
        <f>'Earnings Model (adjusted)'!AN224-'Earnings Model'!AN224</f>
        <v>0</v>
      </c>
      <c r="AO224" s="169">
        <f>'Earnings Model (adjusted)'!AO224-'Earnings Model'!AO224</f>
        <v>0</v>
      </c>
      <c r="AP224" s="169">
        <f>'Earnings Model (adjusted)'!AP224-'Earnings Model'!AP224</f>
        <v>0</v>
      </c>
      <c r="AQ224" s="169">
        <f>'Earnings Model (adjusted)'!AQ224-'Earnings Model'!AQ224</f>
        <v>0</v>
      </c>
    </row>
    <row r="225" spans="1:43" ht="15.75" x14ac:dyDescent="0.25">
      <c r="A225" s="254"/>
      <c r="B225" s="565" t="s">
        <v>20</v>
      </c>
      <c r="C225" s="566"/>
      <c r="D225" s="31" t="s">
        <v>106</v>
      </c>
      <c r="E225" s="31" t="s">
        <v>244</v>
      </c>
      <c r="F225" s="31" t="s">
        <v>246</v>
      </c>
      <c r="G225" s="31" t="s">
        <v>337</v>
      </c>
      <c r="H225" s="85" t="s">
        <v>337</v>
      </c>
      <c r="I225" s="31" t="s">
        <v>336</v>
      </c>
      <c r="J225" s="31" t="s">
        <v>335</v>
      </c>
      <c r="K225" s="31" t="s">
        <v>334</v>
      </c>
      <c r="L225" s="31" t="s">
        <v>321</v>
      </c>
      <c r="M225" s="85" t="s">
        <v>321</v>
      </c>
      <c r="N225" s="31" t="s">
        <v>338</v>
      </c>
      <c r="O225" s="31" t="s">
        <v>346</v>
      </c>
      <c r="P225" s="31" t="s">
        <v>348</v>
      </c>
      <c r="Q225" s="169" t="e">
        <f>'Earnings Model (adjusted)'!Q225-'Earnings Model'!Q225</f>
        <v>#VALUE!</v>
      </c>
      <c r="R225" s="169" t="e">
        <f>'Earnings Model (adjusted)'!R225-'Earnings Model'!R225</f>
        <v>#VALUE!</v>
      </c>
      <c r="S225" s="169" t="e">
        <f>'Earnings Model (adjusted)'!S225-'Earnings Model'!S225</f>
        <v>#VALUE!</v>
      </c>
      <c r="T225" s="169" t="e">
        <f>'Earnings Model (adjusted)'!T225-'Earnings Model'!T225</f>
        <v>#VALUE!</v>
      </c>
      <c r="U225" s="169" t="e">
        <f>'Earnings Model (adjusted)'!U225-'Earnings Model'!U225</f>
        <v>#VALUE!</v>
      </c>
      <c r="V225" s="169" t="e">
        <f>'Earnings Model (adjusted)'!V225-'Earnings Model'!V225</f>
        <v>#VALUE!</v>
      </c>
      <c r="W225" s="169" t="e">
        <f>'Earnings Model (adjusted)'!W225-'Earnings Model'!W225</f>
        <v>#VALUE!</v>
      </c>
      <c r="X225" s="169" t="e">
        <f>'Earnings Model (adjusted)'!X225-'Earnings Model'!X225</f>
        <v>#VALUE!</v>
      </c>
      <c r="Y225" s="169" t="e">
        <f>'Earnings Model (adjusted)'!Y225-'Earnings Model'!Y225</f>
        <v>#VALUE!</v>
      </c>
      <c r="Z225" s="169" t="e">
        <f>'Earnings Model (adjusted)'!Z225-'Earnings Model'!Z225</f>
        <v>#VALUE!</v>
      </c>
      <c r="AA225" s="169" t="e">
        <f>'Earnings Model (adjusted)'!AA225-'Earnings Model'!AA225</f>
        <v>#VALUE!</v>
      </c>
      <c r="AB225" s="169" t="e">
        <f>'Earnings Model (adjusted)'!AB225-'Earnings Model'!AB225</f>
        <v>#VALUE!</v>
      </c>
      <c r="AC225" s="169" t="e">
        <f>'Earnings Model (adjusted)'!AC225-'Earnings Model'!AC225</f>
        <v>#VALUE!</v>
      </c>
      <c r="AD225" s="169" t="e">
        <f>'Earnings Model (adjusted)'!AD225-'Earnings Model'!AD225</f>
        <v>#VALUE!</v>
      </c>
      <c r="AE225" s="169" t="e">
        <f>'Earnings Model (adjusted)'!AE225-'Earnings Model'!AE225</f>
        <v>#VALUE!</v>
      </c>
      <c r="AF225" s="169" t="e">
        <f>'Earnings Model (adjusted)'!AF225-'Earnings Model'!AF225</f>
        <v>#VALUE!</v>
      </c>
      <c r="AG225" s="169" t="e">
        <f>'Earnings Model (adjusted)'!AG225-'Earnings Model'!AG225</f>
        <v>#VALUE!</v>
      </c>
      <c r="AH225" s="169" t="e">
        <f>'Earnings Model (adjusted)'!AH225-'Earnings Model'!AH225</f>
        <v>#VALUE!</v>
      </c>
      <c r="AI225" s="169" t="e">
        <f>'Earnings Model (adjusted)'!AI225-'Earnings Model'!AI225</f>
        <v>#VALUE!</v>
      </c>
      <c r="AJ225" s="169" t="e">
        <f>'Earnings Model (adjusted)'!AJ225-'Earnings Model'!AJ225</f>
        <v>#VALUE!</v>
      </c>
      <c r="AK225" s="169" t="e">
        <f>'Earnings Model (adjusted)'!AK225-'Earnings Model'!AK225</f>
        <v>#VALUE!</v>
      </c>
      <c r="AL225" s="169" t="e">
        <f>'Earnings Model (adjusted)'!AL225-'Earnings Model'!AL225</f>
        <v>#VALUE!</v>
      </c>
      <c r="AM225" s="169" t="e">
        <f>'Earnings Model (adjusted)'!AM225-'Earnings Model'!AM225</f>
        <v>#VALUE!</v>
      </c>
      <c r="AN225" s="169" t="e">
        <f>'Earnings Model (adjusted)'!AN225-'Earnings Model'!AN225</f>
        <v>#VALUE!</v>
      </c>
      <c r="AO225" s="169" t="e">
        <f>'Earnings Model (adjusted)'!AO225-'Earnings Model'!AO225</f>
        <v>#VALUE!</v>
      </c>
      <c r="AP225" s="169" t="e">
        <f>'Earnings Model (adjusted)'!AP225-'Earnings Model'!AP225</f>
        <v>#VALUE!</v>
      </c>
      <c r="AQ225" s="169" t="e">
        <f>'Earnings Model (adjusted)'!AQ225-'Earnings Model'!AQ225</f>
        <v>#VALUE!</v>
      </c>
    </row>
    <row r="226" spans="1:43" ht="17.25" x14ac:dyDescent="0.4">
      <c r="A226" s="254"/>
      <c r="B226" s="567"/>
      <c r="C226" s="568"/>
      <c r="D226" s="32" t="s">
        <v>119</v>
      </c>
      <c r="E226" s="32" t="s">
        <v>243</v>
      </c>
      <c r="F226" s="32" t="s">
        <v>247</v>
      </c>
      <c r="G226" s="32" t="s">
        <v>257</v>
      </c>
      <c r="H226" s="86" t="s">
        <v>258</v>
      </c>
      <c r="I226" s="32" t="s">
        <v>259</v>
      </c>
      <c r="J226" s="32" t="s">
        <v>260</v>
      </c>
      <c r="K226" s="32" t="s">
        <v>261</v>
      </c>
      <c r="L226" s="32" t="s">
        <v>322</v>
      </c>
      <c r="M226" s="86" t="s">
        <v>333</v>
      </c>
      <c r="N226" s="32" t="s">
        <v>339</v>
      </c>
      <c r="O226" s="32" t="s">
        <v>347</v>
      </c>
      <c r="P226" s="32" t="s">
        <v>349</v>
      </c>
      <c r="Q226" s="169" t="e">
        <f>'Earnings Model (adjusted)'!Q226-'Earnings Model'!Q226</f>
        <v>#VALUE!</v>
      </c>
      <c r="R226" s="169" t="e">
        <f>'Earnings Model (adjusted)'!R226-'Earnings Model'!R226</f>
        <v>#VALUE!</v>
      </c>
      <c r="S226" s="169" t="e">
        <f>'Earnings Model (adjusted)'!S226-'Earnings Model'!S226</f>
        <v>#VALUE!</v>
      </c>
      <c r="T226" s="169" t="e">
        <f>'Earnings Model (adjusted)'!T226-'Earnings Model'!T226</f>
        <v>#VALUE!</v>
      </c>
      <c r="U226" s="169" t="e">
        <f>'Earnings Model (adjusted)'!U226-'Earnings Model'!U226</f>
        <v>#VALUE!</v>
      </c>
      <c r="V226" s="169" t="e">
        <f>'Earnings Model (adjusted)'!V226-'Earnings Model'!V226</f>
        <v>#VALUE!</v>
      </c>
      <c r="W226" s="169" t="e">
        <f>'Earnings Model (adjusted)'!W226-'Earnings Model'!W226</f>
        <v>#VALUE!</v>
      </c>
      <c r="X226" s="169" t="e">
        <f>'Earnings Model (adjusted)'!X226-'Earnings Model'!X226</f>
        <v>#VALUE!</v>
      </c>
      <c r="Y226" s="169" t="e">
        <f>'Earnings Model (adjusted)'!Y226-'Earnings Model'!Y226</f>
        <v>#VALUE!</v>
      </c>
      <c r="Z226" s="169" t="e">
        <f>'Earnings Model (adjusted)'!Z226-'Earnings Model'!Z226</f>
        <v>#VALUE!</v>
      </c>
      <c r="AA226" s="169" t="e">
        <f>'Earnings Model (adjusted)'!AA226-'Earnings Model'!AA226</f>
        <v>#VALUE!</v>
      </c>
      <c r="AB226" s="169" t="e">
        <f>'Earnings Model (adjusted)'!AB226-'Earnings Model'!AB226</f>
        <v>#VALUE!</v>
      </c>
      <c r="AC226" s="169" t="e">
        <f>'Earnings Model (adjusted)'!AC226-'Earnings Model'!AC226</f>
        <v>#VALUE!</v>
      </c>
      <c r="AD226" s="169" t="e">
        <f>'Earnings Model (adjusted)'!AD226-'Earnings Model'!AD226</f>
        <v>#VALUE!</v>
      </c>
      <c r="AE226" s="169" t="e">
        <f>'Earnings Model (adjusted)'!AE226-'Earnings Model'!AE226</f>
        <v>#VALUE!</v>
      </c>
      <c r="AF226" s="169" t="e">
        <f>'Earnings Model (adjusted)'!AF226-'Earnings Model'!AF226</f>
        <v>#VALUE!</v>
      </c>
      <c r="AG226" s="169" t="e">
        <f>'Earnings Model (adjusted)'!AG226-'Earnings Model'!AG226</f>
        <v>#VALUE!</v>
      </c>
      <c r="AH226" s="169" t="e">
        <f>'Earnings Model (adjusted)'!AH226-'Earnings Model'!AH226</f>
        <v>#VALUE!</v>
      </c>
      <c r="AI226" s="169" t="e">
        <f>'Earnings Model (adjusted)'!AI226-'Earnings Model'!AI226</f>
        <v>#VALUE!</v>
      </c>
      <c r="AJ226" s="169" t="e">
        <f>'Earnings Model (adjusted)'!AJ226-'Earnings Model'!AJ226</f>
        <v>#VALUE!</v>
      </c>
      <c r="AK226" s="169" t="e">
        <f>'Earnings Model (adjusted)'!AK226-'Earnings Model'!AK226</f>
        <v>#VALUE!</v>
      </c>
      <c r="AL226" s="169" t="e">
        <f>'Earnings Model (adjusted)'!AL226-'Earnings Model'!AL226</f>
        <v>#VALUE!</v>
      </c>
      <c r="AM226" s="169" t="e">
        <f>'Earnings Model (adjusted)'!AM226-'Earnings Model'!AM226</f>
        <v>#VALUE!</v>
      </c>
      <c r="AN226" s="169" t="e">
        <f>'Earnings Model (adjusted)'!AN226-'Earnings Model'!AN226</f>
        <v>#VALUE!</v>
      </c>
      <c r="AO226" s="169" t="e">
        <f>'Earnings Model (adjusted)'!AO226-'Earnings Model'!AO226</f>
        <v>#VALUE!</v>
      </c>
      <c r="AP226" s="169" t="e">
        <f>'Earnings Model (adjusted)'!AP226-'Earnings Model'!AP226</f>
        <v>#VALUE!</v>
      </c>
      <c r="AQ226" s="169" t="e">
        <f>'Earnings Model (adjusted)'!AQ226-'Earnings Model'!AQ226</f>
        <v>#VALUE!</v>
      </c>
    </row>
    <row r="227" spans="1:43" outlineLevel="1" x14ac:dyDescent="0.25">
      <c r="A227" s="254"/>
      <c r="B227" s="555" t="s">
        <v>280</v>
      </c>
      <c r="C227" s="315"/>
      <c r="D227" s="276">
        <f>31+30+31</f>
        <v>92</v>
      </c>
      <c r="E227" s="276">
        <f>31+28+31</f>
        <v>90</v>
      </c>
      <c r="F227" s="276">
        <f>30+31+30</f>
        <v>91</v>
      </c>
      <c r="G227" s="276">
        <f>31+31+30</f>
        <v>92</v>
      </c>
      <c r="H227" s="291"/>
      <c r="I227" s="276">
        <f>31+30+31</f>
        <v>92</v>
      </c>
      <c r="J227" s="276">
        <f>31+29+31</f>
        <v>91</v>
      </c>
      <c r="K227" s="276">
        <f>30+31+30</f>
        <v>91</v>
      </c>
      <c r="L227" s="276">
        <f>31+31+30</f>
        <v>92</v>
      </c>
      <c r="M227" s="291"/>
      <c r="N227" s="276">
        <f>31+30+31</f>
        <v>92</v>
      </c>
      <c r="O227" s="276">
        <f>31+28+31</f>
        <v>90</v>
      </c>
      <c r="P227" s="276">
        <f>30+31+30</f>
        <v>91</v>
      </c>
      <c r="Q227" s="169">
        <f>'Earnings Model (adjusted)'!Q227-'Earnings Model'!Q227</f>
        <v>0</v>
      </c>
      <c r="R227" s="169">
        <f>'Earnings Model (adjusted)'!R227-'Earnings Model'!R227</f>
        <v>0</v>
      </c>
      <c r="S227" s="169">
        <f>'Earnings Model (adjusted)'!S227-'Earnings Model'!S227</f>
        <v>0</v>
      </c>
      <c r="T227" s="169">
        <f>'Earnings Model (adjusted)'!T227-'Earnings Model'!T227</f>
        <v>0</v>
      </c>
      <c r="U227" s="169">
        <f>'Earnings Model (adjusted)'!U227-'Earnings Model'!U227</f>
        <v>0</v>
      </c>
      <c r="V227" s="169">
        <f>'Earnings Model (adjusted)'!V227-'Earnings Model'!V227</f>
        <v>0</v>
      </c>
      <c r="W227" s="169">
        <f>'Earnings Model (adjusted)'!W227-'Earnings Model'!W227</f>
        <v>0</v>
      </c>
      <c r="X227" s="169">
        <f>'Earnings Model (adjusted)'!X227-'Earnings Model'!X227</f>
        <v>0</v>
      </c>
      <c r="Y227" s="169">
        <f>'Earnings Model (adjusted)'!Y227-'Earnings Model'!Y227</f>
        <v>0</v>
      </c>
      <c r="Z227" s="169">
        <f>'Earnings Model (adjusted)'!Z227-'Earnings Model'!Z227</f>
        <v>0</v>
      </c>
      <c r="AA227" s="169">
        <f>'Earnings Model (adjusted)'!AA227-'Earnings Model'!AA227</f>
        <v>0</v>
      </c>
      <c r="AB227" s="169">
        <f>'Earnings Model (adjusted)'!AB227-'Earnings Model'!AB227</f>
        <v>0</v>
      </c>
      <c r="AC227" s="169">
        <f>'Earnings Model (adjusted)'!AC227-'Earnings Model'!AC227</f>
        <v>0</v>
      </c>
      <c r="AD227" s="169">
        <f>'Earnings Model (adjusted)'!AD227-'Earnings Model'!AD227</f>
        <v>0</v>
      </c>
      <c r="AE227" s="169">
        <f>'Earnings Model (adjusted)'!AE227-'Earnings Model'!AE227</f>
        <v>0</v>
      </c>
      <c r="AF227" s="169">
        <f>'Earnings Model (adjusted)'!AF227-'Earnings Model'!AF227</f>
        <v>0</v>
      </c>
      <c r="AG227" s="169">
        <f>'Earnings Model (adjusted)'!AG227-'Earnings Model'!AG227</f>
        <v>0</v>
      </c>
      <c r="AH227" s="169">
        <f>'Earnings Model (adjusted)'!AH227-'Earnings Model'!AH227</f>
        <v>0</v>
      </c>
      <c r="AI227" s="169">
        <f>'Earnings Model (adjusted)'!AI227-'Earnings Model'!AI227</f>
        <v>0</v>
      </c>
      <c r="AJ227" s="169">
        <f>'Earnings Model (adjusted)'!AJ227-'Earnings Model'!AJ227</f>
        <v>0</v>
      </c>
      <c r="AK227" s="169">
        <f>'Earnings Model (adjusted)'!AK227-'Earnings Model'!AK227</f>
        <v>0</v>
      </c>
      <c r="AL227" s="169">
        <f>'Earnings Model (adjusted)'!AL227-'Earnings Model'!AL227</f>
        <v>0</v>
      </c>
      <c r="AM227" s="169">
        <f>'Earnings Model (adjusted)'!AM227-'Earnings Model'!AM227</f>
        <v>0</v>
      </c>
      <c r="AN227" s="169">
        <f>'Earnings Model (adjusted)'!AN227-'Earnings Model'!AN227</f>
        <v>0</v>
      </c>
      <c r="AO227" s="169">
        <f>'Earnings Model (adjusted)'!AO227-'Earnings Model'!AO227</f>
        <v>0</v>
      </c>
      <c r="AP227" s="169">
        <f>'Earnings Model (adjusted)'!AP227-'Earnings Model'!AP227</f>
        <v>0</v>
      </c>
      <c r="AQ227" s="169">
        <f>'Earnings Model (adjusted)'!AQ227-'Earnings Model'!AQ227</f>
        <v>0</v>
      </c>
    </row>
    <row r="228" spans="1:43" outlineLevel="1" x14ac:dyDescent="0.25">
      <c r="A228" s="254"/>
      <c r="B228" s="595" t="s">
        <v>21</v>
      </c>
      <c r="C228" s="596"/>
      <c r="D228" s="58">
        <f t="shared" ref="D228:L228" si="138">D16/D189</f>
        <v>9.1942057111172737</v>
      </c>
      <c r="E228" s="308">
        <f t="shared" si="138"/>
        <v>8.9623365548607161</v>
      </c>
      <c r="F228" s="308">
        <f t="shared" si="138"/>
        <v>8.6301543131798635</v>
      </c>
      <c r="G228" s="308">
        <f t="shared" si="138"/>
        <v>7.6757679180887379</v>
      </c>
      <c r="H228" s="309"/>
      <c r="I228" s="308">
        <f t="shared" si="138"/>
        <v>7.8153287082920375</v>
      </c>
      <c r="J228" s="308">
        <f t="shared" si="138"/>
        <v>6.3716259298618487</v>
      </c>
      <c r="K228" s="308">
        <f t="shared" si="138"/>
        <v>4.7918510952218822</v>
      </c>
      <c r="L228" s="308">
        <f t="shared" si="138"/>
        <v>7.0218474077428121</v>
      </c>
      <c r="M228" s="59"/>
      <c r="N228" s="308">
        <f>N16/N189</f>
        <v>7.6006756756756761</v>
      </c>
      <c r="O228" s="308">
        <f t="shared" ref="O228:P228" si="139">O16/O189</f>
        <v>7.5755510111338324</v>
      </c>
      <c r="P228" s="308">
        <f t="shared" si="139"/>
        <v>8.2270632133450388</v>
      </c>
      <c r="Q228" s="169">
        <f>'Earnings Model (adjusted)'!Q228-'Earnings Model'!Q228</f>
        <v>0</v>
      </c>
      <c r="R228" s="169">
        <f>'Earnings Model (adjusted)'!R228-'Earnings Model'!R228</f>
        <v>0</v>
      </c>
      <c r="S228" s="169">
        <f>'Earnings Model (adjusted)'!S228-'Earnings Model'!S228</f>
        <v>0</v>
      </c>
      <c r="T228" s="169">
        <f>'Earnings Model (adjusted)'!T228-'Earnings Model'!T228</f>
        <v>0</v>
      </c>
      <c r="U228" s="169">
        <f>'Earnings Model (adjusted)'!U228-'Earnings Model'!U228</f>
        <v>0</v>
      </c>
      <c r="V228" s="169">
        <f>'Earnings Model (adjusted)'!V228-'Earnings Model'!V228</f>
        <v>0</v>
      </c>
      <c r="W228" s="169">
        <f>'Earnings Model (adjusted)'!W228-'Earnings Model'!W228</f>
        <v>0</v>
      </c>
      <c r="X228" s="169">
        <f>'Earnings Model (adjusted)'!X228-'Earnings Model'!X228</f>
        <v>0</v>
      </c>
      <c r="Y228" s="169">
        <f>'Earnings Model (adjusted)'!Y228-'Earnings Model'!Y228</f>
        <v>0</v>
      </c>
      <c r="Z228" s="169">
        <f>'Earnings Model (adjusted)'!Z228-'Earnings Model'!Z228</f>
        <v>0</v>
      </c>
      <c r="AA228" s="169">
        <f>'Earnings Model (adjusted)'!AA228-'Earnings Model'!AA228</f>
        <v>0</v>
      </c>
      <c r="AB228" s="169">
        <f>'Earnings Model (adjusted)'!AB228-'Earnings Model'!AB228</f>
        <v>0</v>
      </c>
      <c r="AC228" s="169">
        <f>'Earnings Model (adjusted)'!AC228-'Earnings Model'!AC228</f>
        <v>0</v>
      </c>
      <c r="AD228" s="169">
        <f>'Earnings Model (adjusted)'!AD228-'Earnings Model'!AD228</f>
        <v>0</v>
      </c>
      <c r="AE228" s="169">
        <f>'Earnings Model (adjusted)'!AE228-'Earnings Model'!AE228</f>
        <v>0</v>
      </c>
      <c r="AF228" s="169">
        <f>'Earnings Model (adjusted)'!AF228-'Earnings Model'!AF228</f>
        <v>0</v>
      </c>
      <c r="AG228" s="169">
        <f>'Earnings Model (adjusted)'!AG228-'Earnings Model'!AG228</f>
        <v>0</v>
      </c>
      <c r="AH228" s="169">
        <f>'Earnings Model (adjusted)'!AH228-'Earnings Model'!AH228</f>
        <v>0</v>
      </c>
      <c r="AI228" s="169">
        <f>'Earnings Model (adjusted)'!AI228-'Earnings Model'!AI228</f>
        <v>0</v>
      </c>
      <c r="AJ228" s="169">
        <f>'Earnings Model (adjusted)'!AJ228-'Earnings Model'!AJ228</f>
        <v>0</v>
      </c>
      <c r="AK228" s="169">
        <f>'Earnings Model (adjusted)'!AK228-'Earnings Model'!AK228</f>
        <v>0</v>
      </c>
      <c r="AL228" s="169">
        <f>'Earnings Model (adjusted)'!AL228-'Earnings Model'!AL228</f>
        <v>0</v>
      </c>
      <c r="AM228" s="169">
        <f>'Earnings Model (adjusted)'!AM228-'Earnings Model'!AM228</f>
        <v>0</v>
      </c>
      <c r="AN228" s="169">
        <f>'Earnings Model (adjusted)'!AN228-'Earnings Model'!AN228</f>
        <v>0</v>
      </c>
      <c r="AO228" s="169">
        <f>'Earnings Model (adjusted)'!AO228-'Earnings Model'!AO228</f>
        <v>0</v>
      </c>
      <c r="AP228" s="169">
        <f>'Earnings Model (adjusted)'!AP228-'Earnings Model'!AP228</f>
        <v>0</v>
      </c>
      <c r="AQ228" s="169">
        <f>'Earnings Model (adjusted)'!AQ228-'Earnings Model'!AQ228</f>
        <v>0</v>
      </c>
    </row>
    <row r="229" spans="1:43" s="43" customFormat="1" outlineLevel="1" x14ac:dyDescent="0.25">
      <c r="A229" s="307"/>
      <c r="B229" s="605" t="s">
        <v>57</v>
      </c>
      <c r="C229" s="606"/>
      <c r="D229" s="47">
        <f>D227/D228</f>
        <v>10.00630210924661</v>
      </c>
      <c r="E229" s="47">
        <f>E227/E228</f>
        <v>10.042024136126486</v>
      </c>
      <c r="F229" s="276">
        <f>F227/F228</f>
        <v>10.544423274219552</v>
      </c>
      <c r="G229" s="276">
        <f>G227/G228</f>
        <v>11.985771453979545</v>
      </c>
      <c r="H229" s="309"/>
      <c r="I229" s="276">
        <f>I227/I228</f>
        <v>11.771737752039567</v>
      </c>
      <c r="J229" s="276">
        <f>J227/J228</f>
        <v>14.28206881598479</v>
      </c>
      <c r="K229" s="276">
        <f>K227/K228</f>
        <v>18.990573411335589</v>
      </c>
      <c r="L229" s="47">
        <f>L227/L228</f>
        <v>13.101965146459028</v>
      </c>
      <c r="M229" s="59"/>
      <c r="N229" s="47">
        <f>N227/N228</f>
        <v>12.104187038847897</v>
      </c>
      <c r="O229" s="47">
        <f>O227/O228</f>
        <v>11.880323935212958</v>
      </c>
      <c r="P229" s="47">
        <f>P227/P228</f>
        <v>11.061055159074236</v>
      </c>
      <c r="Q229" s="169">
        <f>'Earnings Model (adjusted)'!Q229-'Earnings Model'!Q229</f>
        <v>0</v>
      </c>
      <c r="R229" s="169">
        <f>'Earnings Model (adjusted)'!R229-'Earnings Model'!R229</f>
        <v>0</v>
      </c>
      <c r="S229" s="169">
        <f>'Earnings Model (adjusted)'!S229-'Earnings Model'!S229</f>
        <v>0</v>
      </c>
      <c r="T229" s="169">
        <f>'Earnings Model (adjusted)'!T229-'Earnings Model'!T229</f>
        <v>0</v>
      </c>
      <c r="U229" s="169">
        <f>'Earnings Model (adjusted)'!U229-'Earnings Model'!U229</f>
        <v>0</v>
      </c>
      <c r="V229" s="169">
        <f>'Earnings Model (adjusted)'!V229-'Earnings Model'!V229</f>
        <v>0</v>
      </c>
      <c r="W229" s="169">
        <f>'Earnings Model (adjusted)'!W229-'Earnings Model'!W229</f>
        <v>0</v>
      </c>
      <c r="X229" s="169">
        <f>'Earnings Model (adjusted)'!X229-'Earnings Model'!X229</f>
        <v>0</v>
      </c>
      <c r="Y229" s="169">
        <f>'Earnings Model (adjusted)'!Y229-'Earnings Model'!Y229</f>
        <v>0</v>
      </c>
      <c r="Z229" s="169">
        <f>'Earnings Model (adjusted)'!Z229-'Earnings Model'!Z229</f>
        <v>0</v>
      </c>
      <c r="AA229" s="169">
        <f>'Earnings Model (adjusted)'!AA229-'Earnings Model'!AA229</f>
        <v>0</v>
      </c>
      <c r="AB229" s="169">
        <f>'Earnings Model (adjusted)'!AB229-'Earnings Model'!AB229</f>
        <v>0</v>
      </c>
      <c r="AC229" s="169">
        <f>'Earnings Model (adjusted)'!AC229-'Earnings Model'!AC229</f>
        <v>0</v>
      </c>
      <c r="AD229" s="169">
        <f>'Earnings Model (adjusted)'!AD229-'Earnings Model'!AD229</f>
        <v>0</v>
      </c>
      <c r="AE229" s="169">
        <f>'Earnings Model (adjusted)'!AE229-'Earnings Model'!AE229</f>
        <v>0</v>
      </c>
      <c r="AF229" s="169">
        <f>'Earnings Model (adjusted)'!AF229-'Earnings Model'!AF229</f>
        <v>0</v>
      </c>
      <c r="AG229" s="169">
        <f>'Earnings Model (adjusted)'!AG229-'Earnings Model'!AG229</f>
        <v>0</v>
      </c>
      <c r="AH229" s="169">
        <f>'Earnings Model (adjusted)'!AH229-'Earnings Model'!AH229</f>
        <v>0</v>
      </c>
      <c r="AI229" s="169">
        <f>'Earnings Model (adjusted)'!AI229-'Earnings Model'!AI229</f>
        <v>0</v>
      </c>
      <c r="AJ229" s="169">
        <f>'Earnings Model (adjusted)'!AJ229-'Earnings Model'!AJ229</f>
        <v>0</v>
      </c>
      <c r="AK229" s="169">
        <f>'Earnings Model (adjusted)'!AK229-'Earnings Model'!AK229</f>
        <v>0</v>
      </c>
      <c r="AL229" s="169">
        <f>'Earnings Model (adjusted)'!AL229-'Earnings Model'!AL229</f>
        <v>0</v>
      </c>
      <c r="AM229" s="169">
        <f>'Earnings Model (adjusted)'!AM229-'Earnings Model'!AM229</f>
        <v>0</v>
      </c>
      <c r="AN229" s="169">
        <f>'Earnings Model (adjusted)'!AN229-'Earnings Model'!AN229</f>
        <v>0</v>
      </c>
      <c r="AO229" s="169">
        <f>'Earnings Model (adjusted)'!AO229-'Earnings Model'!AO229</f>
        <v>0</v>
      </c>
      <c r="AP229" s="169">
        <f>'Earnings Model (adjusted)'!AP229-'Earnings Model'!AP229</f>
        <v>0</v>
      </c>
      <c r="AQ229" s="169">
        <f>'Earnings Model (adjusted)'!AQ229-'Earnings Model'!AQ229</f>
        <v>0</v>
      </c>
    </row>
    <row r="230" spans="1:43" outlineLevel="1" x14ac:dyDescent="0.25">
      <c r="A230" s="254"/>
      <c r="B230" s="595" t="s">
        <v>232</v>
      </c>
      <c r="C230" s="596"/>
      <c r="D230" s="58">
        <f t="shared" ref="D230:L230" si="140">D17/D190</f>
        <v>1.6062306215857083</v>
      </c>
      <c r="E230" s="58">
        <f t="shared" si="140"/>
        <v>1.3943173943173943</v>
      </c>
      <c r="F230" s="308">
        <f t="shared" si="140"/>
        <v>1.4497759029791721</v>
      </c>
      <c r="G230" s="308">
        <f t="shared" si="140"/>
        <v>1.3989146070354381</v>
      </c>
      <c r="H230" s="309"/>
      <c r="I230" s="308">
        <f t="shared" si="140"/>
        <v>1.5875630013487614</v>
      </c>
      <c r="J230" s="308">
        <f t="shared" si="140"/>
        <v>1.3387615601125855</v>
      </c>
      <c r="K230" s="308">
        <f t="shared" si="140"/>
        <v>0.93698699330723578</v>
      </c>
      <c r="L230" s="308">
        <f t="shared" si="140"/>
        <v>1.2742039448240299</v>
      </c>
      <c r="M230" s="59"/>
      <c r="N230" s="308">
        <f>N17/N190</f>
        <v>1.3925246347264695</v>
      </c>
      <c r="O230" s="308">
        <f t="shared" ref="O230:P230" si="141">O17/O190</f>
        <v>1.3250864591646716</v>
      </c>
      <c r="P230" s="308">
        <f t="shared" si="141"/>
        <v>1.4248805063945227</v>
      </c>
      <c r="Q230" s="169">
        <f>'Earnings Model (adjusted)'!Q230-'Earnings Model'!Q230</f>
        <v>0</v>
      </c>
      <c r="R230" s="169">
        <f>'Earnings Model (adjusted)'!R230-'Earnings Model'!R230</f>
        <v>0</v>
      </c>
      <c r="S230" s="169">
        <f>'Earnings Model (adjusted)'!S230-'Earnings Model'!S230</f>
        <v>0</v>
      </c>
      <c r="T230" s="169">
        <f>'Earnings Model (adjusted)'!T230-'Earnings Model'!T230</f>
        <v>0</v>
      </c>
      <c r="U230" s="169">
        <f>'Earnings Model (adjusted)'!U230-'Earnings Model'!U230</f>
        <v>0</v>
      </c>
      <c r="V230" s="169">
        <f>'Earnings Model (adjusted)'!V230-'Earnings Model'!V230</f>
        <v>0</v>
      </c>
      <c r="W230" s="169">
        <f>'Earnings Model (adjusted)'!W230-'Earnings Model'!W230</f>
        <v>0</v>
      </c>
      <c r="X230" s="169">
        <f>'Earnings Model (adjusted)'!X230-'Earnings Model'!X230</f>
        <v>0</v>
      </c>
      <c r="Y230" s="169">
        <f>'Earnings Model (adjusted)'!Y230-'Earnings Model'!Y230</f>
        <v>0</v>
      </c>
      <c r="Z230" s="169">
        <f>'Earnings Model (adjusted)'!Z230-'Earnings Model'!Z230</f>
        <v>0</v>
      </c>
      <c r="AA230" s="169">
        <f>'Earnings Model (adjusted)'!AA230-'Earnings Model'!AA230</f>
        <v>0</v>
      </c>
      <c r="AB230" s="169">
        <f>'Earnings Model (adjusted)'!AB230-'Earnings Model'!AB230</f>
        <v>0</v>
      </c>
      <c r="AC230" s="169">
        <f>'Earnings Model (adjusted)'!AC230-'Earnings Model'!AC230</f>
        <v>0</v>
      </c>
      <c r="AD230" s="169">
        <f>'Earnings Model (adjusted)'!AD230-'Earnings Model'!AD230</f>
        <v>0</v>
      </c>
      <c r="AE230" s="169">
        <f>'Earnings Model (adjusted)'!AE230-'Earnings Model'!AE230</f>
        <v>0</v>
      </c>
      <c r="AF230" s="169">
        <f>'Earnings Model (adjusted)'!AF230-'Earnings Model'!AF230</f>
        <v>0</v>
      </c>
      <c r="AG230" s="169">
        <f>'Earnings Model (adjusted)'!AG230-'Earnings Model'!AG230</f>
        <v>0</v>
      </c>
      <c r="AH230" s="169">
        <f>'Earnings Model (adjusted)'!AH230-'Earnings Model'!AH230</f>
        <v>0</v>
      </c>
      <c r="AI230" s="169">
        <f>'Earnings Model (adjusted)'!AI230-'Earnings Model'!AI230</f>
        <v>0</v>
      </c>
      <c r="AJ230" s="169">
        <f>'Earnings Model (adjusted)'!AJ230-'Earnings Model'!AJ230</f>
        <v>0</v>
      </c>
      <c r="AK230" s="169">
        <f>'Earnings Model (adjusted)'!AK230-'Earnings Model'!AK230</f>
        <v>0</v>
      </c>
      <c r="AL230" s="169">
        <f>'Earnings Model (adjusted)'!AL230-'Earnings Model'!AL230</f>
        <v>0</v>
      </c>
      <c r="AM230" s="169">
        <f>'Earnings Model (adjusted)'!AM230-'Earnings Model'!AM230</f>
        <v>0</v>
      </c>
      <c r="AN230" s="169">
        <f>'Earnings Model (adjusted)'!AN230-'Earnings Model'!AN230</f>
        <v>0</v>
      </c>
      <c r="AO230" s="169">
        <f>'Earnings Model (adjusted)'!AO230-'Earnings Model'!AO230</f>
        <v>0</v>
      </c>
      <c r="AP230" s="169">
        <f>'Earnings Model (adjusted)'!AP230-'Earnings Model'!AP230</f>
        <v>0</v>
      </c>
      <c r="AQ230" s="169">
        <f>'Earnings Model (adjusted)'!AQ230-'Earnings Model'!AQ230</f>
        <v>0</v>
      </c>
    </row>
    <row r="231" spans="1:43" s="43" customFormat="1" outlineLevel="1" x14ac:dyDescent="0.25">
      <c r="A231" s="307"/>
      <c r="B231" s="605" t="s">
        <v>57</v>
      </c>
      <c r="C231" s="606"/>
      <c r="D231" s="47">
        <f t="shared" ref="D231:P231" si="142">D227/D230</f>
        <v>57.276955602536987</v>
      </c>
      <c r="E231" s="47">
        <f t="shared" si="142"/>
        <v>64.547713717693838</v>
      </c>
      <c r="F231" s="276">
        <f t="shared" si="142"/>
        <v>62.768321513002363</v>
      </c>
      <c r="G231" s="276">
        <f t="shared" si="142"/>
        <v>65.765272259873825</v>
      </c>
      <c r="H231" s="309"/>
      <c r="I231" s="276">
        <f t="shared" si="142"/>
        <v>57.950456090144868</v>
      </c>
      <c r="J231" s="276">
        <f t="shared" si="142"/>
        <v>67.973269259648589</v>
      </c>
      <c r="K231" s="276">
        <f>K227/K230</f>
        <v>97.119811320754721</v>
      </c>
      <c r="L231" s="47">
        <f t="shared" si="142"/>
        <v>72.201942533387296</v>
      </c>
      <c r="M231" s="59"/>
      <c r="N231" s="47">
        <f t="shared" si="142"/>
        <v>66.067053828510083</v>
      </c>
      <c r="O231" s="47">
        <f t="shared" si="142"/>
        <v>67.920096366191515</v>
      </c>
      <c r="P231" s="47">
        <f t="shared" si="142"/>
        <v>63.865004533091565</v>
      </c>
      <c r="Q231" s="169">
        <f>'Earnings Model (adjusted)'!Q231-'Earnings Model'!Q231</f>
        <v>0</v>
      </c>
      <c r="R231" s="169">
        <f>'Earnings Model (adjusted)'!R231-'Earnings Model'!R231</f>
        <v>0</v>
      </c>
      <c r="S231" s="169">
        <f>'Earnings Model (adjusted)'!S231-'Earnings Model'!S231</f>
        <v>0</v>
      </c>
      <c r="T231" s="169">
        <f>'Earnings Model (adjusted)'!T231-'Earnings Model'!T231</f>
        <v>0</v>
      </c>
      <c r="U231" s="169">
        <f>'Earnings Model (adjusted)'!U231-'Earnings Model'!U231</f>
        <v>0</v>
      </c>
      <c r="V231" s="169">
        <f>'Earnings Model (adjusted)'!V231-'Earnings Model'!V231</f>
        <v>0</v>
      </c>
      <c r="W231" s="169">
        <f>'Earnings Model (adjusted)'!W231-'Earnings Model'!W231</f>
        <v>0</v>
      </c>
      <c r="X231" s="169">
        <f>'Earnings Model (adjusted)'!X231-'Earnings Model'!X231</f>
        <v>0</v>
      </c>
      <c r="Y231" s="169">
        <f>'Earnings Model (adjusted)'!Y231-'Earnings Model'!Y231</f>
        <v>0</v>
      </c>
      <c r="Z231" s="169">
        <f>'Earnings Model (adjusted)'!Z231-'Earnings Model'!Z231</f>
        <v>0</v>
      </c>
      <c r="AA231" s="169">
        <f>'Earnings Model (adjusted)'!AA231-'Earnings Model'!AA231</f>
        <v>0</v>
      </c>
      <c r="AB231" s="169">
        <f>'Earnings Model (adjusted)'!AB231-'Earnings Model'!AB231</f>
        <v>0</v>
      </c>
      <c r="AC231" s="169">
        <f>'Earnings Model (adjusted)'!AC231-'Earnings Model'!AC231</f>
        <v>0</v>
      </c>
      <c r="AD231" s="169">
        <f>'Earnings Model (adjusted)'!AD231-'Earnings Model'!AD231</f>
        <v>0</v>
      </c>
      <c r="AE231" s="169">
        <f>'Earnings Model (adjusted)'!AE231-'Earnings Model'!AE231</f>
        <v>0</v>
      </c>
      <c r="AF231" s="169">
        <f>'Earnings Model (adjusted)'!AF231-'Earnings Model'!AF231</f>
        <v>0</v>
      </c>
      <c r="AG231" s="169">
        <f>'Earnings Model (adjusted)'!AG231-'Earnings Model'!AG231</f>
        <v>0</v>
      </c>
      <c r="AH231" s="169">
        <f>'Earnings Model (adjusted)'!AH231-'Earnings Model'!AH231</f>
        <v>0</v>
      </c>
      <c r="AI231" s="169">
        <f>'Earnings Model (adjusted)'!AI231-'Earnings Model'!AI231</f>
        <v>0</v>
      </c>
      <c r="AJ231" s="169">
        <f>'Earnings Model (adjusted)'!AJ231-'Earnings Model'!AJ231</f>
        <v>0</v>
      </c>
      <c r="AK231" s="169">
        <f>'Earnings Model (adjusted)'!AK231-'Earnings Model'!AK231</f>
        <v>0</v>
      </c>
      <c r="AL231" s="169">
        <f>'Earnings Model (adjusted)'!AL231-'Earnings Model'!AL231</f>
        <v>0</v>
      </c>
      <c r="AM231" s="169">
        <f>'Earnings Model (adjusted)'!AM231-'Earnings Model'!AM231</f>
        <v>0</v>
      </c>
      <c r="AN231" s="169">
        <f>'Earnings Model (adjusted)'!AN231-'Earnings Model'!AN231</f>
        <v>0</v>
      </c>
      <c r="AO231" s="169">
        <f>'Earnings Model (adjusted)'!AO231-'Earnings Model'!AO231</f>
        <v>0</v>
      </c>
      <c r="AP231" s="169">
        <f>'Earnings Model (adjusted)'!AP231-'Earnings Model'!AP231</f>
        <v>0</v>
      </c>
      <c r="AQ231" s="169">
        <f>'Earnings Model (adjusted)'!AQ231-'Earnings Model'!AQ231</f>
        <v>0</v>
      </c>
    </row>
    <row r="232" spans="1:43" s="43" customFormat="1" outlineLevel="1" x14ac:dyDescent="0.25">
      <c r="A232" s="307"/>
      <c r="B232" s="595" t="s">
        <v>58</v>
      </c>
      <c r="C232" s="596"/>
      <c r="D232" s="58">
        <f>D17/D203</f>
        <v>1.9771013175829171</v>
      </c>
      <c r="E232" s="58">
        <f t="shared" ref="E232:P232" si="143">E17/E203</f>
        <v>1.8345946931704202</v>
      </c>
      <c r="F232" s="308">
        <f t="shared" si="143"/>
        <v>1.9203771608171816</v>
      </c>
      <c r="G232" s="308">
        <f t="shared" si="143"/>
        <v>1.7983525258468513</v>
      </c>
      <c r="H232" s="310"/>
      <c r="I232" s="308">
        <f t="shared" si="143"/>
        <v>2.0600589535740608</v>
      </c>
      <c r="J232" s="308">
        <f t="shared" si="143"/>
        <v>2.0023053021950488</v>
      </c>
      <c r="K232" s="308">
        <f t="shared" si="143"/>
        <v>1.7239776951672863</v>
      </c>
      <c r="L232" s="308">
        <f t="shared" si="143"/>
        <v>1.9809600160336707</v>
      </c>
      <c r="M232" s="234"/>
      <c r="N232" s="308">
        <f t="shared" si="143"/>
        <v>1.9504092899295642</v>
      </c>
      <c r="O232" s="308">
        <f t="shared" si="143"/>
        <v>1.9276315789473686</v>
      </c>
      <c r="P232" s="308">
        <f t="shared" si="143"/>
        <v>1.9574090505767525</v>
      </c>
      <c r="Q232" s="169">
        <f>'Earnings Model (adjusted)'!Q232-'Earnings Model'!Q232</f>
        <v>0</v>
      </c>
      <c r="R232" s="169">
        <f>'Earnings Model (adjusted)'!R232-'Earnings Model'!R232</f>
        <v>0</v>
      </c>
      <c r="S232" s="169">
        <f>'Earnings Model (adjusted)'!S232-'Earnings Model'!S232</f>
        <v>0</v>
      </c>
      <c r="T232" s="169">
        <f>'Earnings Model (adjusted)'!T232-'Earnings Model'!T232</f>
        <v>0</v>
      </c>
      <c r="U232" s="169">
        <f>'Earnings Model (adjusted)'!U232-'Earnings Model'!U232</f>
        <v>0</v>
      </c>
      <c r="V232" s="169">
        <f>'Earnings Model (adjusted)'!V232-'Earnings Model'!V232</f>
        <v>0</v>
      </c>
      <c r="W232" s="169">
        <f>'Earnings Model (adjusted)'!W232-'Earnings Model'!W232</f>
        <v>0</v>
      </c>
      <c r="X232" s="169">
        <f>'Earnings Model (adjusted)'!X232-'Earnings Model'!X232</f>
        <v>0</v>
      </c>
      <c r="Y232" s="169">
        <f>'Earnings Model (adjusted)'!Y232-'Earnings Model'!Y232</f>
        <v>0</v>
      </c>
      <c r="Z232" s="169">
        <f>'Earnings Model (adjusted)'!Z232-'Earnings Model'!Z232</f>
        <v>0</v>
      </c>
      <c r="AA232" s="169">
        <f>'Earnings Model (adjusted)'!AA232-'Earnings Model'!AA232</f>
        <v>0</v>
      </c>
      <c r="AB232" s="169">
        <f>'Earnings Model (adjusted)'!AB232-'Earnings Model'!AB232</f>
        <v>0</v>
      </c>
      <c r="AC232" s="169">
        <f>'Earnings Model (adjusted)'!AC232-'Earnings Model'!AC232</f>
        <v>0</v>
      </c>
      <c r="AD232" s="169">
        <f>'Earnings Model (adjusted)'!AD232-'Earnings Model'!AD232</f>
        <v>0</v>
      </c>
      <c r="AE232" s="169">
        <f>'Earnings Model (adjusted)'!AE232-'Earnings Model'!AE232</f>
        <v>0</v>
      </c>
      <c r="AF232" s="169">
        <f>'Earnings Model (adjusted)'!AF232-'Earnings Model'!AF232</f>
        <v>0</v>
      </c>
      <c r="AG232" s="169">
        <f>'Earnings Model (adjusted)'!AG232-'Earnings Model'!AG232</f>
        <v>0</v>
      </c>
      <c r="AH232" s="169">
        <f>'Earnings Model (adjusted)'!AH232-'Earnings Model'!AH232</f>
        <v>0</v>
      </c>
      <c r="AI232" s="169">
        <f>'Earnings Model (adjusted)'!AI232-'Earnings Model'!AI232</f>
        <v>0</v>
      </c>
      <c r="AJ232" s="169">
        <f>'Earnings Model (adjusted)'!AJ232-'Earnings Model'!AJ232</f>
        <v>0</v>
      </c>
      <c r="AK232" s="169">
        <f>'Earnings Model (adjusted)'!AK232-'Earnings Model'!AK232</f>
        <v>0</v>
      </c>
      <c r="AL232" s="169">
        <f>'Earnings Model (adjusted)'!AL232-'Earnings Model'!AL232</f>
        <v>0</v>
      </c>
      <c r="AM232" s="169">
        <f>'Earnings Model (adjusted)'!AM232-'Earnings Model'!AM232</f>
        <v>0</v>
      </c>
      <c r="AN232" s="169">
        <f>'Earnings Model (adjusted)'!AN232-'Earnings Model'!AN232</f>
        <v>0</v>
      </c>
      <c r="AO232" s="169">
        <f>'Earnings Model (adjusted)'!AO232-'Earnings Model'!AO232</f>
        <v>0</v>
      </c>
      <c r="AP232" s="169">
        <f>'Earnings Model (adjusted)'!AP232-'Earnings Model'!AP232</f>
        <v>0</v>
      </c>
      <c r="AQ232" s="169">
        <f>'Earnings Model (adjusted)'!AQ232-'Earnings Model'!AQ232</f>
        <v>0</v>
      </c>
    </row>
    <row r="233" spans="1:43" s="43" customFormat="1" outlineLevel="1" x14ac:dyDescent="0.25">
      <c r="A233" s="307"/>
      <c r="B233" s="605" t="s">
        <v>22</v>
      </c>
      <c r="C233" s="606"/>
      <c r="D233" s="34">
        <f>D227/D232</f>
        <v>46.532769556025364</v>
      </c>
      <c r="E233" s="34">
        <f>E227/E232</f>
        <v>49.057157057654081</v>
      </c>
      <c r="F233" s="256">
        <f>F227/F232</f>
        <v>47.386524822695037</v>
      </c>
      <c r="G233" s="256">
        <f>G227/G232</f>
        <v>51.157934096751603</v>
      </c>
      <c r="H233" s="311"/>
      <c r="I233" s="256">
        <f>I227/I232</f>
        <v>44.658916115185114</v>
      </c>
      <c r="J233" s="256">
        <f>J227/J232</f>
        <v>45.447614756970509</v>
      </c>
      <c r="K233" s="256">
        <f>K227/K232</f>
        <v>52.784905660377355</v>
      </c>
      <c r="L233" s="34">
        <f>L227/L232</f>
        <v>46.44212869283691</v>
      </c>
      <c r="M233" s="54"/>
      <c r="N233" s="34">
        <f>N227/N232</f>
        <v>47.169586647796592</v>
      </c>
      <c r="O233" s="34">
        <f>O227/O232</f>
        <v>46.689419795221838</v>
      </c>
      <c r="P233" s="34">
        <f>P227/P232</f>
        <v>46.490027198549406</v>
      </c>
      <c r="Q233" s="169">
        <f>'Earnings Model (adjusted)'!Q233-'Earnings Model'!Q233</f>
        <v>0</v>
      </c>
      <c r="R233" s="169">
        <f>'Earnings Model (adjusted)'!R233-'Earnings Model'!R233</f>
        <v>0</v>
      </c>
      <c r="S233" s="169">
        <f>'Earnings Model (adjusted)'!S233-'Earnings Model'!S233</f>
        <v>0</v>
      </c>
      <c r="T233" s="169">
        <f>'Earnings Model (adjusted)'!T233-'Earnings Model'!T233</f>
        <v>0</v>
      </c>
      <c r="U233" s="169">
        <f>'Earnings Model (adjusted)'!U233-'Earnings Model'!U233</f>
        <v>0</v>
      </c>
      <c r="V233" s="169">
        <f>'Earnings Model (adjusted)'!V233-'Earnings Model'!V233</f>
        <v>0</v>
      </c>
      <c r="W233" s="169">
        <f>'Earnings Model (adjusted)'!W233-'Earnings Model'!W233</f>
        <v>0</v>
      </c>
      <c r="X233" s="169">
        <f>'Earnings Model (adjusted)'!X233-'Earnings Model'!X233</f>
        <v>0</v>
      </c>
      <c r="Y233" s="169">
        <f>'Earnings Model (adjusted)'!Y233-'Earnings Model'!Y233</f>
        <v>0</v>
      </c>
      <c r="Z233" s="169">
        <f>'Earnings Model (adjusted)'!Z233-'Earnings Model'!Z233</f>
        <v>0</v>
      </c>
      <c r="AA233" s="169">
        <f>'Earnings Model (adjusted)'!AA233-'Earnings Model'!AA233</f>
        <v>0</v>
      </c>
      <c r="AB233" s="169">
        <f>'Earnings Model (adjusted)'!AB233-'Earnings Model'!AB233</f>
        <v>0</v>
      </c>
      <c r="AC233" s="169">
        <f>'Earnings Model (adjusted)'!AC233-'Earnings Model'!AC233</f>
        <v>0</v>
      </c>
      <c r="AD233" s="169">
        <f>'Earnings Model (adjusted)'!AD233-'Earnings Model'!AD233</f>
        <v>0</v>
      </c>
      <c r="AE233" s="169">
        <f>'Earnings Model (adjusted)'!AE233-'Earnings Model'!AE233</f>
        <v>0</v>
      </c>
      <c r="AF233" s="169">
        <f>'Earnings Model (adjusted)'!AF233-'Earnings Model'!AF233</f>
        <v>0</v>
      </c>
      <c r="AG233" s="169">
        <f>'Earnings Model (adjusted)'!AG233-'Earnings Model'!AG233</f>
        <v>0</v>
      </c>
      <c r="AH233" s="169">
        <f>'Earnings Model (adjusted)'!AH233-'Earnings Model'!AH233</f>
        <v>0</v>
      </c>
      <c r="AI233" s="169">
        <f>'Earnings Model (adjusted)'!AI233-'Earnings Model'!AI233</f>
        <v>0</v>
      </c>
      <c r="AJ233" s="169">
        <f>'Earnings Model (adjusted)'!AJ233-'Earnings Model'!AJ233</f>
        <v>0</v>
      </c>
      <c r="AK233" s="169">
        <f>'Earnings Model (adjusted)'!AK233-'Earnings Model'!AK233</f>
        <v>0</v>
      </c>
      <c r="AL233" s="169">
        <f>'Earnings Model (adjusted)'!AL233-'Earnings Model'!AL233</f>
        <v>0</v>
      </c>
      <c r="AM233" s="169">
        <f>'Earnings Model (adjusted)'!AM233-'Earnings Model'!AM233</f>
        <v>0</v>
      </c>
      <c r="AN233" s="169">
        <f>'Earnings Model (adjusted)'!AN233-'Earnings Model'!AN233</f>
        <v>0</v>
      </c>
      <c r="AO233" s="169">
        <f>'Earnings Model (adjusted)'!AO233-'Earnings Model'!AO233</f>
        <v>0</v>
      </c>
      <c r="AP233" s="169">
        <f>'Earnings Model (adjusted)'!AP233-'Earnings Model'!AP233</f>
        <v>0</v>
      </c>
      <c r="AQ233" s="169">
        <f>'Earnings Model (adjusted)'!AQ233-'Earnings Model'!AQ233</f>
        <v>0</v>
      </c>
    </row>
    <row r="234" spans="1:43" s="43" customFormat="1" outlineLevel="1" x14ac:dyDescent="0.25">
      <c r="A234" s="307"/>
      <c r="B234" s="595" t="s">
        <v>234</v>
      </c>
      <c r="C234" s="596"/>
      <c r="D234" s="56">
        <f>(D193+D188)/D201</f>
        <v>2.4783172266068774E-2</v>
      </c>
      <c r="E234" s="56">
        <f>(E193+E188)/E201</f>
        <v>1.862044337628033E-2</v>
      </c>
      <c r="F234" s="285">
        <f t="shared" ref="F234:L234" si="144">(F193+F188)/F201</f>
        <v>1.4104190097872643E-2</v>
      </c>
      <c r="G234" s="285">
        <f t="shared" si="144"/>
        <v>1.5114935950133718E-2</v>
      </c>
      <c r="H234" s="311">
        <f t="shared" si="144"/>
        <v>1.5114935950133718E-2</v>
      </c>
      <c r="I234" s="285">
        <f t="shared" si="144"/>
        <v>9.6713821566244626E-3</v>
      </c>
      <c r="J234" s="285">
        <f t="shared" si="144"/>
        <v>9.1597553031598795E-3</v>
      </c>
      <c r="K234" s="285">
        <f t="shared" si="144"/>
        <v>1.5555616562459249E-2</v>
      </c>
      <c r="L234" s="285">
        <f t="shared" si="144"/>
        <v>1.6589218539890038E-2</v>
      </c>
      <c r="M234" s="54"/>
      <c r="N234" s="285">
        <f t="shared" ref="N234:P234" si="145">(N193+N188)/N201</f>
        <v>1.4228367975494099E-2</v>
      </c>
      <c r="O234" s="285">
        <f t="shared" si="145"/>
        <v>1.4373528458035493E-2</v>
      </c>
      <c r="P234" s="285">
        <f t="shared" si="145"/>
        <v>1.4910030939586384E-2</v>
      </c>
      <c r="Q234" s="169">
        <f>'Earnings Model (adjusted)'!Q234-'Earnings Model'!Q234</f>
        <v>0</v>
      </c>
      <c r="R234" s="169">
        <f>'Earnings Model (adjusted)'!R234-'Earnings Model'!R234</f>
        <v>0</v>
      </c>
      <c r="S234" s="169">
        <f>'Earnings Model (adjusted)'!S234-'Earnings Model'!S234</f>
        <v>0</v>
      </c>
      <c r="T234" s="169">
        <f>'Earnings Model (adjusted)'!T234-'Earnings Model'!T234</f>
        <v>0</v>
      </c>
      <c r="U234" s="169">
        <f>'Earnings Model (adjusted)'!U234-'Earnings Model'!U234</f>
        <v>0</v>
      </c>
      <c r="V234" s="169">
        <f>'Earnings Model (adjusted)'!V234-'Earnings Model'!V234</f>
        <v>0</v>
      </c>
      <c r="W234" s="169">
        <f>'Earnings Model (adjusted)'!W234-'Earnings Model'!W234</f>
        <v>0</v>
      </c>
      <c r="X234" s="169">
        <f>'Earnings Model (adjusted)'!X234-'Earnings Model'!X234</f>
        <v>0</v>
      </c>
      <c r="Y234" s="169">
        <f>'Earnings Model (adjusted)'!Y234-'Earnings Model'!Y234</f>
        <v>0</v>
      </c>
      <c r="Z234" s="169">
        <f>'Earnings Model (adjusted)'!Z234-'Earnings Model'!Z234</f>
        <v>0</v>
      </c>
      <c r="AA234" s="169">
        <f>'Earnings Model (adjusted)'!AA234-'Earnings Model'!AA234</f>
        <v>0</v>
      </c>
      <c r="AB234" s="169">
        <f>'Earnings Model (adjusted)'!AB234-'Earnings Model'!AB234</f>
        <v>0</v>
      </c>
      <c r="AC234" s="169">
        <f>'Earnings Model (adjusted)'!AC234-'Earnings Model'!AC234</f>
        <v>0</v>
      </c>
      <c r="AD234" s="169">
        <f>'Earnings Model (adjusted)'!AD234-'Earnings Model'!AD234</f>
        <v>0</v>
      </c>
      <c r="AE234" s="169">
        <f>'Earnings Model (adjusted)'!AE234-'Earnings Model'!AE234</f>
        <v>0</v>
      </c>
      <c r="AF234" s="169">
        <f>'Earnings Model (adjusted)'!AF234-'Earnings Model'!AF234</f>
        <v>0</v>
      </c>
      <c r="AG234" s="169">
        <f>'Earnings Model (adjusted)'!AG234-'Earnings Model'!AG234</f>
        <v>0</v>
      </c>
      <c r="AH234" s="169">
        <f>'Earnings Model (adjusted)'!AH234-'Earnings Model'!AH234</f>
        <v>0</v>
      </c>
      <c r="AI234" s="169">
        <f>'Earnings Model (adjusted)'!AI234-'Earnings Model'!AI234</f>
        <v>0</v>
      </c>
      <c r="AJ234" s="169">
        <f>'Earnings Model (adjusted)'!AJ234-'Earnings Model'!AJ234</f>
        <v>0</v>
      </c>
      <c r="AK234" s="169">
        <f>'Earnings Model (adjusted)'!AK234-'Earnings Model'!AK234</f>
        <v>0</v>
      </c>
      <c r="AL234" s="169">
        <f>'Earnings Model (adjusted)'!AL234-'Earnings Model'!AL234</f>
        <v>0</v>
      </c>
      <c r="AM234" s="169">
        <f>'Earnings Model (adjusted)'!AM234-'Earnings Model'!AM234</f>
        <v>0</v>
      </c>
      <c r="AN234" s="169">
        <f>'Earnings Model (adjusted)'!AN234-'Earnings Model'!AN234</f>
        <v>0</v>
      </c>
      <c r="AO234" s="169">
        <f>'Earnings Model (adjusted)'!AO234-'Earnings Model'!AO234</f>
        <v>0</v>
      </c>
      <c r="AP234" s="169">
        <f>'Earnings Model (adjusted)'!AP234-'Earnings Model'!AP234</f>
        <v>0</v>
      </c>
      <c r="AQ234" s="169">
        <f>'Earnings Model (adjusted)'!AQ234-'Earnings Model'!AQ234</f>
        <v>0</v>
      </c>
    </row>
    <row r="235" spans="1:43" s="43" customFormat="1" outlineLevel="1" x14ac:dyDescent="0.25">
      <c r="A235" s="307"/>
      <c r="B235" s="550" t="s">
        <v>233</v>
      </c>
      <c r="C235" s="540"/>
      <c r="D235" s="56">
        <f>D188/(D188+D193)</f>
        <v>0.4648626817447496</v>
      </c>
      <c r="E235" s="56">
        <f>E188/(E188+E193)</f>
        <v>0.23318112633181123</v>
      </c>
      <c r="F235" s="285">
        <f t="shared" ref="F235:L235" si="146">F188/(F188+F193)</f>
        <v>0.24465558194774345</v>
      </c>
      <c r="G235" s="285">
        <f t="shared" si="146"/>
        <v>0.24268502581755594</v>
      </c>
      <c r="H235" s="311">
        <f t="shared" si="146"/>
        <v>0.24268502581755594</v>
      </c>
      <c r="I235" s="285">
        <f t="shared" si="146"/>
        <v>0.25503355704697983</v>
      </c>
      <c r="J235" s="285">
        <f t="shared" si="146"/>
        <v>0.21017083829956296</v>
      </c>
      <c r="K235" s="285">
        <f t="shared" si="146"/>
        <v>0.50716964482682547</v>
      </c>
      <c r="L235" s="285">
        <f t="shared" si="146"/>
        <v>0.57705725425815724</v>
      </c>
      <c r="M235" s="54"/>
      <c r="N235" s="285">
        <f t="shared" ref="N235:P235" si="147">N188/(N188+N193)</f>
        <v>0.55229831144465291</v>
      </c>
      <c r="O235" s="285">
        <f t="shared" si="147"/>
        <v>0.30161844041196662</v>
      </c>
      <c r="P235" s="285">
        <f t="shared" si="147"/>
        <v>0.34948805460750854</v>
      </c>
      <c r="Q235" s="169">
        <f>'Earnings Model (adjusted)'!Q235-'Earnings Model'!Q235</f>
        <v>0</v>
      </c>
      <c r="R235" s="169">
        <f>'Earnings Model (adjusted)'!R235-'Earnings Model'!R235</f>
        <v>0</v>
      </c>
      <c r="S235" s="169">
        <f>'Earnings Model (adjusted)'!S235-'Earnings Model'!S235</f>
        <v>0</v>
      </c>
      <c r="T235" s="169">
        <f>'Earnings Model (adjusted)'!T235-'Earnings Model'!T235</f>
        <v>0</v>
      </c>
      <c r="U235" s="169">
        <f>'Earnings Model (adjusted)'!U235-'Earnings Model'!U235</f>
        <v>0</v>
      </c>
      <c r="V235" s="169">
        <f>'Earnings Model (adjusted)'!V235-'Earnings Model'!V235</f>
        <v>0</v>
      </c>
      <c r="W235" s="169">
        <f>'Earnings Model (adjusted)'!W235-'Earnings Model'!W235</f>
        <v>0</v>
      </c>
      <c r="X235" s="169">
        <f>'Earnings Model (adjusted)'!X235-'Earnings Model'!X235</f>
        <v>0</v>
      </c>
      <c r="Y235" s="169">
        <f>'Earnings Model (adjusted)'!Y235-'Earnings Model'!Y235</f>
        <v>0</v>
      </c>
      <c r="Z235" s="169">
        <f>'Earnings Model (adjusted)'!Z235-'Earnings Model'!Z235</f>
        <v>0</v>
      </c>
      <c r="AA235" s="169">
        <f>'Earnings Model (adjusted)'!AA235-'Earnings Model'!AA235</f>
        <v>0</v>
      </c>
      <c r="AB235" s="169">
        <f>'Earnings Model (adjusted)'!AB235-'Earnings Model'!AB235</f>
        <v>0</v>
      </c>
      <c r="AC235" s="169">
        <f>'Earnings Model (adjusted)'!AC235-'Earnings Model'!AC235</f>
        <v>0</v>
      </c>
      <c r="AD235" s="169">
        <f>'Earnings Model (adjusted)'!AD235-'Earnings Model'!AD235</f>
        <v>0</v>
      </c>
      <c r="AE235" s="169">
        <f>'Earnings Model (adjusted)'!AE235-'Earnings Model'!AE235</f>
        <v>0</v>
      </c>
      <c r="AF235" s="169">
        <f>'Earnings Model (adjusted)'!AF235-'Earnings Model'!AF235</f>
        <v>0</v>
      </c>
      <c r="AG235" s="169">
        <f>'Earnings Model (adjusted)'!AG235-'Earnings Model'!AG235</f>
        <v>0</v>
      </c>
      <c r="AH235" s="169">
        <f>'Earnings Model (adjusted)'!AH235-'Earnings Model'!AH235</f>
        <v>0</v>
      </c>
      <c r="AI235" s="169">
        <f>'Earnings Model (adjusted)'!AI235-'Earnings Model'!AI235</f>
        <v>0</v>
      </c>
      <c r="AJ235" s="169">
        <f>'Earnings Model (adjusted)'!AJ235-'Earnings Model'!AJ235</f>
        <v>0</v>
      </c>
      <c r="AK235" s="169">
        <f>'Earnings Model (adjusted)'!AK235-'Earnings Model'!AK235</f>
        <v>0</v>
      </c>
      <c r="AL235" s="169">
        <f>'Earnings Model (adjusted)'!AL235-'Earnings Model'!AL235</f>
        <v>0</v>
      </c>
      <c r="AM235" s="169">
        <f>'Earnings Model (adjusted)'!AM235-'Earnings Model'!AM235</f>
        <v>0</v>
      </c>
      <c r="AN235" s="169">
        <f>'Earnings Model (adjusted)'!AN235-'Earnings Model'!AN235</f>
        <v>0</v>
      </c>
      <c r="AO235" s="169">
        <f>'Earnings Model (adjusted)'!AO235-'Earnings Model'!AO235</f>
        <v>0</v>
      </c>
      <c r="AP235" s="169">
        <f>'Earnings Model (adjusted)'!AP235-'Earnings Model'!AP235</f>
        <v>0</v>
      </c>
      <c r="AQ235" s="169">
        <f>'Earnings Model (adjusted)'!AQ235-'Earnings Model'!AQ235</f>
        <v>0</v>
      </c>
    </row>
    <row r="236" spans="1:43" s="43" customFormat="1" outlineLevel="1" x14ac:dyDescent="0.25">
      <c r="A236" s="307"/>
      <c r="B236" s="539" t="s">
        <v>235</v>
      </c>
      <c r="C236" s="540"/>
      <c r="D236" s="56">
        <f>+(D209+D212)/D222</f>
        <v>-3.1717034875642636</v>
      </c>
      <c r="E236" s="56">
        <f>+(E209+E212)/E222</f>
        <v>-1.8304138862408643</v>
      </c>
      <c r="F236" s="285">
        <f>+(F209+F212)/F222</f>
        <v>-2.5837230840472332</v>
      </c>
      <c r="G236" s="285">
        <f>+(G209+G212)/G222</f>
        <v>-1.7921681913015568</v>
      </c>
      <c r="H236" s="311"/>
      <c r="I236" s="285">
        <f>+(I209+I212)/I222</f>
        <v>-1.7235726649997785</v>
      </c>
      <c r="J236" s="285">
        <f>+(J209+J212)/J222</f>
        <v>-1.8605318005017988</v>
      </c>
      <c r="K236" s="285">
        <f>+(K209+K212)/K222</f>
        <v>-1.9516598448569742</v>
      </c>
      <c r="L236" s="56">
        <f>+(L209+L212)/L222</f>
        <v>-2.0960971356771032</v>
      </c>
      <c r="M236" s="54"/>
      <c r="N236" s="56">
        <f>+(N209+N212)/N222</f>
        <v>-2.0136766194331983</v>
      </c>
      <c r="O236" s="56">
        <f>+(O209+O212)/O222</f>
        <v>-1.9152752899337104</v>
      </c>
      <c r="P236" s="56">
        <f>+(P209+P212)/P222</f>
        <v>-2.1515240716482933</v>
      </c>
      <c r="Q236" s="169">
        <f>'Earnings Model (adjusted)'!Q236-'Earnings Model'!Q236</f>
        <v>-1.4096492433466334E-2</v>
      </c>
      <c r="R236" s="169">
        <f>'Earnings Model (adjusted)'!R236-'Earnings Model'!R236</f>
        <v>0</v>
      </c>
      <c r="S236" s="169">
        <f>'Earnings Model (adjusted)'!S236-'Earnings Model'!S236</f>
        <v>-4.6285261469670491E-2</v>
      </c>
      <c r="T236" s="169">
        <f>'Earnings Model (adjusted)'!T236-'Earnings Model'!T236</f>
        <v>-7.2649799445697383E-2</v>
      </c>
      <c r="U236" s="169">
        <f>'Earnings Model (adjusted)'!U236-'Earnings Model'!U236</f>
        <v>-0.1066180133398853</v>
      </c>
      <c r="V236" s="169">
        <f>'Earnings Model (adjusted)'!V236-'Earnings Model'!V236</f>
        <v>-0.13602543044647852</v>
      </c>
      <c r="W236" s="169">
        <f>'Earnings Model (adjusted)'!W236-'Earnings Model'!W236</f>
        <v>-0.13602543044647852</v>
      </c>
      <c r="X236" s="169">
        <f>'Earnings Model (adjusted)'!X236-'Earnings Model'!X236</f>
        <v>-0.17636982949048718</v>
      </c>
      <c r="Y236" s="169">
        <f>'Earnings Model (adjusted)'!Y236-'Earnings Model'!Y236</f>
        <v>-0.21190643593251535</v>
      </c>
      <c r="Z236" s="169">
        <f>'Earnings Model (adjusted)'!Z236-'Earnings Model'!Z236</f>
        <v>-0.26089056643151531</v>
      </c>
      <c r="AA236" s="169">
        <f>'Earnings Model (adjusted)'!AA236-'Earnings Model'!AA236</f>
        <v>-0.32936780856102876</v>
      </c>
      <c r="AB236" s="169">
        <f>'Earnings Model (adjusted)'!AB236-'Earnings Model'!AB236</f>
        <v>0</v>
      </c>
      <c r="AC236" s="169">
        <f>'Earnings Model (adjusted)'!AC236-'Earnings Model'!AC236</f>
        <v>-0.45206272454553087</v>
      </c>
      <c r="AD236" s="169">
        <f>'Earnings Model (adjusted)'!AD236-'Earnings Model'!AD236</f>
        <v>-0.59603907259763922</v>
      </c>
      <c r="AE236" s="169">
        <f>'Earnings Model (adjusted)'!AE236-'Earnings Model'!AE236</f>
        <v>-0.8613098470900713</v>
      </c>
      <c r="AF236" s="169">
        <f>'Earnings Model (adjusted)'!AF236-'Earnings Model'!AF236</f>
        <v>-1.4582073145970695</v>
      </c>
      <c r="AG236" s="169">
        <f>'Earnings Model (adjusted)'!AG236-'Earnings Model'!AG236</f>
        <v>0</v>
      </c>
      <c r="AH236" s="169">
        <f>'Earnings Model (adjusted)'!AH236-'Earnings Model'!AH236</f>
        <v>-2.9272666788082313</v>
      </c>
      <c r="AI236" s="169">
        <f>'Earnings Model (adjusted)'!AI236-'Earnings Model'!AI236</f>
        <v>-6.8302446265646557</v>
      </c>
      <c r="AJ236" s="169">
        <f>'Earnings Model (adjusted)'!AJ236-'Earnings Model'!AJ236</f>
        <v>-166.82509818047512</v>
      </c>
      <c r="AK236" s="169">
        <f>'Earnings Model (adjusted)'!AK236-'Earnings Model'!AK236</f>
        <v>24.94146472557977</v>
      </c>
      <c r="AL236" s="169">
        <f>'Earnings Model (adjusted)'!AL236-'Earnings Model'!AL236</f>
        <v>0</v>
      </c>
      <c r="AM236" s="169">
        <f>'Earnings Model (adjusted)'!AM236-'Earnings Model'!AM236</f>
        <v>-71.945170963644316</v>
      </c>
      <c r="AN236" s="169">
        <f>'Earnings Model (adjusted)'!AN236-'Earnings Model'!AN236</f>
        <v>-7.8745707664780165</v>
      </c>
      <c r="AO236" s="169">
        <f>'Earnings Model (adjusted)'!AO236-'Earnings Model'!AO236</f>
        <v>-2.8328636771742493</v>
      </c>
      <c r="AP236" s="169">
        <f>'Earnings Model (adjusted)'!AP236-'Earnings Model'!AP236</f>
        <v>-1.3684966473908142</v>
      </c>
      <c r="AQ236" s="169">
        <f>'Earnings Model (adjusted)'!AQ236-'Earnings Model'!AQ236</f>
        <v>0</v>
      </c>
    </row>
    <row r="237" spans="1:43" s="43" customFormat="1" outlineLevel="1" x14ac:dyDescent="0.25">
      <c r="A237" s="307"/>
      <c r="B237" s="550" t="s">
        <v>236</v>
      </c>
      <c r="C237" s="540"/>
      <c r="D237" s="56">
        <f>+D209/(D209+D212)</f>
        <v>0</v>
      </c>
      <c r="E237" s="56">
        <f>+E209/(E209+E212)</f>
        <v>8.1375793413985785E-3</v>
      </c>
      <c r="F237" s="285">
        <f>+F209/(F209+F212)</f>
        <v>0</v>
      </c>
      <c r="G237" s="285">
        <f>+G209/(G209+G212)</f>
        <v>0</v>
      </c>
      <c r="H237" s="311"/>
      <c r="I237" s="285">
        <f>+I209/(I209+I212)</f>
        <v>8.5546532987690757E-2</v>
      </c>
      <c r="J237" s="285">
        <f>+J209/(J209+J212)</f>
        <v>0.16813887778982817</v>
      </c>
      <c r="K237" s="285">
        <f>+K209/(K209+K212)</f>
        <v>0.12987992894360045</v>
      </c>
      <c r="L237" s="56">
        <f>+L209/(L209+L212)</f>
        <v>0.10329514383758555</v>
      </c>
      <c r="M237" s="54"/>
      <c r="N237" s="56">
        <f>+N209/(N209+N212)</f>
        <v>7.8071889470410452E-2</v>
      </c>
      <c r="O237" s="56">
        <f>+O209/(O209+O212)</f>
        <v>1.2492661414742708E-3</v>
      </c>
      <c r="P237" s="56">
        <f>+P209/(P209+P212)</f>
        <v>6.8333093904132544E-2</v>
      </c>
      <c r="Q237" s="169">
        <f>'Earnings Model (adjusted)'!Q237-'Earnings Model'!Q237</f>
        <v>0</v>
      </c>
      <c r="R237" s="169">
        <f>'Earnings Model (adjusted)'!R237-'Earnings Model'!R237</f>
        <v>0</v>
      </c>
      <c r="S237" s="169">
        <f>'Earnings Model (adjusted)'!S237-'Earnings Model'!S237</f>
        <v>0</v>
      </c>
      <c r="T237" s="169">
        <f>'Earnings Model (adjusted)'!T237-'Earnings Model'!T237</f>
        <v>0</v>
      </c>
      <c r="U237" s="169">
        <f>'Earnings Model (adjusted)'!U237-'Earnings Model'!U237</f>
        <v>0</v>
      </c>
      <c r="V237" s="169">
        <f>'Earnings Model (adjusted)'!V237-'Earnings Model'!V237</f>
        <v>0</v>
      </c>
      <c r="W237" s="169">
        <f>'Earnings Model (adjusted)'!W237-'Earnings Model'!W237</f>
        <v>0</v>
      </c>
      <c r="X237" s="169">
        <f>'Earnings Model (adjusted)'!X237-'Earnings Model'!X237</f>
        <v>0</v>
      </c>
      <c r="Y237" s="169">
        <f>'Earnings Model (adjusted)'!Y237-'Earnings Model'!Y237</f>
        <v>0</v>
      </c>
      <c r="Z237" s="169">
        <f>'Earnings Model (adjusted)'!Z237-'Earnings Model'!Z237</f>
        <v>0</v>
      </c>
      <c r="AA237" s="169">
        <f>'Earnings Model (adjusted)'!AA237-'Earnings Model'!AA237</f>
        <v>0</v>
      </c>
      <c r="AB237" s="169">
        <f>'Earnings Model (adjusted)'!AB237-'Earnings Model'!AB237</f>
        <v>0</v>
      </c>
      <c r="AC237" s="169">
        <f>'Earnings Model (adjusted)'!AC237-'Earnings Model'!AC237</f>
        <v>0</v>
      </c>
      <c r="AD237" s="169">
        <f>'Earnings Model (adjusted)'!AD237-'Earnings Model'!AD237</f>
        <v>0</v>
      </c>
      <c r="AE237" s="169">
        <f>'Earnings Model (adjusted)'!AE237-'Earnings Model'!AE237</f>
        <v>0</v>
      </c>
      <c r="AF237" s="169">
        <f>'Earnings Model (adjusted)'!AF237-'Earnings Model'!AF237</f>
        <v>0</v>
      </c>
      <c r="AG237" s="169">
        <f>'Earnings Model (adjusted)'!AG237-'Earnings Model'!AG237</f>
        <v>0</v>
      </c>
      <c r="AH237" s="169">
        <f>'Earnings Model (adjusted)'!AH237-'Earnings Model'!AH237</f>
        <v>0</v>
      </c>
      <c r="AI237" s="169">
        <f>'Earnings Model (adjusted)'!AI237-'Earnings Model'!AI237</f>
        <v>0</v>
      </c>
      <c r="AJ237" s="169">
        <f>'Earnings Model (adjusted)'!AJ237-'Earnings Model'!AJ237</f>
        <v>0</v>
      </c>
      <c r="AK237" s="169">
        <f>'Earnings Model (adjusted)'!AK237-'Earnings Model'!AK237</f>
        <v>0</v>
      </c>
      <c r="AL237" s="169">
        <f>'Earnings Model (adjusted)'!AL237-'Earnings Model'!AL237</f>
        <v>0</v>
      </c>
      <c r="AM237" s="169">
        <f>'Earnings Model (adjusted)'!AM237-'Earnings Model'!AM237</f>
        <v>0</v>
      </c>
      <c r="AN237" s="169">
        <f>'Earnings Model (adjusted)'!AN237-'Earnings Model'!AN237</f>
        <v>0</v>
      </c>
      <c r="AO237" s="169">
        <f>'Earnings Model (adjusted)'!AO237-'Earnings Model'!AO237</f>
        <v>0</v>
      </c>
      <c r="AP237" s="169">
        <f>'Earnings Model (adjusted)'!AP237-'Earnings Model'!AP237</f>
        <v>0</v>
      </c>
      <c r="AQ237" s="169">
        <f>'Earnings Model (adjusted)'!AQ237-'Earnings Model'!AQ237</f>
        <v>0</v>
      </c>
    </row>
    <row r="238" spans="1:43" s="43" customFormat="1" outlineLevel="1" x14ac:dyDescent="0.25">
      <c r="A238" s="307"/>
      <c r="B238" s="539" t="s">
        <v>230</v>
      </c>
      <c r="C238" s="540"/>
      <c r="D238" s="56">
        <f>+D197/(D208+D214)</f>
        <v>7.7585075018799465E-2</v>
      </c>
      <c r="E238" s="56">
        <f>+E197/(E208+E214)</f>
        <v>0.12468259571674534</v>
      </c>
      <c r="F238" s="277">
        <f t="shared" ref="F238:L238" si="148">+F197/(F208+F214)</f>
        <v>0.19119242713361023</v>
      </c>
      <c r="G238" s="277">
        <f t="shared" si="148"/>
        <v>0.22035590386103276</v>
      </c>
      <c r="H238" s="306">
        <f t="shared" si="148"/>
        <v>0.22035590386103276</v>
      </c>
      <c r="I238" s="305">
        <f t="shared" si="148"/>
        <v>0.20507171706404201</v>
      </c>
      <c r="J238" s="305">
        <f t="shared" si="148"/>
        <v>0.21050752296288999</v>
      </c>
      <c r="K238" s="277">
        <f t="shared" si="148"/>
        <v>0.2146584586535733</v>
      </c>
      <c r="L238" s="277">
        <f t="shared" si="148"/>
        <v>0.22220980757293607</v>
      </c>
      <c r="M238" s="79"/>
      <c r="N238" s="305">
        <f t="shared" ref="N238:P238" si="149">+N197/(N208+N214)</f>
        <v>0.21164495979407008</v>
      </c>
      <c r="O238" s="305">
        <f t="shared" si="149"/>
        <v>0.21706605185058006</v>
      </c>
      <c r="P238" s="277">
        <f t="shared" si="149"/>
        <v>0.22796408734312845</v>
      </c>
      <c r="Q238" s="169">
        <f>'Earnings Model (adjusted)'!Q238-'Earnings Model'!Q238</f>
        <v>0</v>
      </c>
      <c r="R238" s="169">
        <f>'Earnings Model (adjusted)'!R238-'Earnings Model'!R238</f>
        <v>0</v>
      </c>
      <c r="S238" s="169">
        <f>'Earnings Model (adjusted)'!S238-'Earnings Model'!S238</f>
        <v>0</v>
      </c>
      <c r="T238" s="169">
        <f>'Earnings Model (adjusted)'!T238-'Earnings Model'!T238</f>
        <v>0</v>
      </c>
      <c r="U238" s="169">
        <f>'Earnings Model (adjusted)'!U238-'Earnings Model'!U238</f>
        <v>0</v>
      </c>
      <c r="V238" s="169">
        <f>'Earnings Model (adjusted)'!V238-'Earnings Model'!V238</f>
        <v>0</v>
      </c>
      <c r="W238" s="169">
        <f>'Earnings Model (adjusted)'!W238-'Earnings Model'!W238</f>
        <v>0</v>
      </c>
      <c r="X238" s="169">
        <f>'Earnings Model (adjusted)'!X238-'Earnings Model'!X238</f>
        <v>0</v>
      </c>
      <c r="Y238" s="169">
        <f>'Earnings Model (adjusted)'!Y238-'Earnings Model'!Y238</f>
        <v>0</v>
      </c>
      <c r="Z238" s="169">
        <f>'Earnings Model (adjusted)'!Z238-'Earnings Model'!Z238</f>
        <v>0</v>
      </c>
      <c r="AA238" s="169">
        <f>'Earnings Model (adjusted)'!AA238-'Earnings Model'!AA238</f>
        <v>0</v>
      </c>
      <c r="AB238" s="169">
        <f>'Earnings Model (adjusted)'!AB238-'Earnings Model'!AB238</f>
        <v>0</v>
      </c>
      <c r="AC238" s="169">
        <f>'Earnings Model (adjusted)'!AC238-'Earnings Model'!AC238</f>
        <v>0</v>
      </c>
      <c r="AD238" s="169">
        <f>'Earnings Model (adjusted)'!AD238-'Earnings Model'!AD238</f>
        <v>0</v>
      </c>
      <c r="AE238" s="169">
        <f>'Earnings Model (adjusted)'!AE238-'Earnings Model'!AE238</f>
        <v>0</v>
      </c>
      <c r="AF238" s="169">
        <f>'Earnings Model (adjusted)'!AF238-'Earnings Model'!AF238</f>
        <v>0</v>
      </c>
      <c r="AG238" s="169">
        <f>'Earnings Model (adjusted)'!AG238-'Earnings Model'!AG238</f>
        <v>0</v>
      </c>
      <c r="AH238" s="169">
        <f>'Earnings Model (adjusted)'!AH238-'Earnings Model'!AH238</f>
        <v>0</v>
      </c>
      <c r="AI238" s="169">
        <f>'Earnings Model (adjusted)'!AI238-'Earnings Model'!AI238</f>
        <v>0</v>
      </c>
      <c r="AJ238" s="169">
        <f>'Earnings Model (adjusted)'!AJ238-'Earnings Model'!AJ238</f>
        <v>0</v>
      </c>
      <c r="AK238" s="169">
        <f>'Earnings Model (adjusted)'!AK238-'Earnings Model'!AK238</f>
        <v>0</v>
      </c>
      <c r="AL238" s="169">
        <f>'Earnings Model (adjusted)'!AL238-'Earnings Model'!AL238</f>
        <v>0</v>
      </c>
      <c r="AM238" s="169">
        <f>'Earnings Model (adjusted)'!AM238-'Earnings Model'!AM238</f>
        <v>0</v>
      </c>
      <c r="AN238" s="169">
        <f>'Earnings Model (adjusted)'!AN238-'Earnings Model'!AN238</f>
        <v>0</v>
      </c>
      <c r="AO238" s="169">
        <f>'Earnings Model (adjusted)'!AO238-'Earnings Model'!AO238</f>
        <v>0</v>
      </c>
      <c r="AP238" s="169">
        <f>'Earnings Model (adjusted)'!AP238-'Earnings Model'!AP238</f>
        <v>0</v>
      </c>
      <c r="AQ238" s="169">
        <f>'Earnings Model (adjusted)'!AQ238-'Earnings Model'!AQ238</f>
        <v>0</v>
      </c>
    </row>
    <row r="239" spans="1:43" outlineLevel="1" x14ac:dyDescent="0.25">
      <c r="A239" s="254"/>
      <c r="B239" s="543" t="s">
        <v>70</v>
      </c>
      <c r="C239" s="544"/>
      <c r="D239" s="235"/>
      <c r="E239" s="235">
        <f>+E245/((E195+D195)/2)</f>
        <v>6.122482504846076E-2</v>
      </c>
      <c r="F239" s="312">
        <f t="shared" ref="F239:H239" si="150">+F245/((F195+E195)/2)</f>
        <v>5.8442138063667992E-2</v>
      </c>
      <c r="G239" s="312">
        <f t="shared" si="150"/>
        <v>5.7957922263164152E-2</v>
      </c>
      <c r="H239" s="313">
        <f t="shared" si="150"/>
        <v>0.2253370026587061</v>
      </c>
      <c r="I239" s="314">
        <f>+I245/((I195+G195)/2)</f>
        <v>5.75858250276855E-2</v>
      </c>
      <c r="J239" s="314">
        <f>+J245/((J195+I195)/2)</f>
        <v>5.9117695395957084E-2</v>
      </c>
      <c r="K239" s="312">
        <f>+K245/((K195+J195)/2)</f>
        <v>5.9467301657388859E-2</v>
      </c>
      <c r="L239" s="312">
        <f t="shared" ref="L239" si="151">+L245/((L195+K195)/2)</f>
        <v>6.0492940894950963E-2</v>
      </c>
      <c r="M239" s="104"/>
      <c r="N239" s="314">
        <f>+N245/((N195+L195)/2)</f>
        <v>6.2547808652661588E-2</v>
      </c>
      <c r="O239" s="314">
        <f>+O245/((O195+N195)/2)</f>
        <v>6.251524266319812E-2</v>
      </c>
      <c r="P239" s="312">
        <f>+P245/((P195+O195)/2)</f>
        <v>6.0825288199111989E-2</v>
      </c>
      <c r="Q239" s="169">
        <f>'Earnings Model (adjusted)'!Q239-'Earnings Model'!Q239</f>
        <v>0</v>
      </c>
      <c r="R239" s="169">
        <f>'Earnings Model (adjusted)'!R239-'Earnings Model'!R239</f>
        <v>0</v>
      </c>
      <c r="S239" s="169">
        <f>'Earnings Model (adjusted)'!S239-'Earnings Model'!S239</f>
        <v>0</v>
      </c>
      <c r="T239" s="169">
        <f>'Earnings Model (adjusted)'!T239-'Earnings Model'!T239</f>
        <v>0</v>
      </c>
      <c r="U239" s="169">
        <f>'Earnings Model (adjusted)'!U239-'Earnings Model'!U239</f>
        <v>0</v>
      </c>
      <c r="V239" s="169">
        <f>'Earnings Model (adjusted)'!V239-'Earnings Model'!V239</f>
        <v>0</v>
      </c>
      <c r="W239" s="169">
        <f>'Earnings Model (adjusted)'!W239-'Earnings Model'!W239</f>
        <v>0</v>
      </c>
      <c r="X239" s="169">
        <f>'Earnings Model (adjusted)'!X239-'Earnings Model'!X239</f>
        <v>0</v>
      </c>
      <c r="Y239" s="169">
        <f>'Earnings Model (adjusted)'!Y239-'Earnings Model'!Y239</f>
        <v>0</v>
      </c>
      <c r="Z239" s="169">
        <f>'Earnings Model (adjusted)'!Z239-'Earnings Model'!Z239</f>
        <v>0</v>
      </c>
      <c r="AA239" s="169">
        <f>'Earnings Model (adjusted)'!AA239-'Earnings Model'!AA239</f>
        <v>0</v>
      </c>
      <c r="AB239" s="169">
        <f>'Earnings Model (adjusted)'!AB239-'Earnings Model'!AB239</f>
        <v>0</v>
      </c>
      <c r="AC239" s="169">
        <f>'Earnings Model (adjusted)'!AC239-'Earnings Model'!AC239</f>
        <v>0</v>
      </c>
      <c r="AD239" s="169">
        <f>'Earnings Model (adjusted)'!AD239-'Earnings Model'!AD239</f>
        <v>0</v>
      </c>
      <c r="AE239" s="169">
        <f>'Earnings Model (adjusted)'!AE239-'Earnings Model'!AE239</f>
        <v>0</v>
      </c>
      <c r="AF239" s="169">
        <f>'Earnings Model (adjusted)'!AF239-'Earnings Model'!AF239</f>
        <v>0</v>
      </c>
      <c r="AG239" s="169">
        <f>'Earnings Model (adjusted)'!AG239-'Earnings Model'!AG239</f>
        <v>0</v>
      </c>
      <c r="AH239" s="169">
        <f>'Earnings Model (adjusted)'!AH239-'Earnings Model'!AH239</f>
        <v>0</v>
      </c>
      <c r="AI239" s="169">
        <f>'Earnings Model (adjusted)'!AI239-'Earnings Model'!AI239</f>
        <v>0</v>
      </c>
      <c r="AJ239" s="169">
        <f>'Earnings Model (adjusted)'!AJ239-'Earnings Model'!AJ239</f>
        <v>0</v>
      </c>
      <c r="AK239" s="169">
        <f>'Earnings Model (adjusted)'!AK239-'Earnings Model'!AK239</f>
        <v>0</v>
      </c>
      <c r="AL239" s="169">
        <f>'Earnings Model (adjusted)'!AL239-'Earnings Model'!AL239</f>
        <v>0</v>
      </c>
      <c r="AM239" s="169">
        <f>'Earnings Model (adjusted)'!AM239-'Earnings Model'!AM239</f>
        <v>0</v>
      </c>
      <c r="AN239" s="169">
        <f>'Earnings Model (adjusted)'!AN239-'Earnings Model'!AN239</f>
        <v>0</v>
      </c>
      <c r="AO239" s="169">
        <f>'Earnings Model (adjusted)'!AO239-'Earnings Model'!AO239</f>
        <v>0</v>
      </c>
      <c r="AP239" s="169">
        <f>'Earnings Model (adjusted)'!AP239-'Earnings Model'!AP239</f>
        <v>0</v>
      </c>
      <c r="AQ239" s="169">
        <f>'Earnings Model (adjusted)'!AQ239-'Earnings Model'!AQ239</f>
        <v>0</v>
      </c>
    </row>
    <row r="240" spans="1:43" x14ac:dyDescent="0.25">
      <c r="A240" s="254"/>
      <c r="B240" s="19"/>
      <c r="C240" s="19"/>
      <c r="D240" s="13"/>
      <c r="E240" s="13"/>
      <c r="F240" s="13"/>
      <c r="G240" s="13"/>
      <c r="Q240" s="169">
        <f>'Earnings Model (adjusted)'!Q240-'Earnings Model'!Q240</f>
        <v>0</v>
      </c>
      <c r="R240" s="169">
        <f>'Earnings Model (adjusted)'!R240-'Earnings Model'!R240</f>
        <v>0</v>
      </c>
      <c r="S240" s="169">
        <f>'Earnings Model (adjusted)'!S240-'Earnings Model'!S240</f>
        <v>0</v>
      </c>
      <c r="T240" s="169">
        <f>'Earnings Model (adjusted)'!T240-'Earnings Model'!T240</f>
        <v>0</v>
      </c>
      <c r="U240" s="169">
        <f>'Earnings Model (adjusted)'!U240-'Earnings Model'!U240</f>
        <v>0</v>
      </c>
      <c r="V240" s="169">
        <f>'Earnings Model (adjusted)'!V240-'Earnings Model'!V240</f>
        <v>0</v>
      </c>
      <c r="W240" s="169">
        <f>'Earnings Model (adjusted)'!W240-'Earnings Model'!W240</f>
        <v>0</v>
      </c>
      <c r="X240" s="169">
        <f>'Earnings Model (adjusted)'!X240-'Earnings Model'!X240</f>
        <v>0</v>
      </c>
      <c r="Y240" s="169">
        <f>'Earnings Model (adjusted)'!Y240-'Earnings Model'!Y240</f>
        <v>0</v>
      </c>
      <c r="Z240" s="169">
        <f>'Earnings Model (adjusted)'!Z240-'Earnings Model'!Z240</f>
        <v>0</v>
      </c>
      <c r="AA240" s="169">
        <f>'Earnings Model (adjusted)'!AA240-'Earnings Model'!AA240</f>
        <v>0</v>
      </c>
      <c r="AB240" s="169">
        <f>'Earnings Model (adjusted)'!AB240-'Earnings Model'!AB240</f>
        <v>0</v>
      </c>
      <c r="AC240" s="169">
        <f>'Earnings Model (adjusted)'!AC240-'Earnings Model'!AC240</f>
        <v>0</v>
      </c>
      <c r="AD240" s="169">
        <f>'Earnings Model (adjusted)'!AD240-'Earnings Model'!AD240</f>
        <v>0</v>
      </c>
      <c r="AE240" s="169">
        <f>'Earnings Model (adjusted)'!AE240-'Earnings Model'!AE240</f>
        <v>0</v>
      </c>
      <c r="AF240" s="169">
        <f>'Earnings Model (adjusted)'!AF240-'Earnings Model'!AF240</f>
        <v>0</v>
      </c>
      <c r="AG240" s="169">
        <f>'Earnings Model (adjusted)'!AG240-'Earnings Model'!AG240</f>
        <v>0</v>
      </c>
      <c r="AH240" s="169">
        <f>'Earnings Model (adjusted)'!AH240-'Earnings Model'!AH240</f>
        <v>0</v>
      </c>
      <c r="AI240" s="169">
        <f>'Earnings Model (adjusted)'!AI240-'Earnings Model'!AI240</f>
        <v>0</v>
      </c>
      <c r="AJ240" s="169">
        <f>'Earnings Model (adjusted)'!AJ240-'Earnings Model'!AJ240</f>
        <v>0</v>
      </c>
      <c r="AK240" s="169">
        <f>'Earnings Model (adjusted)'!AK240-'Earnings Model'!AK240</f>
        <v>0</v>
      </c>
      <c r="AL240" s="169">
        <f>'Earnings Model (adjusted)'!AL240-'Earnings Model'!AL240</f>
        <v>0</v>
      </c>
      <c r="AM240" s="169">
        <f>'Earnings Model (adjusted)'!AM240-'Earnings Model'!AM240</f>
        <v>0</v>
      </c>
      <c r="AN240" s="169">
        <f>'Earnings Model (adjusted)'!AN240-'Earnings Model'!AN240</f>
        <v>0</v>
      </c>
      <c r="AO240" s="169">
        <f>'Earnings Model (adjusted)'!AO240-'Earnings Model'!AO240</f>
        <v>0</v>
      </c>
      <c r="AP240" s="169">
        <f>'Earnings Model (adjusted)'!AP240-'Earnings Model'!AP240</f>
        <v>0</v>
      </c>
      <c r="AQ240" s="169">
        <f>'Earnings Model (adjusted)'!AQ240-'Earnings Model'!AQ240</f>
        <v>0</v>
      </c>
    </row>
    <row r="241" spans="1:43" ht="15.75" x14ac:dyDescent="0.25">
      <c r="A241" s="254"/>
      <c r="B241" s="565" t="s">
        <v>118</v>
      </c>
      <c r="C241" s="566"/>
      <c r="D241" s="31" t="s">
        <v>106</v>
      </c>
      <c r="E241" s="31" t="s">
        <v>244</v>
      </c>
      <c r="F241" s="31" t="s">
        <v>246</v>
      </c>
      <c r="G241" s="31" t="s">
        <v>337</v>
      </c>
      <c r="H241" s="85" t="s">
        <v>337</v>
      </c>
      <c r="I241" s="31" t="s">
        <v>336</v>
      </c>
      <c r="J241" s="31" t="s">
        <v>335</v>
      </c>
      <c r="K241" s="31" t="s">
        <v>334</v>
      </c>
      <c r="L241" s="31" t="s">
        <v>321</v>
      </c>
      <c r="M241" s="85" t="s">
        <v>321</v>
      </c>
      <c r="N241" s="31" t="s">
        <v>338</v>
      </c>
      <c r="O241" s="31" t="s">
        <v>346</v>
      </c>
      <c r="P241" s="31" t="s">
        <v>348</v>
      </c>
      <c r="Q241" s="169" t="e">
        <f>'Earnings Model (adjusted)'!Q241-'Earnings Model'!Q241</f>
        <v>#VALUE!</v>
      </c>
      <c r="R241" s="169" t="e">
        <f>'Earnings Model (adjusted)'!R241-'Earnings Model'!R241</f>
        <v>#VALUE!</v>
      </c>
      <c r="S241" s="169" t="e">
        <f>'Earnings Model (adjusted)'!S241-'Earnings Model'!S241</f>
        <v>#VALUE!</v>
      </c>
      <c r="T241" s="169" t="e">
        <f>'Earnings Model (adjusted)'!T241-'Earnings Model'!T241</f>
        <v>#VALUE!</v>
      </c>
      <c r="U241" s="169" t="e">
        <f>'Earnings Model (adjusted)'!U241-'Earnings Model'!U241</f>
        <v>#VALUE!</v>
      </c>
      <c r="V241" s="169" t="e">
        <f>'Earnings Model (adjusted)'!V241-'Earnings Model'!V241</f>
        <v>#VALUE!</v>
      </c>
      <c r="W241" s="169" t="e">
        <f>'Earnings Model (adjusted)'!W241-'Earnings Model'!W241</f>
        <v>#VALUE!</v>
      </c>
      <c r="X241" s="169" t="e">
        <f>'Earnings Model (adjusted)'!X241-'Earnings Model'!X241</f>
        <v>#VALUE!</v>
      </c>
      <c r="Y241" s="169" t="e">
        <f>'Earnings Model (adjusted)'!Y241-'Earnings Model'!Y241</f>
        <v>#VALUE!</v>
      </c>
      <c r="Z241" s="169" t="e">
        <f>'Earnings Model (adjusted)'!Z241-'Earnings Model'!Z241</f>
        <v>#VALUE!</v>
      </c>
      <c r="AA241" s="169" t="e">
        <f>'Earnings Model (adjusted)'!AA241-'Earnings Model'!AA241</f>
        <v>#VALUE!</v>
      </c>
      <c r="AB241" s="169" t="e">
        <f>'Earnings Model (adjusted)'!AB241-'Earnings Model'!AB241</f>
        <v>#VALUE!</v>
      </c>
      <c r="AC241" s="169" t="e">
        <f>'Earnings Model (adjusted)'!AC241-'Earnings Model'!AC241</f>
        <v>#VALUE!</v>
      </c>
      <c r="AD241" s="169" t="e">
        <f>'Earnings Model (adjusted)'!AD241-'Earnings Model'!AD241</f>
        <v>#VALUE!</v>
      </c>
      <c r="AE241" s="169" t="e">
        <f>'Earnings Model (adjusted)'!AE241-'Earnings Model'!AE241</f>
        <v>#VALUE!</v>
      </c>
      <c r="AF241" s="169" t="e">
        <f>'Earnings Model (adjusted)'!AF241-'Earnings Model'!AF241</f>
        <v>#VALUE!</v>
      </c>
      <c r="AG241" s="169" t="e">
        <f>'Earnings Model (adjusted)'!AG241-'Earnings Model'!AG241</f>
        <v>#VALUE!</v>
      </c>
      <c r="AH241" s="169" t="e">
        <f>'Earnings Model (adjusted)'!AH241-'Earnings Model'!AH241</f>
        <v>#VALUE!</v>
      </c>
      <c r="AI241" s="169" t="e">
        <f>'Earnings Model (adjusted)'!AI241-'Earnings Model'!AI241</f>
        <v>#VALUE!</v>
      </c>
      <c r="AJ241" s="169" t="e">
        <f>'Earnings Model (adjusted)'!AJ241-'Earnings Model'!AJ241</f>
        <v>#VALUE!</v>
      </c>
      <c r="AK241" s="169" t="e">
        <f>'Earnings Model (adjusted)'!AK241-'Earnings Model'!AK241</f>
        <v>#VALUE!</v>
      </c>
      <c r="AL241" s="169" t="e">
        <f>'Earnings Model (adjusted)'!AL241-'Earnings Model'!AL241</f>
        <v>#VALUE!</v>
      </c>
      <c r="AM241" s="169" t="e">
        <f>'Earnings Model (adjusted)'!AM241-'Earnings Model'!AM241</f>
        <v>#VALUE!</v>
      </c>
      <c r="AN241" s="169" t="e">
        <f>'Earnings Model (adjusted)'!AN241-'Earnings Model'!AN241</f>
        <v>#VALUE!</v>
      </c>
      <c r="AO241" s="169" t="e">
        <f>'Earnings Model (adjusted)'!AO241-'Earnings Model'!AO241</f>
        <v>#VALUE!</v>
      </c>
      <c r="AP241" s="169" t="e">
        <f>'Earnings Model (adjusted)'!AP241-'Earnings Model'!AP241</f>
        <v>#VALUE!</v>
      </c>
      <c r="AQ241" s="169" t="e">
        <f>'Earnings Model (adjusted)'!AQ241-'Earnings Model'!AQ241</f>
        <v>#VALUE!</v>
      </c>
    </row>
    <row r="242" spans="1:43" ht="17.25" x14ac:dyDescent="0.4">
      <c r="A242" s="254"/>
      <c r="B242" s="537" t="s">
        <v>3</v>
      </c>
      <c r="C242" s="538"/>
      <c r="D242" s="32" t="s">
        <v>119</v>
      </c>
      <c r="E242" s="32" t="s">
        <v>243</v>
      </c>
      <c r="F242" s="32" t="s">
        <v>247</v>
      </c>
      <c r="G242" s="32" t="s">
        <v>257</v>
      </c>
      <c r="H242" s="86" t="s">
        <v>258</v>
      </c>
      <c r="I242" s="32" t="s">
        <v>259</v>
      </c>
      <c r="J242" s="32" t="s">
        <v>260</v>
      </c>
      <c r="K242" s="32" t="s">
        <v>261</v>
      </c>
      <c r="L242" s="32" t="s">
        <v>322</v>
      </c>
      <c r="M242" s="86" t="s">
        <v>333</v>
      </c>
      <c r="N242" s="32" t="s">
        <v>339</v>
      </c>
      <c r="O242" s="32" t="s">
        <v>347</v>
      </c>
      <c r="P242" s="32" t="s">
        <v>349</v>
      </c>
      <c r="Q242" s="169" t="e">
        <f>'Earnings Model (adjusted)'!Q242-'Earnings Model'!Q242</f>
        <v>#VALUE!</v>
      </c>
      <c r="R242" s="169" t="e">
        <f>'Earnings Model (adjusted)'!R242-'Earnings Model'!R242</f>
        <v>#VALUE!</v>
      </c>
      <c r="S242" s="169" t="e">
        <f>'Earnings Model (adjusted)'!S242-'Earnings Model'!S242</f>
        <v>#VALUE!</v>
      </c>
      <c r="T242" s="169" t="e">
        <f>'Earnings Model (adjusted)'!T242-'Earnings Model'!T242</f>
        <v>#VALUE!</v>
      </c>
      <c r="U242" s="169" t="e">
        <f>'Earnings Model (adjusted)'!U242-'Earnings Model'!U242</f>
        <v>#VALUE!</v>
      </c>
      <c r="V242" s="169" t="e">
        <f>'Earnings Model (adjusted)'!V242-'Earnings Model'!V242</f>
        <v>#VALUE!</v>
      </c>
      <c r="W242" s="169" t="e">
        <f>'Earnings Model (adjusted)'!W242-'Earnings Model'!W242</f>
        <v>#VALUE!</v>
      </c>
      <c r="X242" s="169" t="e">
        <f>'Earnings Model (adjusted)'!X242-'Earnings Model'!X242</f>
        <v>#VALUE!</v>
      </c>
      <c r="Y242" s="169" t="e">
        <f>'Earnings Model (adjusted)'!Y242-'Earnings Model'!Y242</f>
        <v>#VALUE!</v>
      </c>
      <c r="Z242" s="169" t="e">
        <f>'Earnings Model (adjusted)'!Z242-'Earnings Model'!Z242</f>
        <v>#VALUE!</v>
      </c>
      <c r="AA242" s="169" t="e">
        <f>'Earnings Model (adjusted)'!AA242-'Earnings Model'!AA242</f>
        <v>#VALUE!</v>
      </c>
      <c r="AB242" s="169" t="e">
        <f>'Earnings Model (adjusted)'!AB242-'Earnings Model'!AB242</f>
        <v>#VALUE!</v>
      </c>
      <c r="AC242" s="169" t="e">
        <f>'Earnings Model (adjusted)'!AC242-'Earnings Model'!AC242</f>
        <v>#VALUE!</v>
      </c>
      <c r="AD242" s="169" t="e">
        <f>'Earnings Model (adjusted)'!AD242-'Earnings Model'!AD242</f>
        <v>#VALUE!</v>
      </c>
      <c r="AE242" s="169" t="e">
        <f>'Earnings Model (adjusted)'!AE242-'Earnings Model'!AE242</f>
        <v>#VALUE!</v>
      </c>
      <c r="AF242" s="169" t="e">
        <f>'Earnings Model (adjusted)'!AF242-'Earnings Model'!AF242</f>
        <v>#VALUE!</v>
      </c>
      <c r="AG242" s="169" t="e">
        <f>'Earnings Model (adjusted)'!AG242-'Earnings Model'!AG242</f>
        <v>#VALUE!</v>
      </c>
      <c r="AH242" s="169" t="e">
        <f>'Earnings Model (adjusted)'!AH242-'Earnings Model'!AH242</f>
        <v>#VALUE!</v>
      </c>
      <c r="AI242" s="169" t="e">
        <f>'Earnings Model (adjusted)'!AI242-'Earnings Model'!AI242</f>
        <v>#VALUE!</v>
      </c>
      <c r="AJ242" s="169" t="e">
        <f>'Earnings Model (adjusted)'!AJ242-'Earnings Model'!AJ242</f>
        <v>#VALUE!</v>
      </c>
      <c r="AK242" s="169" t="e">
        <f>'Earnings Model (adjusted)'!AK242-'Earnings Model'!AK242</f>
        <v>#VALUE!</v>
      </c>
      <c r="AL242" s="169" t="e">
        <f>'Earnings Model (adjusted)'!AL242-'Earnings Model'!AL242</f>
        <v>#VALUE!</v>
      </c>
      <c r="AM242" s="169" t="e">
        <f>'Earnings Model (adjusted)'!AM242-'Earnings Model'!AM242</f>
        <v>#VALUE!</v>
      </c>
      <c r="AN242" s="169" t="e">
        <f>'Earnings Model (adjusted)'!AN242-'Earnings Model'!AN242</f>
        <v>#VALUE!</v>
      </c>
      <c r="AO242" s="169" t="e">
        <f>'Earnings Model (adjusted)'!AO242-'Earnings Model'!AO242</f>
        <v>#VALUE!</v>
      </c>
      <c r="AP242" s="169" t="e">
        <f>'Earnings Model (adjusted)'!AP242-'Earnings Model'!AP242</f>
        <v>#VALUE!</v>
      </c>
      <c r="AQ242" s="169" t="e">
        <f>'Earnings Model (adjusted)'!AQ242-'Earnings Model'!AQ242</f>
        <v>#VALUE!</v>
      </c>
    </row>
    <row r="243" spans="1:43" outlineLevel="1" x14ac:dyDescent="0.25">
      <c r="A243" s="254"/>
      <c r="B243" s="589" t="s">
        <v>11</v>
      </c>
      <c r="C243" s="590"/>
      <c r="D243" s="13"/>
      <c r="E243" s="13"/>
      <c r="F243" s="13"/>
      <c r="G243" s="13"/>
      <c r="H243" s="15"/>
      <c r="I243" s="13"/>
      <c r="J243" s="13"/>
      <c r="K243" s="302"/>
      <c r="L243" s="13"/>
      <c r="M243" s="15"/>
      <c r="N243" s="13"/>
      <c r="O243" s="13"/>
      <c r="P243" s="13"/>
      <c r="Q243" s="169">
        <f>'Earnings Model (adjusted)'!Q243-'Earnings Model'!Q243</f>
        <v>0</v>
      </c>
      <c r="R243" s="169">
        <f>'Earnings Model (adjusted)'!R243-'Earnings Model'!R243</f>
        <v>0</v>
      </c>
      <c r="S243" s="169">
        <f>'Earnings Model (adjusted)'!S243-'Earnings Model'!S243</f>
        <v>0</v>
      </c>
      <c r="T243" s="169">
        <f>'Earnings Model (adjusted)'!T243-'Earnings Model'!T243</f>
        <v>0</v>
      </c>
      <c r="U243" s="169">
        <f>'Earnings Model (adjusted)'!U243-'Earnings Model'!U243</f>
        <v>0</v>
      </c>
      <c r="V243" s="169">
        <f>'Earnings Model (adjusted)'!V243-'Earnings Model'!V243</f>
        <v>0</v>
      </c>
      <c r="W243" s="169">
        <f>'Earnings Model (adjusted)'!W243-'Earnings Model'!W243</f>
        <v>0</v>
      </c>
      <c r="X243" s="169">
        <f>'Earnings Model (adjusted)'!X243-'Earnings Model'!X243</f>
        <v>0</v>
      </c>
      <c r="Y243" s="169">
        <f>'Earnings Model (adjusted)'!Y243-'Earnings Model'!Y243</f>
        <v>0</v>
      </c>
      <c r="Z243" s="169">
        <f>'Earnings Model (adjusted)'!Z243-'Earnings Model'!Z243</f>
        <v>0</v>
      </c>
      <c r="AA243" s="169">
        <f>'Earnings Model (adjusted)'!AA243-'Earnings Model'!AA243</f>
        <v>0</v>
      </c>
      <c r="AB243" s="169">
        <f>'Earnings Model (adjusted)'!AB243-'Earnings Model'!AB243</f>
        <v>0</v>
      </c>
      <c r="AC243" s="169">
        <f>'Earnings Model (adjusted)'!AC243-'Earnings Model'!AC243</f>
        <v>0</v>
      </c>
      <c r="AD243" s="169">
        <f>'Earnings Model (adjusted)'!AD243-'Earnings Model'!AD243</f>
        <v>0</v>
      </c>
      <c r="AE243" s="169">
        <f>'Earnings Model (adjusted)'!AE243-'Earnings Model'!AE243</f>
        <v>0</v>
      </c>
      <c r="AF243" s="169">
        <f>'Earnings Model (adjusted)'!AF243-'Earnings Model'!AF243</f>
        <v>0</v>
      </c>
      <c r="AG243" s="169">
        <f>'Earnings Model (adjusted)'!AG243-'Earnings Model'!AG243</f>
        <v>0</v>
      </c>
      <c r="AH243" s="169">
        <f>'Earnings Model (adjusted)'!AH243-'Earnings Model'!AH243</f>
        <v>0</v>
      </c>
      <c r="AI243" s="169">
        <f>'Earnings Model (adjusted)'!AI243-'Earnings Model'!AI243</f>
        <v>0</v>
      </c>
      <c r="AJ243" s="169">
        <f>'Earnings Model (adjusted)'!AJ243-'Earnings Model'!AJ243</f>
        <v>0</v>
      </c>
      <c r="AK243" s="169">
        <f>'Earnings Model (adjusted)'!AK243-'Earnings Model'!AK243</f>
        <v>0</v>
      </c>
      <c r="AL243" s="169">
        <f>'Earnings Model (adjusted)'!AL243-'Earnings Model'!AL243</f>
        <v>0</v>
      </c>
      <c r="AM243" s="169">
        <f>'Earnings Model (adjusted)'!AM243-'Earnings Model'!AM243</f>
        <v>0</v>
      </c>
      <c r="AN243" s="169">
        <f>'Earnings Model (adjusted)'!AN243-'Earnings Model'!AN243</f>
        <v>0</v>
      </c>
      <c r="AO243" s="169">
        <f>'Earnings Model (adjusted)'!AO243-'Earnings Model'!AO243</f>
        <v>0</v>
      </c>
      <c r="AP243" s="169">
        <f>'Earnings Model (adjusted)'!AP243-'Earnings Model'!AP243</f>
        <v>0</v>
      </c>
      <c r="AQ243" s="169">
        <f>'Earnings Model (adjusted)'!AQ243-'Earnings Model'!AQ243</f>
        <v>0</v>
      </c>
    </row>
    <row r="244" spans="1:43" outlineLevel="1" x14ac:dyDescent="0.25">
      <c r="A244" s="254"/>
      <c r="B244" s="57" t="s">
        <v>213</v>
      </c>
      <c r="C244" s="144"/>
      <c r="D244" s="34">
        <f>D33</f>
        <v>760.40000000000043</v>
      </c>
      <c r="E244" s="256">
        <f>E33-0.2</f>
        <v>658.59999999999968</v>
      </c>
      <c r="F244" s="34">
        <f>F33</f>
        <v>1373.200000000001</v>
      </c>
      <c r="G244" s="34">
        <f>G33+0.2</f>
        <v>802.400000000001</v>
      </c>
      <c r="H244" s="35">
        <f>H33</f>
        <v>3594.6000000000054</v>
      </c>
      <c r="I244" s="34">
        <f>I33</f>
        <v>885.29999999999882</v>
      </c>
      <c r="J244" s="34">
        <f>J33</f>
        <v>324.79999999999905</v>
      </c>
      <c r="K244" s="34">
        <f>K33</f>
        <v>-678.09999999999923</v>
      </c>
      <c r="L244" s="34">
        <f>924.7-K244-J244-I244</f>
        <v>392.70000000000141</v>
      </c>
      <c r="M244" s="35">
        <f t="shared" ref="M244:P244" si="152">M33</f>
        <v>924.70000000000437</v>
      </c>
      <c r="N244" s="34">
        <f t="shared" si="152"/>
        <v>622.20000000000016</v>
      </c>
      <c r="O244" s="34">
        <f t="shared" si="152"/>
        <v>659.4</v>
      </c>
      <c r="P244" s="34">
        <f t="shared" si="152"/>
        <v>1154.1999999999989</v>
      </c>
      <c r="Q244" s="169">
        <f>'Earnings Model (adjusted)'!Q244-'Earnings Model'!Q244</f>
        <v>36.526254633705548</v>
      </c>
      <c r="R244" s="169">
        <f>'Earnings Model (adjusted)'!R244-'Earnings Model'!R244</f>
        <v>36.526254633703957</v>
      </c>
      <c r="S244" s="169">
        <f>'Earnings Model (adjusted)'!S244-'Earnings Model'!S244</f>
        <v>85.854896597551942</v>
      </c>
      <c r="T244" s="169">
        <f>'Earnings Model (adjusted)'!T244-'Earnings Model'!T244</f>
        <v>82.72398551987726</v>
      </c>
      <c r="U244" s="169">
        <f>'Earnings Model (adjusted)'!U244-'Earnings Model'!U244</f>
        <v>89.496941455373644</v>
      </c>
      <c r="V244" s="169">
        <f>'Earnings Model (adjusted)'!V244-'Earnings Model'!V244</f>
        <v>63.848159991578314</v>
      </c>
      <c r="W244" s="169">
        <f>'Earnings Model (adjusted)'!W244-'Earnings Model'!W244</f>
        <v>321.9239835643757</v>
      </c>
      <c r="X244" s="169">
        <f>'Earnings Model (adjusted)'!X244-'Earnings Model'!X244</f>
        <v>86.170944408030664</v>
      </c>
      <c r="Y244" s="169">
        <f>'Earnings Model (adjusted)'!Y244-'Earnings Model'!Y244</f>
        <v>84.728967552203812</v>
      </c>
      <c r="Z244" s="169">
        <f>'Earnings Model (adjusted)'!Z244-'Earnings Model'!Z244</f>
        <v>84.133585017741325</v>
      </c>
      <c r="AA244" s="169">
        <f>'Earnings Model (adjusted)'!AA244-'Earnings Model'!AA244</f>
        <v>82.561836851918088</v>
      </c>
      <c r="AB244" s="169">
        <f>'Earnings Model (adjusted)'!AB244-'Earnings Model'!AB244</f>
        <v>337.59533382989866</v>
      </c>
      <c r="AC244" s="169">
        <f>'Earnings Model (adjusted)'!AC244-'Earnings Model'!AC244</f>
        <v>89.476495153527367</v>
      </c>
      <c r="AD244" s="169">
        <f>'Earnings Model (adjusted)'!AD244-'Earnings Model'!AD244</f>
        <v>87.704128747238883</v>
      </c>
      <c r="AE244" s="169">
        <f>'Earnings Model (adjusted)'!AE244-'Earnings Model'!AE244</f>
        <v>81.760281249427635</v>
      </c>
      <c r="AF244" s="169">
        <f>'Earnings Model (adjusted)'!AF244-'Earnings Model'!AF244</f>
        <v>75.31361193143789</v>
      </c>
      <c r="AG244" s="169">
        <f>'Earnings Model (adjusted)'!AG244-'Earnings Model'!AG244</f>
        <v>334.25451708163018</v>
      </c>
      <c r="AH244" s="169">
        <f>'Earnings Model (adjusted)'!AH244-'Earnings Model'!AH244</f>
        <v>109.07108981122792</v>
      </c>
      <c r="AI244" s="169">
        <f>'Earnings Model (adjusted)'!AI244-'Earnings Model'!AI244</f>
        <v>106.78317991557765</v>
      </c>
      <c r="AJ244" s="169">
        <f>'Earnings Model (adjusted)'!AJ244-'Earnings Model'!AJ244</f>
        <v>96.741635089457304</v>
      </c>
      <c r="AK244" s="169">
        <f>'Earnings Model (adjusted)'!AK244-'Earnings Model'!AK244</f>
        <v>89.711477962599929</v>
      </c>
      <c r="AL244" s="169">
        <f>'Earnings Model (adjusted)'!AL244-'Earnings Model'!AL244</f>
        <v>402.30738277885939</v>
      </c>
      <c r="AM244" s="169">
        <f>'Earnings Model (adjusted)'!AM244-'Earnings Model'!AM244</f>
        <v>113.41631507984812</v>
      </c>
      <c r="AN244" s="169">
        <f>'Earnings Model (adjusted)'!AN244-'Earnings Model'!AN244</f>
        <v>110.99021957025252</v>
      </c>
      <c r="AO244" s="169">
        <f>'Earnings Model (adjusted)'!AO244-'Earnings Model'!AO244</f>
        <v>99.865706953967901</v>
      </c>
      <c r="AP244" s="169">
        <f>'Earnings Model (adjusted)'!AP244-'Earnings Model'!AP244</f>
        <v>92.40267303348196</v>
      </c>
      <c r="AQ244" s="169">
        <f>'Earnings Model (adjusted)'!AQ244-'Earnings Model'!AQ244</f>
        <v>416.67491463755323</v>
      </c>
    </row>
    <row r="245" spans="1:43" outlineLevel="1" x14ac:dyDescent="0.25">
      <c r="A245" s="254"/>
      <c r="B245" s="57" t="s">
        <v>68</v>
      </c>
      <c r="C245" s="144"/>
      <c r="D245" s="34">
        <v>350.8</v>
      </c>
      <c r="E245" s="34">
        <f>723.5-D245</f>
        <v>372.7</v>
      </c>
      <c r="F245" s="34">
        <f>1083.6-E245-D245</f>
        <v>360.09999999999985</v>
      </c>
      <c r="G245" s="34">
        <f>1449.3-F245-E245-D245</f>
        <v>365.7</v>
      </c>
      <c r="H245" s="35">
        <f t="shared" ref="H245:H251" si="153">SUM(D245:G245)</f>
        <v>1449.3</v>
      </c>
      <c r="I245" s="34">
        <v>369.2</v>
      </c>
      <c r="J245" s="34">
        <f>746.9-I245</f>
        <v>377.7</v>
      </c>
      <c r="K245" s="34">
        <f>1124-J245-I245</f>
        <v>377.09999999999997</v>
      </c>
      <c r="L245" s="34">
        <f>1503.2-K245-J245-I245</f>
        <v>379.2000000000001</v>
      </c>
      <c r="M245" s="35">
        <f t="shared" ref="M245:M251" si="154">SUM(I245:L245)</f>
        <v>1503.2</v>
      </c>
      <c r="N245" s="34">
        <v>388.4</v>
      </c>
      <c r="O245" s="34">
        <f>772.9-N245</f>
        <v>384.5</v>
      </c>
      <c r="P245" s="34">
        <f>1146.2-O245-N245</f>
        <v>373.30000000000007</v>
      </c>
      <c r="Q245" s="169">
        <f>'Earnings Model (adjusted)'!Q245-'Earnings Model'!Q245</f>
        <v>0</v>
      </c>
      <c r="R245" s="169">
        <f>'Earnings Model (adjusted)'!R245-'Earnings Model'!R245</f>
        <v>0</v>
      </c>
      <c r="S245" s="169">
        <f>'Earnings Model (adjusted)'!S245-'Earnings Model'!S245</f>
        <v>0</v>
      </c>
      <c r="T245" s="169">
        <f>'Earnings Model (adjusted)'!T245-'Earnings Model'!T245</f>
        <v>0.32230703605102917</v>
      </c>
      <c r="U245" s="169">
        <f>'Earnings Model (adjusted)'!U245-'Earnings Model'!U245</f>
        <v>0.61377266039681899</v>
      </c>
      <c r="V245" s="169">
        <f>'Earnings Model (adjusted)'!V245-'Earnings Model'!V245</f>
        <v>0.75969867132414493</v>
      </c>
      <c r="W245" s="169">
        <f>'Earnings Model (adjusted)'!W245-'Earnings Model'!W245</f>
        <v>1.6957783677719362</v>
      </c>
      <c r="X245" s="169">
        <f>'Earnings Model (adjusted)'!X245-'Earnings Model'!X245</f>
        <v>0.88807054081206616</v>
      </c>
      <c r="Y245" s="169">
        <f>'Earnings Model (adjusted)'!Y245-'Earnings Model'!Y245</f>
        <v>1.2250372961278799</v>
      </c>
      <c r="Z245" s="169">
        <f>'Earnings Model (adjusted)'!Z245-'Earnings Model'!Z245</f>
        <v>1.5407524374854233</v>
      </c>
      <c r="AA245" s="169">
        <f>'Earnings Model (adjusted)'!AA245-'Earnings Model'!AA245</f>
        <v>1.6258583701935549</v>
      </c>
      <c r="AB245" s="169">
        <f>'Earnings Model (adjusted)'!AB245-'Earnings Model'!AB245</f>
        <v>5.279718644618697</v>
      </c>
      <c r="AC245" s="169">
        <f>'Earnings Model (adjusted)'!AC245-'Earnings Model'!AC245</f>
        <v>1.6961072142534022</v>
      </c>
      <c r="AD245" s="169">
        <f>'Earnings Model (adjusted)'!AD245-'Earnings Model'!AD245</f>
        <v>2.0583207412386741</v>
      </c>
      <c r="AE245" s="169">
        <f>'Earnings Model (adjusted)'!AE245-'Earnings Model'!AE245</f>
        <v>2.3986234610617316</v>
      </c>
      <c r="AF245" s="169">
        <f>'Earnings Model (adjusted)'!AF245-'Earnings Model'!AF245</f>
        <v>2.4271281998044287</v>
      </c>
      <c r="AG245" s="169">
        <f>'Earnings Model (adjusted)'!AG245-'Earnings Model'!AG245</f>
        <v>8.5801796163582367</v>
      </c>
      <c r="AH245" s="169">
        <f>'Earnings Model (adjusted)'!AH245-'Earnings Model'!AH245</f>
        <v>2.3620118602397042</v>
      </c>
      <c r="AI245" s="169">
        <f>'Earnings Model (adjusted)'!AI245-'Earnings Model'!AI245</f>
        <v>2.8076553161868674</v>
      </c>
      <c r="AJ245" s="169">
        <f>'Earnings Model (adjusted)'!AJ245-'Earnings Model'!AJ245</f>
        <v>3.2264497165850798</v>
      </c>
      <c r="AK245" s="169">
        <f>'Earnings Model (adjusted)'!AK245-'Earnings Model'!AK245</f>
        <v>3.2170559907798406</v>
      </c>
      <c r="AL245" s="169">
        <f>'Earnings Model (adjusted)'!AL245-'Earnings Model'!AL245</f>
        <v>11.613172883791549</v>
      </c>
      <c r="AM245" s="169">
        <f>'Earnings Model (adjusted)'!AM245-'Earnings Model'!AM245</f>
        <v>3.1086990170305171</v>
      </c>
      <c r="AN245" s="169">
        <f>'Earnings Model (adjusted)'!AN245-'Earnings Model'!AN245</f>
        <v>3.55061534387238</v>
      </c>
      <c r="AO245" s="169">
        <f>'Earnings Model (adjusted)'!AO245-'Earnings Model'!AO245</f>
        <v>3.9654998611927113</v>
      </c>
      <c r="AP245" s="169">
        <f>'Earnings Model (adjusted)'!AP245-'Earnings Model'!AP245</f>
        <v>3.9237545608087885</v>
      </c>
      <c r="AQ245" s="169">
        <f>'Earnings Model (adjusted)'!AQ245-'Earnings Model'!AQ245</f>
        <v>14.548568782904567</v>
      </c>
    </row>
    <row r="246" spans="1:43" outlineLevel="1" x14ac:dyDescent="0.25">
      <c r="A246" s="254"/>
      <c r="B246" s="57" t="s">
        <v>214</v>
      </c>
      <c r="C246" s="144"/>
      <c r="D246" s="34">
        <v>-354.6</v>
      </c>
      <c r="E246" s="34">
        <f>-714.5-D246</f>
        <v>-359.9</v>
      </c>
      <c r="F246" s="34">
        <f>-1243.5-E246-D246</f>
        <v>-529</v>
      </c>
      <c r="G246" s="256">
        <f>-1495.4-F246-E246-D246</f>
        <v>-251.90000000000009</v>
      </c>
      <c r="H246" s="35">
        <f>SUM(D246:G246)</f>
        <v>-1495.4</v>
      </c>
      <c r="I246" s="34">
        <v>10.4</v>
      </c>
      <c r="J246" s="34">
        <f>47.7-I246</f>
        <v>37.300000000000004</v>
      </c>
      <c r="K246" s="34">
        <f>20-J246-I246</f>
        <v>-27.700000000000003</v>
      </c>
      <c r="L246" s="256">
        <f>-25.8-K246-J246-I246</f>
        <v>-45.800000000000004</v>
      </c>
      <c r="M246" s="35">
        <f>SUM(I246:L246)</f>
        <v>-25.800000000000004</v>
      </c>
      <c r="N246" s="34">
        <v>-6.1</v>
      </c>
      <c r="O246" s="34">
        <f>-25.2-N246</f>
        <v>-19.100000000000001</v>
      </c>
      <c r="P246" s="34">
        <f>-113.2-O246-N246</f>
        <v>-88</v>
      </c>
      <c r="Q246" s="169">
        <f>'Earnings Model (adjusted)'!Q246-'Earnings Model'!Q246</f>
        <v>0</v>
      </c>
      <c r="R246" s="169">
        <f>'Earnings Model (adjusted)'!R246-'Earnings Model'!R246</f>
        <v>0</v>
      </c>
      <c r="S246" s="169">
        <f>'Earnings Model (adjusted)'!S246-'Earnings Model'!S246</f>
        <v>0</v>
      </c>
      <c r="T246" s="169">
        <f>'Earnings Model (adjusted)'!T246-'Earnings Model'!T246</f>
        <v>0</v>
      </c>
      <c r="U246" s="169">
        <f>'Earnings Model (adjusted)'!U246-'Earnings Model'!U246</f>
        <v>0</v>
      </c>
      <c r="V246" s="169">
        <f>'Earnings Model (adjusted)'!V246-'Earnings Model'!V246</f>
        <v>0</v>
      </c>
      <c r="W246" s="169">
        <f>'Earnings Model (adjusted)'!W246-'Earnings Model'!W246</f>
        <v>0</v>
      </c>
      <c r="X246" s="169">
        <f>'Earnings Model (adjusted)'!X246-'Earnings Model'!X246</f>
        <v>0</v>
      </c>
      <c r="Y246" s="169">
        <f>'Earnings Model (adjusted)'!Y246-'Earnings Model'!Y246</f>
        <v>0</v>
      </c>
      <c r="Z246" s="169">
        <f>'Earnings Model (adjusted)'!Z246-'Earnings Model'!Z246</f>
        <v>0</v>
      </c>
      <c r="AA246" s="169">
        <f>'Earnings Model (adjusted)'!AA246-'Earnings Model'!AA246</f>
        <v>0</v>
      </c>
      <c r="AB246" s="169">
        <f>'Earnings Model (adjusted)'!AB246-'Earnings Model'!AB246</f>
        <v>0</v>
      </c>
      <c r="AC246" s="169">
        <f>'Earnings Model (adjusted)'!AC246-'Earnings Model'!AC246</f>
        <v>0</v>
      </c>
      <c r="AD246" s="169">
        <f>'Earnings Model (adjusted)'!AD246-'Earnings Model'!AD246</f>
        <v>0</v>
      </c>
      <c r="AE246" s="169">
        <f>'Earnings Model (adjusted)'!AE246-'Earnings Model'!AE246</f>
        <v>0</v>
      </c>
      <c r="AF246" s="169">
        <f>'Earnings Model (adjusted)'!AF246-'Earnings Model'!AF246</f>
        <v>0</v>
      </c>
      <c r="AG246" s="169">
        <f>'Earnings Model (adjusted)'!AG246-'Earnings Model'!AG246</f>
        <v>0</v>
      </c>
      <c r="AH246" s="169">
        <f>'Earnings Model (adjusted)'!AH246-'Earnings Model'!AH246</f>
        <v>0</v>
      </c>
      <c r="AI246" s="169">
        <f>'Earnings Model (adjusted)'!AI246-'Earnings Model'!AI246</f>
        <v>0</v>
      </c>
      <c r="AJ246" s="169">
        <f>'Earnings Model (adjusted)'!AJ246-'Earnings Model'!AJ246</f>
        <v>0</v>
      </c>
      <c r="AK246" s="169">
        <f>'Earnings Model (adjusted)'!AK246-'Earnings Model'!AK246</f>
        <v>0</v>
      </c>
      <c r="AL246" s="169">
        <f>'Earnings Model (adjusted)'!AL246-'Earnings Model'!AL246</f>
        <v>0</v>
      </c>
      <c r="AM246" s="169">
        <f>'Earnings Model (adjusted)'!AM246-'Earnings Model'!AM246</f>
        <v>0</v>
      </c>
      <c r="AN246" s="169">
        <f>'Earnings Model (adjusted)'!AN246-'Earnings Model'!AN246</f>
        <v>0</v>
      </c>
      <c r="AO246" s="169">
        <f>'Earnings Model (adjusted)'!AO246-'Earnings Model'!AO246</f>
        <v>0</v>
      </c>
      <c r="AP246" s="169">
        <f>'Earnings Model (adjusted)'!AP246-'Earnings Model'!AP246</f>
        <v>0</v>
      </c>
      <c r="AQ246" s="169">
        <f>'Earnings Model (adjusted)'!AQ246-'Earnings Model'!AQ246</f>
        <v>0</v>
      </c>
    </row>
    <row r="247" spans="1:43" outlineLevel="1" x14ac:dyDescent="0.25">
      <c r="A247" s="254"/>
      <c r="B247" s="57" t="s">
        <v>215</v>
      </c>
      <c r="C247" s="144"/>
      <c r="D247" s="34">
        <v>-55</v>
      </c>
      <c r="E247" s="34">
        <f>-108.2-D247</f>
        <v>-53.2</v>
      </c>
      <c r="F247" s="34">
        <f>-174.1-E247-D247</f>
        <v>-65.899999999999991</v>
      </c>
      <c r="G247" s="256">
        <f>-250.6-F247-E247-D247</f>
        <v>-76.5</v>
      </c>
      <c r="H247" s="35">
        <f t="shared" si="153"/>
        <v>-250.6</v>
      </c>
      <c r="I247" s="34">
        <v>-62.9</v>
      </c>
      <c r="J247" s="34">
        <f>-116.3-I247</f>
        <v>-53.4</v>
      </c>
      <c r="K247" s="34">
        <f>-182.3-J247-I247</f>
        <v>-66</v>
      </c>
      <c r="L247" s="256">
        <f>-280.7-K247-J247-I247</f>
        <v>-98.399999999999977</v>
      </c>
      <c r="M247" s="35">
        <f t="shared" ref="M247:M250" si="155">SUM(I247:L247)</f>
        <v>-280.7</v>
      </c>
      <c r="N247" s="34">
        <v>-69</v>
      </c>
      <c r="O247" s="34">
        <f>-131.3-N247</f>
        <v>-62.300000000000011</v>
      </c>
      <c r="P247" s="34">
        <f>-238.3-O247-N247</f>
        <v>-107</v>
      </c>
      <c r="Q247" s="169">
        <f>'Earnings Model (adjusted)'!Q247-'Earnings Model'!Q247</f>
        <v>0</v>
      </c>
      <c r="R247" s="169">
        <f>'Earnings Model (adjusted)'!R247-'Earnings Model'!R247</f>
        <v>0</v>
      </c>
      <c r="S247" s="169">
        <f>'Earnings Model (adjusted)'!S247-'Earnings Model'!S247</f>
        <v>0</v>
      </c>
      <c r="T247" s="169">
        <f>'Earnings Model (adjusted)'!T247-'Earnings Model'!T247</f>
        <v>0</v>
      </c>
      <c r="U247" s="169">
        <f>'Earnings Model (adjusted)'!U247-'Earnings Model'!U247</f>
        <v>0</v>
      </c>
      <c r="V247" s="169">
        <f>'Earnings Model (adjusted)'!V247-'Earnings Model'!V247</f>
        <v>0</v>
      </c>
      <c r="W247" s="169">
        <f>'Earnings Model (adjusted)'!W247-'Earnings Model'!W247</f>
        <v>0</v>
      </c>
      <c r="X247" s="169">
        <f>'Earnings Model (adjusted)'!X247-'Earnings Model'!X247</f>
        <v>0</v>
      </c>
      <c r="Y247" s="169">
        <f>'Earnings Model (adjusted)'!Y247-'Earnings Model'!Y247</f>
        <v>0</v>
      </c>
      <c r="Z247" s="169">
        <f>'Earnings Model (adjusted)'!Z247-'Earnings Model'!Z247</f>
        <v>0</v>
      </c>
      <c r="AA247" s="169">
        <f>'Earnings Model (adjusted)'!AA247-'Earnings Model'!AA247</f>
        <v>0</v>
      </c>
      <c r="AB247" s="169">
        <f>'Earnings Model (adjusted)'!AB247-'Earnings Model'!AB247</f>
        <v>0</v>
      </c>
      <c r="AC247" s="169">
        <f>'Earnings Model (adjusted)'!AC247-'Earnings Model'!AC247</f>
        <v>0</v>
      </c>
      <c r="AD247" s="169">
        <f>'Earnings Model (adjusted)'!AD247-'Earnings Model'!AD247</f>
        <v>0</v>
      </c>
      <c r="AE247" s="169">
        <f>'Earnings Model (adjusted)'!AE247-'Earnings Model'!AE247</f>
        <v>0</v>
      </c>
      <c r="AF247" s="169">
        <f>'Earnings Model (adjusted)'!AF247-'Earnings Model'!AF247</f>
        <v>0</v>
      </c>
      <c r="AG247" s="169">
        <f>'Earnings Model (adjusted)'!AG247-'Earnings Model'!AG247</f>
        <v>0</v>
      </c>
      <c r="AH247" s="169">
        <f>'Earnings Model (adjusted)'!AH247-'Earnings Model'!AH247</f>
        <v>0</v>
      </c>
      <c r="AI247" s="169">
        <f>'Earnings Model (adjusted)'!AI247-'Earnings Model'!AI247</f>
        <v>0</v>
      </c>
      <c r="AJ247" s="169">
        <f>'Earnings Model (adjusted)'!AJ247-'Earnings Model'!AJ247</f>
        <v>0</v>
      </c>
      <c r="AK247" s="169">
        <f>'Earnings Model (adjusted)'!AK247-'Earnings Model'!AK247</f>
        <v>0</v>
      </c>
      <c r="AL247" s="169">
        <f>'Earnings Model (adjusted)'!AL247-'Earnings Model'!AL247</f>
        <v>0</v>
      </c>
      <c r="AM247" s="169">
        <f>'Earnings Model (adjusted)'!AM247-'Earnings Model'!AM247</f>
        <v>0</v>
      </c>
      <c r="AN247" s="169">
        <f>'Earnings Model (adjusted)'!AN247-'Earnings Model'!AN247</f>
        <v>0</v>
      </c>
      <c r="AO247" s="169">
        <f>'Earnings Model (adjusted)'!AO247-'Earnings Model'!AO247</f>
        <v>0</v>
      </c>
      <c r="AP247" s="169">
        <f>'Earnings Model (adjusted)'!AP247-'Earnings Model'!AP247</f>
        <v>0</v>
      </c>
      <c r="AQ247" s="169">
        <f>'Earnings Model (adjusted)'!AQ247-'Earnings Model'!AQ247</f>
        <v>0</v>
      </c>
    </row>
    <row r="248" spans="1:43" outlineLevel="1" x14ac:dyDescent="0.25">
      <c r="A248" s="254"/>
      <c r="B248" s="57" t="s">
        <v>216</v>
      </c>
      <c r="C248" s="144"/>
      <c r="D248" s="34">
        <v>63.7</v>
      </c>
      <c r="E248" s="34">
        <f>93.3-D248</f>
        <v>29.599999999999994</v>
      </c>
      <c r="F248" s="34">
        <f>163.7-E248-D248</f>
        <v>70.399999999999991</v>
      </c>
      <c r="G248" s="256">
        <f>216.8-F248-E248-D248</f>
        <v>53.100000000000037</v>
      </c>
      <c r="H248" s="35">
        <f t="shared" si="153"/>
        <v>216.8</v>
      </c>
      <c r="I248" s="34">
        <v>64.3</v>
      </c>
      <c r="J248" s="34">
        <f>98.1-I248</f>
        <v>33.799999999999997</v>
      </c>
      <c r="K248" s="34">
        <f>165.6-J248-I248</f>
        <v>67.500000000000014</v>
      </c>
      <c r="L248" s="256">
        <f>227.7-K248-J248-I248</f>
        <v>62.099999999999994</v>
      </c>
      <c r="M248" s="35">
        <f t="shared" si="155"/>
        <v>227.70000000000002</v>
      </c>
      <c r="N248" s="34">
        <v>77.2</v>
      </c>
      <c r="O248" s="34">
        <f>130.2-N248</f>
        <v>52.999999999999986</v>
      </c>
      <c r="P248" s="34">
        <f>226.7-O248-N248</f>
        <v>96.499999999999986</v>
      </c>
      <c r="Q248" s="169">
        <f>'Earnings Model (adjusted)'!Q248-'Earnings Model'!Q248</f>
        <v>0</v>
      </c>
      <c r="R248" s="169">
        <f>'Earnings Model (adjusted)'!R248-'Earnings Model'!R248</f>
        <v>0</v>
      </c>
      <c r="S248" s="169">
        <f>'Earnings Model (adjusted)'!S248-'Earnings Model'!S248</f>
        <v>0</v>
      </c>
      <c r="T248" s="169">
        <f>'Earnings Model (adjusted)'!T248-'Earnings Model'!T248</f>
        <v>0</v>
      </c>
      <c r="U248" s="169">
        <f>'Earnings Model (adjusted)'!U248-'Earnings Model'!U248</f>
        <v>0</v>
      </c>
      <c r="V248" s="169">
        <f>'Earnings Model (adjusted)'!V248-'Earnings Model'!V248</f>
        <v>0</v>
      </c>
      <c r="W248" s="169">
        <f>'Earnings Model (adjusted)'!W248-'Earnings Model'!W248</f>
        <v>0</v>
      </c>
      <c r="X248" s="169">
        <f>'Earnings Model (adjusted)'!X248-'Earnings Model'!X248</f>
        <v>0</v>
      </c>
      <c r="Y248" s="169">
        <f>'Earnings Model (adjusted)'!Y248-'Earnings Model'!Y248</f>
        <v>0</v>
      </c>
      <c r="Z248" s="169">
        <f>'Earnings Model (adjusted)'!Z248-'Earnings Model'!Z248</f>
        <v>0</v>
      </c>
      <c r="AA248" s="169">
        <f>'Earnings Model (adjusted)'!AA248-'Earnings Model'!AA248</f>
        <v>0</v>
      </c>
      <c r="AB248" s="169">
        <f>'Earnings Model (adjusted)'!AB248-'Earnings Model'!AB248</f>
        <v>0</v>
      </c>
      <c r="AC248" s="169">
        <f>'Earnings Model (adjusted)'!AC248-'Earnings Model'!AC248</f>
        <v>0</v>
      </c>
      <c r="AD248" s="169">
        <f>'Earnings Model (adjusted)'!AD248-'Earnings Model'!AD248</f>
        <v>0</v>
      </c>
      <c r="AE248" s="169">
        <f>'Earnings Model (adjusted)'!AE248-'Earnings Model'!AE248</f>
        <v>0</v>
      </c>
      <c r="AF248" s="169">
        <f>'Earnings Model (adjusted)'!AF248-'Earnings Model'!AF248</f>
        <v>0</v>
      </c>
      <c r="AG248" s="169">
        <f>'Earnings Model (adjusted)'!AG248-'Earnings Model'!AG248</f>
        <v>0</v>
      </c>
      <c r="AH248" s="169">
        <f>'Earnings Model (adjusted)'!AH248-'Earnings Model'!AH248</f>
        <v>0</v>
      </c>
      <c r="AI248" s="169">
        <f>'Earnings Model (adjusted)'!AI248-'Earnings Model'!AI248</f>
        <v>0</v>
      </c>
      <c r="AJ248" s="169">
        <f>'Earnings Model (adjusted)'!AJ248-'Earnings Model'!AJ248</f>
        <v>0</v>
      </c>
      <c r="AK248" s="169">
        <f>'Earnings Model (adjusted)'!AK248-'Earnings Model'!AK248</f>
        <v>0</v>
      </c>
      <c r="AL248" s="169">
        <f>'Earnings Model (adjusted)'!AL248-'Earnings Model'!AL248</f>
        <v>0</v>
      </c>
      <c r="AM248" s="169">
        <f>'Earnings Model (adjusted)'!AM248-'Earnings Model'!AM248</f>
        <v>0</v>
      </c>
      <c r="AN248" s="169">
        <f>'Earnings Model (adjusted)'!AN248-'Earnings Model'!AN248</f>
        <v>0</v>
      </c>
      <c r="AO248" s="169">
        <f>'Earnings Model (adjusted)'!AO248-'Earnings Model'!AO248</f>
        <v>0</v>
      </c>
      <c r="AP248" s="169">
        <f>'Earnings Model (adjusted)'!AP248-'Earnings Model'!AP248</f>
        <v>0</v>
      </c>
      <c r="AQ248" s="169">
        <f>'Earnings Model (adjusted)'!AQ248-'Earnings Model'!AQ248</f>
        <v>0</v>
      </c>
    </row>
    <row r="249" spans="1:43" outlineLevel="1" x14ac:dyDescent="0.25">
      <c r="A249" s="254"/>
      <c r="B249" s="57" t="s">
        <v>222</v>
      </c>
      <c r="C249" s="144"/>
      <c r="D249" s="34">
        <v>0</v>
      </c>
      <c r="E249" s="34">
        <f>-21-D249</f>
        <v>-21</v>
      </c>
      <c r="F249" s="34">
        <f>-622.8-E249-D249</f>
        <v>-601.79999999999995</v>
      </c>
      <c r="G249" s="256">
        <f>-622.8-F249-E249-D249</f>
        <v>0</v>
      </c>
      <c r="H249" s="35">
        <f t="shared" si="153"/>
        <v>-622.79999999999995</v>
      </c>
      <c r="I249" s="34">
        <v>0</v>
      </c>
      <c r="J249" s="34">
        <f t="shared" ref="J249" si="156">0-I249</f>
        <v>0</v>
      </c>
      <c r="K249" s="34">
        <f t="shared" ref="K249" si="157">0-J249-I249</f>
        <v>0</v>
      </c>
      <c r="L249" s="256">
        <f t="shared" ref="L249" si="158">0-K249-J249-I249</f>
        <v>0</v>
      </c>
      <c r="M249" s="35">
        <f t="shared" si="155"/>
        <v>0</v>
      </c>
      <c r="N249" s="34">
        <f>N28</f>
        <v>0</v>
      </c>
      <c r="O249" s="34">
        <f t="shared" ref="O249" si="159">0-N249</f>
        <v>0</v>
      </c>
      <c r="P249" s="34">
        <f t="shared" ref="P249" si="160">0-O249-N249</f>
        <v>0</v>
      </c>
      <c r="Q249" s="169">
        <f>'Earnings Model (adjusted)'!Q249-'Earnings Model'!Q249</f>
        <v>0</v>
      </c>
      <c r="R249" s="169">
        <f>'Earnings Model (adjusted)'!R249-'Earnings Model'!R249</f>
        <v>0</v>
      </c>
      <c r="S249" s="169">
        <f>'Earnings Model (adjusted)'!S249-'Earnings Model'!S249</f>
        <v>0</v>
      </c>
      <c r="T249" s="169">
        <f>'Earnings Model (adjusted)'!T249-'Earnings Model'!T249</f>
        <v>0</v>
      </c>
      <c r="U249" s="169">
        <f>'Earnings Model (adjusted)'!U249-'Earnings Model'!U249</f>
        <v>0</v>
      </c>
      <c r="V249" s="169">
        <f>'Earnings Model (adjusted)'!V249-'Earnings Model'!V249</f>
        <v>0</v>
      </c>
      <c r="W249" s="169">
        <f>'Earnings Model (adjusted)'!W249-'Earnings Model'!W249</f>
        <v>0</v>
      </c>
      <c r="X249" s="169">
        <f>'Earnings Model (adjusted)'!X249-'Earnings Model'!X249</f>
        <v>0</v>
      </c>
      <c r="Y249" s="169">
        <f>'Earnings Model (adjusted)'!Y249-'Earnings Model'!Y249</f>
        <v>0</v>
      </c>
      <c r="Z249" s="169">
        <f>'Earnings Model (adjusted)'!Z249-'Earnings Model'!Z249</f>
        <v>0</v>
      </c>
      <c r="AA249" s="169">
        <f>'Earnings Model (adjusted)'!AA249-'Earnings Model'!AA249</f>
        <v>0</v>
      </c>
      <c r="AB249" s="169">
        <f>'Earnings Model (adjusted)'!AB249-'Earnings Model'!AB249</f>
        <v>0</v>
      </c>
      <c r="AC249" s="169">
        <f>'Earnings Model (adjusted)'!AC249-'Earnings Model'!AC249</f>
        <v>0</v>
      </c>
      <c r="AD249" s="169">
        <f>'Earnings Model (adjusted)'!AD249-'Earnings Model'!AD249</f>
        <v>0</v>
      </c>
      <c r="AE249" s="169">
        <f>'Earnings Model (adjusted)'!AE249-'Earnings Model'!AE249</f>
        <v>0</v>
      </c>
      <c r="AF249" s="169">
        <f>'Earnings Model (adjusted)'!AF249-'Earnings Model'!AF249</f>
        <v>0</v>
      </c>
      <c r="AG249" s="169">
        <f>'Earnings Model (adjusted)'!AG249-'Earnings Model'!AG249</f>
        <v>0</v>
      </c>
      <c r="AH249" s="169">
        <f>'Earnings Model (adjusted)'!AH249-'Earnings Model'!AH249</f>
        <v>0</v>
      </c>
      <c r="AI249" s="169">
        <f>'Earnings Model (adjusted)'!AI249-'Earnings Model'!AI249</f>
        <v>0</v>
      </c>
      <c r="AJ249" s="169">
        <f>'Earnings Model (adjusted)'!AJ249-'Earnings Model'!AJ249</f>
        <v>0</v>
      </c>
      <c r="AK249" s="169">
        <f>'Earnings Model (adjusted)'!AK249-'Earnings Model'!AK249</f>
        <v>0</v>
      </c>
      <c r="AL249" s="169">
        <f>'Earnings Model (adjusted)'!AL249-'Earnings Model'!AL249</f>
        <v>0</v>
      </c>
      <c r="AM249" s="169">
        <f>'Earnings Model (adjusted)'!AM249-'Earnings Model'!AM249</f>
        <v>0</v>
      </c>
      <c r="AN249" s="169">
        <f>'Earnings Model (adjusted)'!AN249-'Earnings Model'!AN249</f>
        <v>0</v>
      </c>
      <c r="AO249" s="169">
        <f>'Earnings Model (adjusted)'!AO249-'Earnings Model'!AO249</f>
        <v>0</v>
      </c>
      <c r="AP249" s="169">
        <f>'Earnings Model (adjusted)'!AP249-'Earnings Model'!AP249</f>
        <v>0</v>
      </c>
      <c r="AQ249" s="169">
        <f>'Earnings Model (adjusted)'!AQ249-'Earnings Model'!AQ249</f>
        <v>0</v>
      </c>
    </row>
    <row r="250" spans="1:43" outlineLevel="1" x14ac:dyDescent="0.25">
      <c r="A250" s="254"/>
      <c r="B250" s="57" t="s">
        <v>217</v>
      </c>
      <c r="C250" s="144"/>
      <c r="D250" s="34">
        <v>97.3</v>
      </c>
      <c r="E250" s="34">
        <f>192.1-D250</f>
        <v>94.8</v>
      </c>
      <c r="F250" s="34">
        <f>255.4-E250-D250</f>
        <v>63.300000000000026</v>
      </c>
      <c r="G250" s="256">
        <f>308-F250-E250-D250</f>
        <v>52.59999999999998</v>
      </c>
      <c r="H250" s="35">
        <f t="shared" si="153"/>
        <v>308</v>
      </c>
      <c r="I250" s="34">
        <v>90.3</v>
      </c>
      <c r="J250" s="34">
        <f>146.6-I250</f>
        <v>56.3</v>
      </c>
      <c r="K250" s="34">
        <f>188-J250-I250</f>
        <v>41.399999999999991</v>
      </c>
      <c r="L250" s="256">
        <f>248.6-K250-J250-I250</f>
        <v>60.59999999999998</v>
      </c>
      <c r="M250" s="35">
        <f t="shared" si="155"/>
        <v>248.59999999999997</v>
      </c>
      <c r="N250" s="34">
        <v>99.3</v>
      </c>
      <c r="O250" s="34">
        <f>175.3-N250</f>
        <v>76.000000000000014</v>
      </c>
      <c r="P250" s="34">
        <f>255.3-O250-N250</f>
        <v>80.000000000000014</v>
      </c>
      <c r="Q250" s="169">
        <f>'Earnings Model (adjusted)'!Q250-'Earnings Model'!Q250</f>
        <v>0</v>
      </c>
      <c r="R250" s="169">
        <f>'Earnings Model (adjusted)'!R250-'Earnings Model'!R250</f>
        <v>0</v>
      </c>
      <c r="S250" s="169">
        <f>'Earnings Model (adjusted)'!S250-'Earnings Model'!S250</f>
        <v>1.0117041820408303</v>
      </c>
      <c r="T250" s="169">
        <f>'Earnings Model (adjusted)'!T250-'Earnings Model'!T250</f>
        <v>0.93071572876492326</v>
      </c>
      <c r="U250" s="169">
        <f>'Earnings Model (adjusted)'!U250-'Earnings Model'!U250</f>
        <v>0.54176895387765001</v>
      </c>
      <c r="V250" s="169">
        <f>'Earnings Model (adjusted)'!V250-'Earnings Model'!V250</f>
        <v>0.5494396799756629</v>
      </c>
      <c r="W250" s="169">
        <f>'Earnings Model (adjusted)'!W250-'Earnings Model'!W250</f>
        <v>3.0336285446590523</v>
      </c>
      <c r="X250" s="169">
        <f>'Earnings Model (adjusted)'!X250-'Earnings Model'!X250</f>
        <v>1.2922782881412473</v>
      </c>
      <c r="Y250" s="169">
        <f>'Earnings Model (adjusted)'!Y250-'Earnings Model'!Y250</f>
        <v>1.2778549836439339</v>
      </c>
      <c r="Z250" s="169">
        <f>'Earnings Model (adjusted)'!Z250-'Earnings Model'!Z250</f>
        <v>0.58640323457177601</v>
      </c>
      <c r="AA250" s="169">
        <f>'Earnings Model (adjusted)'!AA250-'Earnings Model'!AA250</f>
        <v>0.58309682044905742</v>
      </c>
      <c r="AB250" s="169">
        <f>'Earnings Model (adjusted)'!AB250-'Earnings Model'!AB250</f>
        <v>3.7396333268060289</v>
      </c>
      <c r="AC250" s="169">
        <f>'Earnings Model (adjusted)'!AC250-'Earnings Model'!AC250</f>
        <v>1.6759205316776331</v>
      </c>
      <c r="AD250" s="169">
        <f>'Earnings Model (adjusted)'!AD250-'Earnings Model'!AD250</f>
        <v>1.6743150853841939</v>
      </c>
      <c r="AE250" s="169">
        <f>'Earnings Model (adjusted)'!AE250-'Earnings Model'!AE250</f>
        <v>0.6318605853491448</v>
      </c>
      <c r="AF250" s="169">
        <f>'Earnings Model (adjusted)'!AF250-'Earnings Model'!AF250</f>
        <v>0.2998860957462739</v>
      </c>
      <c r="AG250" s="169">
        <f>'Earnings Model (adjusted)'!AG250-'Earnings Model'!AG250</f>
        <v>4.2819822981572884</v>
      </c>
      <c r="AH250" s="169">
        <f>'Earnings Model (adjusted)'!AH250-'Earnings Model'!AH250</f>
        <v>2.1145802610544848</v>
      </c>
      <c r="AI250" s="169">
        <f>'Earnings Model (adjusted)'!AI250-'Earnings Model'!AI250</f>
        <v>2.1146979392080993</v>
      </c>
      <c r="AJ250" s="169">
        <f>'Earnings Model (adjusted)'!AJ250-'Earnings Model'!AJ250</f>
        <v>0.67646203485645628</v>
      </c>
      <c r="AK250" s="169">
        <f>'Earnings Model (adjusted)'!AK250-'Earnings Model'!AK250</f>
        <v>0.32089169224241232</v>
      </c>
      <c r="AL250" s="169">
        <f>'Earnings Model (adjusted)'!AL250-'Earnings Model'!AL250</f>
        <v>5.2266319273614954</v>
      </c>
      <c r="AM250" s="169">
        <f>'Earnings Model (adjusted)'!AM250-'Earnings Model'!AM250</f>
        <v>2.262739439365717</v>
      </c>
      <c r="AN250" s="169">
        <f>'Earnings Model (adjusted)'!AN250-'Earnings Model'!AN250</f>
        <v>2.2626915767136069</v>
      </c>
      <c r="AO250" s="169">
        <f>'Earnings Model (adjusted)'!AO250-'Earnings Model'!AO250</f>
        <v>0.72356442013659716</v>
      </c>
      <c r="AP250" s="169">
        <f>'Earnings Model (adjusted)'!AP250-'Earnings Model'!AP250</f>
        <v>0.34316124407834536</v>
      </c>
      <c r="AQ250" s="169">
        <f>'Earnings Model (adjusted)'!AQ250-'Earnings Model'!AQ250</f>
        <v>5.592156680294238</v>
      </c>
    </row>
    <row r="251" spans="1:43" outlineLevel="1" x14ac:dyDescent="0.25">
      <c r="A251" s="254"/>
      <c r="B251" s="146" t="s">
        <v>223</v>
      </c>
      <c r="C251" s="147"/>
      <c r="D251" s="34">
        <v>6.1</v>
      </c>
      <c r="E251" s="256">
        <f>5.4+91.1-D251</f>
        <v>90.4</v>
      </c>
      <c r="F251" s="256">
        <f>10.5+122.3-E251-D251</f>
        <v>36.300000000000004</v>
      </c>
      <c r="G251" s="256">
        <f>10.5+187.9-F251-E251-D251</f>
        <v>65.599999999999994</v>
      </c>
      <c r="H251" s="35">
        <f t="shared" si="153"/>
        <v>198.4</v>
      </c>
      <c r="I251" s="256">
        <f>5.1+294.9</f>
        <v>300</v>
      </c>
      <c r="J251" s="256">
        <f>596.3+67.7-I251</f>
        <v>364</v>
      </c>
      <c r="K251" s="256">
        <f>902.4+124.6+63.7-J251-I251</f>
        <v>426.70000000000005</v>
      </c>
      <c r="L251" s="256">
        <f>1197.6+454.4+24.5-K251-J251-I251</f>
        <v>585.79999999999995</v>
      </c>
      <c r="M251" s="35">
        <f t="shared" si="154"/>
        <v>1676.5</v>
      </c>
      <c r="N251" s="256">
        <f>308.3+132.6-10.2</f>
        <v>430.7</v>
      </c>
      <c r="O251" s="256">
        <f>617.9+175.4-15.4-N251</f>
        <v>347.2</v>
      </c>
      <c r="P251" s="256">
        <f>931.7+204.7-6.8-O251-N251</f>
        <v>351.7000000000001</v>
      </c>
      <c r="Q251" s="169">
        <f>'Earnings Model (adjusted)'!Q251-'Earnings Model'!Q251</f>
        <v>0</v>
      </c>
      <c r="R251" s="169">
        <f>'Earnings Model (adjusted)'!R251-'Earnings Model'!R251</f>
        <v>0</v>
      </c>
      <c r="S251" s="169">
        <f>'Earnings Model (adjusted)'!S251-'Earnings Model'!S251</f>
        <v>0</v>
      </c>
      <c r="T251" s="169">
        <f>'Earnings Model (adjusted)'!T251-'Earnings Model'!T251</f>
        <v>0</v>
      </c>
      <c r="U251" s="169">
        <f>'Earnings Model (adjusted)'!U251-'Earnings Model'!U251</f>
        <v>0</v>
      </c>
      <c r="V251" s="169">
        <f>'Earnings Model (adjusted)'!V251-'Earnings Model'!V251</f>
        <v>0</v>
      </c>
      <c r="W251" s="169">
        <f>'Earnings Model (adjusted)'!W251-'Earnings Model'!W251</f>
        <v>0</v>
      </c>
      <c r="X251" s="169">
        <f>'Earnings Model (adjusted)'!X251-'Earnings Model'!X251</f>
        <v>0</v>
      </c>
      <c r="Y251" s="169">
        <f>'Earnings Model (adjusted)'!Y251-'Earnings Model'!Y251</f>
        <v>0</v>
      </c>
      <c r="Z251" s="169">
        <f>'Earnings Model (adjusted)'!Z251-'Earnings Model'!Z251</f>
        <v>0</v>
      </c>
      <c r="AA251" s="169">
        <f>'Earnings Model (adjusted)'!AA251-'Earnings Model'!AA251</f>
        <v>0</v>
      </c>
      <c r="AB251" s="169">
        <f>'Earnings Model (adjusted)'!AB251-'Earnings Model'!AB251</f>
        <v>0</v>
      </c>
      <c r="AC251" s="169">
        <f>'Earnings Model (adjusted)'!AC251-'Earnings Model'!AC251</f>
        <v>0</v>
      </c>
      <c r="AD251" s="169">
        <f>'Earnings Model (adjusted)'!AD251-'Earnings Model'!AD251</f>
        <v>0</v>
      </c>
      <c r="AE251" s="169">
        <f>'Earnings Model (adjusted)'!AE251-'Earnings Model'!AE251</f>
        <v>0</v>
      </c>
      <c r="AF251" s="169">
        <f>'Earnings Model (adjusted)'!AF251-'Earnings Model'!AF251</f>
        <v>0</v>
      </c>
      <c r="AG251" s="169">
        <f>'Earnings Model (adjusted)'!AG251-'Earnings Model'!AG251</f>
        <v>0</v>
      </c>
      <c r="AH251" s="169">
        <f>'Earnings Model (adjusted)'!AH251-'Earnings Model'!AH251</f>
        <v>0</v>
      </c>
      <c r="AI251" s="169">
        <f>'Earnings Model (adjusted)'!AI251-'Earnings Model'!AI251</f>
        <v>0</v>
      </c>
      <c r="AJ251" s="169">
        <f>'Earnings Model (adjusted)'!AJ251-'Earnings Model'!AJ251</f>
        <v>0</v>
      </c>
      <c r="AK251" s="169">
        <f>'Earnings Model (adjusted)'!AK251-'Earnings Model'!AK251</f>
        <v>0</v>
      </c>
      <c r="AL251" s="169">
        <f>'Earnings Model (adjusted)'!AL251-'Earnings Model'!AL251</f>
        <v>0</v>
      </c>
      <c r="AM251" s="169">
        <f>'Earnings Model (adjusted)'!AM251-'Earnings Model'!AM251</f>
        <v>0</v>
      </c>
      <c r="AN251" s="169">
        <f>'Earnings Model (adjusted)'!AN251-'Earnings Model'!AN251</f>
        <v>0</v>
      </c>
      <c r="AO251" s="169">
        <f>'Earnings Model (adjusted)'!AO251-'Earnings Model'!AO251</f>
        <v>0</v>
      </c>
      <c r="AP251" s="169">
        <f>'Earnings Model (adjusted)'!AP251-'Earnings Model'!AP251</f>
        <v>0</v>
      </c>
      <c r="AQ251" s="169">
        <f>'Earnings Model (adjusted)'!AQ251-'Earnings Model'!AQ251</f>
        <v>0</v>
      </c>
    </row>
    <row r="252" spans="1:43" outlineLevel="1" x14ac:dyDescent="0.25">
      <c r="A252" s="254"/>
      <c r="B252" s="623" t="s">
        <v>69</v>
      </c>
      <c r="C252" s="624"/>
      <c r="D252" s="251"/>
      <c r="E252" s="353"/>
      <c r="F252" s="246"/>
      <c r="G252" s="246"/>
      <c r="H252" s="247"/>
      <c r="I252" s="246"/>
      <c r="J252" s="246"/>
      <c r="K252" s="246"/>
      <c r="L252" s="246"/>
      <c r="M252" s="247"/>
      <c r="N252" s="246"/>
      <c r="O252" s="246"/>
      <c r="P252" s="246"/>
      <c r="Q252" s="169">
        <f>'Earnings Model (adjusted)'!Q252-'Earnings Model'!Q252</f>
        <v>0</v>
      </c>
      <c r="R252" s="169">
        <f>'Earnings Model (adjusted)'!R252-'Earnings Model'!R252</f>
        <v>0</v>
      </c>
      <c r="S252" s="169">
        <f>'Earnings Model (adjusted)'!S252-'Earnings Model'!S252</f>
        <v>0</v>
      </c>
      <c r="T252" s="169">
        <f>'Earnings Model (adjusted)'!T252-'Earnings Model'!T252</f>
        <v>0</v>
      </c>
      <c r="U252" s="169">
        <f>'Earnings Model (adjusted)'!U252-'Earnings Model'!U252</f>
        <v>0</v>
      </c>
      <c r="V252" s="169">
        <f>'Earnings Model (adjusted)'!V252-'Earnings Model'!V252</f>
        <v>0</v>
      </c>
      <c r="W252" s="169">
        <f>'Earnings Model (adjusted)'!W252-'Earnings Model'!W252</f>
        <v>0</v>
      </c>
      <c r="X252" s="169">
        <f>'Earnings Model (adjusted)'!X252-'Earnings Model'!X252</f>
        <v>0</v>
      </c>
      <c r="Y252" s="169">
        <f>'Earnings Model (adjusted)'!Y252-'Earnings Model'!Y252</f>
        <v>0</v>
      </c>
      <c r="Z252" s="169">
        <f>'Earnings Model (adjusted)'!Z252-'Earnings Model'!Z252</f>
        <v>0</v>
      </c>
      <c r="AA252" s="169">
        <f>'Earnings Model (adjusted)'!AA252-'Earnings Model'!AA252</f>
        <v>0</v>
      </c>
      <c r="AB252" s="169">
        <f>'Earnings Model (adjusted)'!AB252-'Earnings Model'!AB252</f>
        <v>0</v>
      </c>
      <c r="AC252" s="169">
        <f>'Earnings Model (adjusted)'!AC252-'Earnings Model'!AC252</f>
        <v>0</v>
      </c>
      <c r="AD252" s="169">
        <f>'Earnings Model (adjusted)'!AD252-'Earnings Model'!AD252</f>
        <v>0</v>
      </c>
      <c r="AE252" s="169">
        <f>'Earnings Model (adjusted)'!AE252-'Earnings Model'!AE252</f>
        <v>0</v>
      </c>
      <c r="AF252" s="169">
        <f>'Earnings Model (adjusted)'!AF252-'Earnings Model'!AF252</f>
        <v>0</v>
      </c>
      <c r="AG252" s="169">
        <f>'Earnings Model (adjusted)'!AG252-'Earnings Model'!AG252</f>
        <v>0</v>
      </c>
      <c r="AH252" s="169">
        <f>'Earnings Model (adjusted)'!AH252-'Earnings Model'!AH252</f>
        <v>0</v>
      </c>
      <c r="AI252" s="169">
        <f>'Earnings Model (adjusted)'!AI252-'Earnings Model'!AI252</f>
        <v>0</v>
      </c>
      <c r="AJ252" s="169">
        <f>'Earnings Model (adjusted)'!AJ252-'Earnings Model'!AJ252</f>
        <v>0</v>
      </c>
      <c r="AK252" s="169">
        <f>'Earnings Model (adjusted)'!AK252-'Earnings Model'!AK252</f>
        <v>0</v>
      </c>
      <c r="AL252" s="169">
        <f>'Earnings Model (adjusted)'!AL252-'Earnings Model'!AL252</f>
        <v>0</v>
      </c>
      <c r="AM252" s="169">
        <f>'Earnings Model (adjusted)'!AM252-'Earnings Model'!AM252</f>
        <v>0</v>
      </c>
      <c r="AN252" s="169">
        <f>'Earnings Model (adjusted)'!AN252-'Earnings Model'!AN252</f>
        <v>0</v>
      </c>
      <c r="AO252" s="169">
        <f>'Earnings Model (adjusted)'!AO252-'Earnings Model'!AO252</f>
        <v>0</v>
      </c>
      <c r="AP252" s="169">
        <f>'Earnings Model (adjusted)'!AP252-'Earnings Model'!AP252</f>
        <v>0</v>
      </c>
      <c r="AQ252" s="169">
        <f>'Earnings Model (adjusted)'!AQ252-'Earnings Model'!AQ252</f>
        <v>0</v>
      </c>
    </row>
    <row r="253" spans="1:43" outlineLevel="1" x14ac:dyDescent="0.25">
      <c r="A253" s="254"/>
      <c r="B253" s="619" t="s">
        <v>108</v>
      </c>
      <c r="C253" s="620"/>
      <c r="D253" s="81">
        <v>-28.8</v>
      </c>
      <c r="E253" s="81">
        <f>9.8-D253</f>
        <v>38.6</v>
      </c>
      <c r="F253" s="81">
        <f>-70.1-E253-D253</f>
        <v>-79.899999999999991</v>
      </c>
      <c r="G253" s="81">
        <f>-197.7-F253-E253-D253</f>
        <v>-127.60000000000001</v>
      </c>
      <c r="H253" s="82">
        <f t="shared" ref="H253:H259" si="161">SUM(D253:G253)</f>
        <v>-197.7</v>
      </c>
      <c r="I253" s="81">
        <v>-22.9</v>
      </c>
      <c r="J253" s="81">
        <f>-60.7-I253</f>
        <v>-37.800000000000004</v>
      </c>
      <c r="K253" s="81">
        <f>13.4-J253-I253</f>
        <v>74.099999999999994</v>
      </c>
      <c r="L253" s="81">
        <f>-2.7-K253-J253-I253</f>
        <v>-16.099999999999994</v>
      </c>
      <c r="M253" s="82">
        <f t="shared" ref="M253:M258" si="162">SUM(I253:L253)</f>
        <v>-2.7000000000000028</v>
      </c>
      <c r="N253" s="81">
        <v>19.600000000000001</v>
      </c>
      <c r="O253" s="81">
        <f>12.8-N253</f>
        <v>-6.8000000000000007</v>
      </c>
      <c r="P253" s="81">
        <f>-13.1-O253-N253</f>
        <v>-25.9</v>
      </c>
      <c r="Q253" s="169">
        <f>'Earnings Model (adjusted)'!Q253-'Earnings Model'!Q253</f>
        <v>0</v>
      </c>
      <c r="R253" s="169">
        <f>'Earnings Model (adjusted)'!R253-'Earnings Model'!R253</f>
        <v>0</v>
      </c>
      <c r="S253" s="169">
        <f>'Earnings Model (adjusted)'!S253-'Earnings Model'!S253</f>
        <v>-10.996146009376503</v>
      </c>
      <c r="T253" s="169">
        <f>'Earnings Model (adjusted)'!T253-'Earnings Model'!T253</f>
        <v>0.26902271124220078</v>
      </c>
      <c r="U253" s="169">
        <f>'Earnings Model (adjusted)'!U253-'Earnings Model'!U253</f>
        <v>4.9842937961630014</v>
      </c>
      <c r="V253" s="169">
        <f>'Earnings Model (adjusted)'!V253-'Earnings Model'!V253</f>
        <v>-0.3601439191540976</v>
      </c>
      <c r="W253" s="169">
        <f>'Earnings Model (adjusted)'!W253-'Earnings Model'!W253</f>
        <v>-6.1029734211253981</v>
      </c>
      <c r="X253" s="169">
        <f>'Earnings Model (adjusted)'!X253-'Earnings Model'!X253</f>
        <v>-8.4629051412935041</v>
      </c>
      <c r="Y253" s="169">
        <f>'Earnings Model (adjusted)'!Y253-'Earnings Model'!Y253</f>
        <v>-2.0249021619747509E-2</v>
      </c>
      <c r="Z253" s="169">
        <f>'Earnings Model (adjusted)'!Z253-'Earnings Model'!Z253</f>
        <v>8.4374944570581647</v>
      </c>
      <c r="AA253" s="169">
        <f>'Earnings Model (adjusted)'!AA253-'Earnings Model'!AA253</f>
        <v>-0.35150847954992059</v>
      </c>
      <c r="AB253" s="169">
        <f>'Earnings Model (adjusted)'!AB253-'Earnings Model'!AB253</f>
        <v>-0.39716818540500753</v>
      </c>
      <c r="AC253" s="169">
        <f>'Earnings Model (adjusted)'!AC253-'Earnings Model'!AC253</f>
        <v>-12.486359343307868</v>
      </c>
      <c r="AD253" s="169">
        <f>'Earnings Model (adjusted)'!AD253-'Earnings Model'!AD253</f>
        <v>-6.9034675225339015E-2</v>
      </c>
      <c r="AE253" s="169">
        <f>'Earnings Model (adjusted)'!AE253-'Earnings Model'!AE253</f>
        <v>12.438604782985294</v>
      </c>
      <c r="AF253" s="169">
        <f>'Earnings Model (adjusted)'!AF253-'Earnings Model'!AF253</f>
        <v>3.2701339449881743</v>
      </c>
      <c r="AG253" s="169">
        <f>'Earnings Model (adjusted)'!AG253-'Earnings Model'!AG253</f>
        <v>3.1533447094402618</v>
      </c>
      <c r="AH253" s="169">
        <f>'Earnings Model (adjusted)'!AH253-'Earnings Model'!AH253</f>
        <v>-20.621563624533792</v>
      </c>
      <c r="AI253" s="169">
        <f>'Earnings Model (adjusted)'!AI253-'Earnings Model'!AI253</f>
        <v>-8.3913843587652082E-2</v>
      </c>
      <c r="AJ253" s="169">
        <f>'Earnings Model (adjusted)'!AJ253-'Earnings Model'!AJ253</f>
        <v>16.968713758247986</v>
      </c>
      <c r="AK253" s="169">
        <f>'Earnings Model (adjusted)'!AK253-'Earnings Model'!AK253</f>
        <v>3.5014896249283538</v>
      </c>
      <c r="AL253" s="169">
        <f>'Earnings Model (adjusted)'!AL253-'Earnings Model'!AL253</f>
        <v>-0.23527408494510382</v>
      </c>
      <c r="AM253" s="169">
        <f>'Earnings Model (adjusted)'!AM253-'Earnings Model'!AM253</f>
        <v>-22.065973350112927</v>
      </c>
      <c r="AN253" s="169">
        <f>'Earnings Model (adjusted)'!AN253-'Earnings Model'!AN253</f>
        <v>-8.4600879711388188E-2</v>
      </c>
      <c r="AO253" s="169">
        <f>'Earnings Model (adjusted)'!AO253-'Earnings Model'!AO253</f>
        <v>18.155711548167574</v>
      </c>
      <c r="AP253" s="169">
        <f>'Earnings Model (adjusted)'!AP253-'Earnings Model'!AP253</f>
        <v>3.7461215449507108</v>
      </c>
      <c r="AQ253" s="169">
        <f>'Earnings Model (adjusted)'!AQ253-'Earnings Model'!AQ253</f>
        <v>-0.24874113670603037</v>
      </c>
    </row>
    <row r="254" spans="1:43" outlineLevel="1" x14ac:dyDescent="0.25">
      <c r="A254" s="254"/>
      <c r="B254" s="547" t="s">
        <v>203</v>
      </c>
      <c r="C254" s="548"/>
      <c r="D254" s="81">
        <v>44.8</v>
      </c>
      <c r="E254" s="81">
        <f>-51-D254</f>
        <v>-95.8</v>
      </c>
      <c r="F254" s="81">
        <f>-140.5-E254-D254</f>
        <v>-89.5</v>
      </c>
      <c r="G254" s="81">
        <f>-173-F254-E254-D254</f>
        <v>-32.5</v>
      </c>
      <c r="H254" s="82">
        <f t="shared" si="161"/>
        <v>-173</v>
      </c>
      <c r="I254" s="81">
        <v>122.8</v>
      </c>
      <c r="J254" s="81">
        <f>36.9-I254</f>
        <v>-85.9</v>
      </c>
      <c r="K254" s="81">
        <f>-51.7-J254-I254</f>
        <v>-88.6</v>
      </c>
      <c r="L254" s="81">
        <f>-10.9-K254-J254-I254</f>
        <v>40.799999999999997</v>
      </c>
      <c r="M254" s="82">
        <f t="shared" si="162"/>
        <v>-10.900000000000006</v>
      </c>
      <c r="N254" s="81">
        <v>90.1</v>
      </c>
      <c r="O254" s="81">
        <f>51.3-N254</f>
        <v>-38.799999999999997</v>
      </c>
      <c r="P254" s="81">
        <f>8.4-O254-N254</f>
        <v>-42.9</v>
      </c>
      <c r="Q254" s="169">
        <f>'Earnings Model (adjusted)'!Q254-'Earnings Model'!Q254</f>
        <v>17.800384854340791</v>
      </c>
      <c r="R254" s="169">
        <f>'Earnings Model (adjusted)'!R254-'Earnings Model'!R254</f>
        <v>17.800384854340791</v>
      </c>
      <c r="S254" s="169">
        <f>'Earnings Model (adjusted)'!S254-'Earnings Model'!S254</f>
        <v>-2.8390420222779085</v>
      </c>
      <c r="T254" s="169">
        <f>'Earnings Model (adjusted)'!T254-'Earnings Model'!T254</f>
        <v>-0.41989265714073554</v>
      </c>
      <c r="U254" s="169">
        <f>'Earnings Model (adjusted)'!U254-'Earnings Model'!U254</f>
        <v>9.9552793986663346</v>
      </c>
      <c r="V254" s="169">
        <f>'Earnings Model (adjusted)'!V254-'Earnings Model'!V254</f>
        <v>-19.533886443914298</v>
      </c>
      <c r="W254" s="169">
        <f>'Earnings Model (adjusted)'!W254-'Earnings Model'!W254</f>
        <v>-12.837541724666607</v>
      </c>
      <c r="X254" s="169">
        <f>'Earnings Model (adjusted)'!X254-'Earnings Model'!X254</f>
        <v>-2.6032993426456414</v>
      </c>
      <c r="Y254" s="169">
        <f>'Earnings Model (adjusted)'!Y254-'Earnings Model'!Y254</f>
        <v>-0.88942840367394638</v>
      </c>
      <c r="Z254" s="169">
        <f>'Earnings Model (adjusted)'!Z254-'Earnings Model'!Z254</f>
        <v>14.794795227353916</v>
      </c>
      <c r="AA254" s="169">
        <f>'Earnings Model (adjusted)'!AA254-'Earnings Model'!AA254</f>
        <v>6.3008524862464128</v>
      </c>
      <c r="AB254" s="169">
        <f>'Earnings Model (adjusted)'!AB254-'Earnings Model'!AB254</f>
        <v>17.602919967280741</v>
      </c>
      <c r="AC254" s="169">
        <f>'Earnings Model (adjusted)'!AC254-'Earnings Model'!AC254</f>
        <v>-32.130376397612736</v>
      </c>
      <c r="AD254" s="169">
        <f>'Earnings Model (adjusted)'!AD254-'Earnings Model'!AD254</f>
        <v>-1.7168124379506935</v>
      </c>
      <c r="AE254" s="169">
        <f>'Earnings Model (adjusted)'!AE254-'Earnings Model'!AE254</f>
        <v>21.041283960165856</v>
      </c>
      <c r="AF254" s="169">
        <f>'Earnings Model (adjusted)'!AF254-'Earnings Model'!AF254</f>
        <v>11.39323645813829</v>
      </c>
      <c r="AG254" s="169">
        <f>'Earnings Model (adjusted)'!AG254-'Earnings Model'!AG254</f>
        <v>-1.4126684172592832</v>
      </c>
      <c r="AH254" s="169">
        <f>'Earnings Model (adjusted)'!AH254-'Earnings Model'!AH254</f>
        <v>-29.345346084824087</v>
      </c>
      <c r="AI254" s="169">
        <f>'Earnings Model (adjusted)'!AI254-'Earnings Model'!AI254</f>
        <v>-1.9918602183852272</v>
      </c>
      <c r="AJ254" s="169">
        <f>'Earnings Model (adjusted)'!AJ254-'Earnings Model'!AJ254</f>
        <v>28.715378847259217</v>
      </c>
      <c r="AK254" s="169">
        <f>'Earnings Model (adjusted)'!AK254-'Earnings Model'!AK254</f>
        <v>15.075215821631446</v>
      </c>
      <c r="AL254" s="169">
        <f>'Earnings Model (adjusted)'!AL254-'Earnings Model'!AL254</f>
        <v>12.453388365681349</v>
      </c>
      <c r="AM254" s="169">
        <f>'Earnings Model (adjusted)'!AM254-'Earnings Model'!AM254</f>
        <v>-45.614473518153773</v>
      </c>
      <c r="AN254" s="169">
        <f>'Earnings Model (adjusted)'!AN254-'Earnings Model'!AN254</f>
        <v>-2.2686949598783031</v>
      </c>
      <c r="AO254" s="169">
        <f>'Earnings Model (adjusted)'!AO254-'Earnings Model'!AO254</f>
        <v>30.627072085083455</v>
      </c>
      <c r="AP254" s="169">
        <f>'Earnings Model (adjusted)'!AP254-'Earnings Model'!AP254</f>
        <v>14.873266132770823</v>
      </c>
      <c r="AQ254" s="169">
        <f>'Earnings Model (adjusted)'!AQ254-'Earnings Model'!AQ254</f>
        <v>-2.3828302601777978</v>
      </c>
    </row>
    <row r="255" spans="1:43" outlineLevel="1" x14ac:dyDescent="0.25">
      <c r="A255" s="254"/>
      <c r="B255" s="619" t="s">
        <v>226</v>
      </c>
      <c r="C255" s="620"/>
      <c r="D255" s="81">
        <v>847.3</v>
      </c>
      <c r="E255" s="81">
        <f>774.6-D255</f>
        <v>-72.699999999999932</v>
      </c>
      <c r="F255" s="81">
        <f>831.6-E255-D255</f>
        <v>57</v>
      </c>
      <c r="G255" s="81">
        <f>922-F255-E255-D255</f>
        <v>90.399999999999977</v>
      </c>
      <c r="H255" s="82">
        <f t="shared" si="161"/>
        <v>922</v>
      </c>
      <c r="I255" s="81">
        <v>-28.5</v>
      </c>
      <c r="J255" s="81">
        <f>-247.7-I255</f>
        <v>-219.2</v>
      </c>
      <c r="K255" s="81">
        <f>-492.1-J255-I255</f>
        <v>-244.40000000000003</v>
      </c>
      <c r="L255" s="81">
        <f>-317.5-K255-J255-I255</f>
        <v>174.60000000000002</v>
      </c>
      <c r="M255" s="82">
        <f t="shared" si="162"/>
        <v>-317.5</v>
      </c>
      <c r="N255" s="81">
        <v>5.2</v>
      </c>
      <c r="O255" s="81">
        <f>139.7-N255</f>
        <v>134.5</v>
      </c>
      <c r="P255" s="81">
        <f>216.8-O255-N255</f>
        <v>77.100000000000009</v>
      </c>
      <c r="Q255" s="169">
        <f>'Earnings Model (adjusted)'!Q255-'Earnings Model'!Q255</f>
        <v>0</v>
      </c>
      <c r="R255" s="169">
        <f>'Earnings Model (adjusted)'!R255-'Earnings Model'!R255</f>
        <v>0</v>
      </c>
      <c r="S255" s="169">
        <f>'Earnings Model (adjusted)'!S255-'Earnings Model'!S255</f>
        <v>0</v>
      </c>
      <c r="T255" s="169">
        <f>'Earnings Model (adjusted)'!T255-'Earnings Model'!T255</f>
        <v>0</v>
      </c>
      <c r="U255" s="169">
        <f>'Earnings Model (adjusted)'!U255-'Earnings Model'!U255</f>
        <v>0</v>
      </c>
      <c r="V255" s="169">
        <f>'Earnings Model (adjusted)'!V255-'Earnings Model'!V255</f>
        <v>0</v>
      </c>
      <c r="W255" s="169">
        <f>'Earnings Model (adjusted)'!W255-'Earnings Model'!W255</f>
        <v>0</v>
      </c>
      <c r="X255" s="169">
        <f>'Earnings Model (adjusted)'!X255-'Earnings Model'!X255</f>
        <v>0</v>
      </c>
      <c r="Y255" s="169">
        <f>'Earnings Model (adjusted)'!Y255-'Earnings Model'!Y255</f>
        <v>0</v>
      </c>
      <c r="Z255" s="169">
        <f>'Earnings Model (adjusted)'!Z255-'Earnings Model'!Z255</f>
        <v>0</v>
      </c>
      <c r="AA255" s="169">
        <f>'Earnings Model (adjusted)'!AA255-'Earnings Model'!AA255</f>
        <v>0</v>
      </c>
      <c r="AB255" s="169">
        <f>'Earnings Model (adjusted)'!AB255-'Earnings Model'!AB255</f>
        <v>0</v>
      </c>
      <c r="AC255" s="169">
        <f>'Earnings Model (adjusted)'!AC255-'Earnings Model'!AC255</f>
        <v>0</v>
      </c>
      <c r="AD255" s="169">
        <f>'Earnings Model (adjusted)'!AD255-'Earnings Model'!AD255</f>
        <v>0</v>
      </c>
      <c r="AE255" s="169">
        <f>'Earnings Model (adjusted)'!AE255-'Earnings Model'!AE255</f>
        <v>0</v>
      </c>
      <c r="AF255" s="169">
        <f>'Earnings Model (adjusted)'!AF255-'Earnings Model'!AF255</f>
        <v>0</v>
      </c>
      <c r="AG255" s="169">
        <f>'Earnings Model (adjusted)'!AG255-'Earnings Model'!AG255</f>
        <v>0</v>
      </c>
      <c r="AH255" s="169">
        <f>'Earnings Model (adjusted)'!AH255-'Earnings Model'!AH255</f>
        <v>0</v>
      </c>
      <c r="AI255" s="169">
        <f>'Earnings Model (adjusted)'!AI255-'Earnings Model'!AI255</f>
        <v>0</v>
      </c>
      <c r="AJ255" s="169">
        <f>'Earnings Model (adjusted)'!AJ255-'Earnings Model'!AJ255</f>
        <v>0</v>
      </c>
      <c r="AK255" s="169">
        <f>'Earnings Model (adjusted)'!AK255-'Earnings Model'!AK255</f>
        <v>0</v>
      </c>
      <c r="AL255" s="169">
        <f>'Earnings Model (adjusted)'!AL255-'Earnings Model'!AL255</f>
        <v>0</v>
      </c>
      <c r="AM255" s="169">
        <f>'Earnings Model (adjusted)'!AM255-'Earnings Model'!AM255</f>
        <v>0</v>
      </c>
      <c r="AN255" s="169">
        <f>'Earnings Model (adjusted)'!AN255-'Earnings Model'!AN255</f>
        <v>0</v>
      </c>
      <c r="AO255" s="169">
        <f>'Earnings Model (adjusted)'!AO255-'Earnings Model'!AO255</f>
        <v>0</v>
      </c>
      <c r="AP255" s="169">
        <f>'Earnings Model (adjusted)'!AP255-'Earnings Model'!AP255</f>
        <v>0</v>
      </c>
      <c r="AQ255" s="169">
        <f>'Earnings Model (adjusted)'!AQ255-'Earnings Model'!AQ255</f>
        <v>0</v>
      </c>
    </row>
    <row r="256" spans="1:43" outlineLevel="1" x14ac:dyDescent="0.25">
      <c r="A256" s="254"/>
      <c r="B256" s="619" t="s">
        <v>37</v>
      </c>
      <c r="C256" s="620"/>
      <c r="D256" s="81">
        <v>-21.3</v>
      </c>
      <c r="E256" s="81">
        <f>-83.4-D256</f>
        <v>-62.100000000000009</v>
      </c>
      <c r="F256" s="81">
        <f>-15.1-E256-D256</f>
        <v>68.300000000000011</v>
      </c>
      <c r="G256" s="81">
        <f>31.9-F256-E256-D256</f>
        <v>47</v>
      </c>
      <c r="H256" s="82">
        <f t="shared" si="161"/>
        <v>31.900000000000006</v>
      </c>
      <c r="I256" s="81">
        <v>-110.3</v>
      </c>
      <c r="J256" s="81">
        <f>-186.4-I256</f>
        <v>-76.100000000000009</v>
      </c>
      <c r="K256" s="81">
        <f>-320.3-J256-I256</f>
        <v>-133.89999999999998</v>
      </c>
      <c r="L256" s="81">
        <f>-210.8-K256-J256-I256</f>
        <v>109.49999999999997</v>
      </c>
      <c r="M256" s="82">
        <f t="shared" si="162"/>
        <v>-210.79999999999998</v>
      </c>
      <c r="N256" s="81">
        <v>24.8</v>
      </c>
      <c r="O256" s="81">
        <f>21.3-N256</f>
        <v>-3.5</v>
      </c>
      <c r="P256" s="81">
        <f>108.2-O256-N256</f>
        <v>86.9</v>
      </c>
      <c r="Q256" s="169">
        <f>'Earnings Model (adjusted)'!Q256-'Earnings Model'!Q256</f>
        <v>-9.6789670458765613</v>
      </c>
      <c r="R256" s="169">
        <f>'Earnings Model (adjusted)'!R256-'Earnings Model'!R256</f>
        <v>-9.6789670458765613</v>
      </c>
      <c r="S256" s="169">
        <f>'Earnings Model (adjusted)'!S256-'Earnings Model'!S256</f>
        <v>-0.71086137178190256</v>
      </c>
      <c r="T256" s="169">
        <f>'Earnings Model (adjusted)'!T256-'Earnings Model'!T256</f>
        <v>0.58372755335881266</v>
      </c>
      <c r="U256" s="169">
        <f>'Earnings Model (adjusted)'!U256-'Earnings Model'!U256</f>
        <v>-9.1568143904896715</v>
      </c>
      <c r="V256" s="169">
        <f>'Earnings Model (adjusted)'!V256-'Earnings Model'!V256</f>
        <v>16.328023030060194</v>
      </c>
      <c r="W256" s="169">
        <f>'Earnings Model (adjusted)'!W256-'Earnings Model'!W256</f>
        <v>7.0440748211474329</v>
      </c>
      <c r="X256" s="169">
        <f>'Earnings Model (adjusted)'!X256-'Earnings Model'!X256</f>
        <v>0.97360858098613789</v>
      </c>
      <c r="Y256" s="169">
        <f>'Earnings Model (adjusted)'!Y256-'Earnings Model'!Y256</f>
        <v>0.66039478892889747</v>
      </c>
      <c r="Z256" s="169">
        <f>'Earnings Model (adjusted)'!Z256-'Earnings Model'!Z256</f>
        <v>-11.202865274809483</v>
      </c>
      <c r="AA256" s="169">
        <f>'Earnings Model (adjusted)'!AA256-'Earnings Model'!AA256</f>
        <v>8.0057702949488885E-2</v>
      </c>
      <c r="AB256" s="169">
        <f>'Earnings Model (adjusted)'!AB256-'Earnings Model'!AB256</f>
        <v>-9.4888042019449585</v>
      </c>
      <c r="AC256" s="169">
        <f>'Earnings Model (adjusted)'!AC256-'Earnings Model'!AC256</f>
        <v>18.811506098098562</v>
      </c>
      <c r="AD256" s="169">
        <f>'Earnings Model (adjusted)'!AD256-'Earnings Model'!AD256</f>
        <v>0.9561885230941698</v>
      </c>
      <c r="AE256" s="169">
        <f>'Earnings Model (adjusted)'!AE256-'Earnings Model'!AE256</f>
        <v>-15.081207560287339</v>
      </c>
      <c r="AF256" s="169">
        <f>'Earnings Model (adjusted)'!AF256-'Earnings Model'!AF256</f>
        <v>-3.8600978735535136</v>
      </c>
      <c r="AG256" s="169">
        <f>'Earnings Model (adjusted)'!AG256-'Earnings Model'!AG256</f>
        <v>0.82638918735187872</v>
      </c>
      <c r="AH256" s="169">
        <f>'Earnings Model (adjusted)'!AH256-'Earnings Model'!AH256</f>
        <v>17.045307787864431</v>
      </c>
      <c r="AI256" s="169">
        <f>'Earnings Model (adjusted)'!AI256-'Earnings Model'!AI256</f>
        <v>1.1689937411888423</v>
      </c>
      <c r="AJ256" s="169">
        <f>'Earnings Model (adjusted)'!AJ256-'Earnings Model'!AJ256</f>
        <v>-20.928868713672728</v>
      </c>
      <c r="AK256" s="169">
        <f>'Earnings Model (adjusted)'!AK256-'Earnings Model'!AK256</f>
        <v>-3.9898525806570433</v>
      </c>
      <c r="AL256" s="169">
        <f>'Earnings Model (adjusted)'!AL256-'Earnings Model'!AL256</f>
        <v>-6.7044197652764979</v>
      </c>
      <c r="AM256" s="169">
        <f>'Earnings Model (adjusted)'!AM256-'Earnings Model'!AM256</f>
        <v>26.412476510700799</v>
      </c>
      <c r="AN256" s="169">
        <f>'Earnings Model (adjusted)'!AN256-'Earnings Model'!AN256</f>
        <v>1.274314768125123</v>
      </c>
      <c r="AO256" s="169">
        <f>'Earnings Model (adjusted)'!AO256-'Earnings Model'!AO256</f>
        <v>-22.09597227447307</v>
      </c>
      <c r="AP256" s="169">
        <f>'Earnings Model (adjusted)'!AP256-'Earnings Model'!AP256</f>
        <v>-4.2895851661844517</v>
      </c>
      <c r="AQ256" s="169">
        <f>'Earnings Model (adjusted)'!AQ256-'Earnings Model'!AQ256</f>
        <v>1.3012338381684003</v>
      </c>
    </row>
    <row r="257" spans="1:43" outlineLevel="1" x14ac:dyDescent="0.25">
      <c r="A257" s="254"/>
      <c r="B257" s="547" t="s">
        <v>208</v>
      </c>
      <c r="C257" s="548"/>
      <c r="D257" s="81">
        <v>362.7</v>
      </c>
      <c r="E257" s="81">
        <f>9.4-D257</f>
        <v>-353.3</v>
      </c>
      <c r="F257" s="81">
        <f>-32.4-E257-D257</f>
        <v>-41.799999999999955</v>
      </c>
      <c r="G257" s="81">
        <f>-30.5-F257-E257-D257</f>
        <v>1.8999999999999773</v>
      </c>
      <c r="H257" s="82">
        <f t="shared" si="161"/>
        <v>-30.5</v>
      </c>
      <c r="I257" s="81">
        <v>426.7</v>
      </c>
      <c r="J257" s="81">
        <f>112.1-I257</f>
        <v>-314.60000000000002</v>
      </c>
      <c r="K257" s="81">
        <f>92-J257-I257</f>
        <v>-20.099999999999966</v>
      </c>
      <c r="L257" s="81">
        <f>31-K257-J257-I257</f>
        <v>-61</v>
      </c>
      <c r="M257" s="82">
        <f t="shared" si="162"/>
        <v>31</v>
      </c>
      <c r="N257" s="81">
        <v>398.9</v>
      </c>
      <c r="O257" s="81">
        <f>89.8-N257</f>
        <v>-309.09999999999997</v>
      </c>
      <c r="P257" s="81">
        <f>52.4-O257-N257</f>
        <v>-37.400000000000034</v>
      </c>
      <c r="Q257" s="169">
        <f>'Earnings Model (adjusted)'!Q257-'Earnings Model'!Q257</f>
        <v>0</v>
      </c>
      <c r="R257" s="169">
        <f>'Earnings Model (adjusted)'!R257-'Earnings Model'!R257</f>
        <v>0</v>
      </c>
      <c r="S257" s="169">
        <f>'Earnings Model (adjusted)'!S257-'Earnings Model'!S257</f>
        <v>0</v>
      </c>
      <c r="T257" s="169">
        <f>'Earnings Model (adjusted)'!T257-'Earnings Model'!T257</f>
        <v>0</v>
      </c>
      <c r="U257" s="169">
        <f>'Earnings Model (adjusted)'!U257-'Earnings Model'!U257</f>
        <v>0</v>
      </c>
      <c r="V257" s="169">
        <f>'Earnings Model (adjusted)'!V257-'Earnings Model'!V257</f>
        <v>0</v>
      </c>
      <c r="W257" s="169">
        <f>'Earnings Model (adjusted)'!W257-'Earnings Model'!W257</f>
        <v>0</v>
      </c>
      <c r="X257" s="169">
        <f>'Earnings Model (adjusted)'!X257-'Earnings Model'!X257</f>
        <v>0</v>
      </c>
      <c r="Y257" s="169">
        <f>'Earnings Model (adjusted)'!Y257-'Earnings Model'!Y257</f>
        <v>0</v>
      </c>
      <c r="Z257" s="169">
        <f>'Earnings Model (adjusted)'!Z257-'Earnings Model'!Z257</f>
        <v>0</v>
      </c>
      <c r="AA257" s="169">
        <f>'Earnings Model (adjusted)'!AA257-'Earnings Model'!AA257</f>
        <v>0</v>
      </c>
      <c r="AB257" s="169">
        <f>'Earnings Model (adjusted)'!AB257-'Earnings Model'!AB257</f>
        <v>0</v>
      </c>
      <c r="AC257" s="169">
        <f>'Earnings Model (adjusted)'!AC257-'Earnings Model'!AC257</f>
        <v>0</v>
      </c>
      <c r="AD257" s="169">
        <f>'Earnings Model (adjusted)'!AD257-'Earnings Model'!AD257</f>
        <v>0</v>
      </c>
      <c r="AE257" s="169">
        <f>'Earnings Model (adjusted)'!AE257-'Earnings Model'!AE257</f>
        <v>0</v>
      </c>
      <c r="AF257" s="169">
        <f>'Earnings Model (adjusted)'!AF257-'Earnings Model'!AF257</f>
        <v>0</v>
      </c>
      <c r="AG257" s="169">
        <f>'Earnings Model (adjusted)'!AG257-'Earnings Model'!AG257</f>
        <v>0</v>
      </c>
      <c r="AH257" s="169">
        <f>'Earnings Model (adjusted)'!AH257-'Earnings Model'!AH257</f>
        <v>0</v>
      </c>
      <c r="AI257" s="169">
        <f>'Earnings Model (adjusted)'!AI257-'Earnings Model'!AI257</f>
        <v>0</v>
      </c>
      <c r="AJ257" s="169">
        <f>'Earnings Model (adjusted)'!AJ257-'Earnings Model'!AJ257</f>
        <v>0</v>
      </c>
      <c r="AK257" s="169">
        <f>'Earnings Model (adjusted)'!AK257-'Earnings Model'!AK257</f>
        <v>0</v>
      </c>
      <c r="AL257" s="169">
        <f>'Earnings Model (adjusted)'!AL257-'Earnings Model'!AL257</f>
        <v>0</v>
      </c>
      <c r="AM257" s="169">
        <f>'Earnings Model (adjusted)'!AM257-'Earnings Model'!AM257</f>
        <v>0</v>
      </c>
      <c r="AN257" s="169">
        <f>'Earnings Model (adjusted)'!AN257-'Earnings Model'!AN257</f>
        <v>0</v>
      </c>
      <c r="AO257" s="169">
        <f>'Earnings Model (adjusted)'!AO257-'Earnings Model'!AO257</f>
        <v>0</v>
      </c>
      <c r="AP257" s="169">
        <f>'Earnings Model (adjusted)'!AP257-'Earnings Model'!AP257</f>
        <v>0</v>
      </c>
      <c r="AQ257" s="169">
        <f>'Earnings Model (adjusted)'!AQ257-'Earnings Model'!AQ257</f>
        <v>0</v>
      </c>
    </row>
    <row r="258" spans="1:43" outlineLevel="1" x14ac:dyDescent="0.25">
      <c r="A258" s="254"/>
      <c r="B258" s="547" t="s">
        <v>268</v>
      </c>
      <c r="C258" s="548"/>
      <c r="D258" s="81">
        <v>0</v>
      </c>
      <c r="E258" s="81">
        <v>0</v>
      </c>
      <c r="F258" s="81">
        <f>1045.4-E258-D258</f>
        <v>1045.4000000000001</v>
      </c>
      <c r="G258" s="81">
        <f>1237-F258-E258-D258</f>
        <v>191.59999999999991</v>
      </c>
      <c r="H258" s="82">
        <f t="shared" si="161"/>
        <v>1237</v>
      </c>
      <c r="I258" s="81">
        <v>125.1</v>
      </c>
      <c r="J258" s="81">
        <f>-1227.4-I258</f>
        <v>-1352.5</v>
      </c>
      <c r="K258" s="81">
        <f>-1224.5-J258-I258</f>
        <v>2.9000000000000057</v>
      </c>
      <c r="L258" s="81">
        <f>-1214.6-K258-J258-I258</f>
        <v>9.9000000000000057</v>
      </c>
      <c r="M258" s="82">
        <f t="shared" si="162"/>
        <v>-1214.5999999999999</v>
      </c>
      <c r="N258" s="81">
        <v>56.9</v>
      </c>
      <c r="O258" s="81">
        <f>40-N258</f>
        <v>-16.899999999999999</v>
      </c>
      <c r="P258" s="81">
        <f>128.9-O258-N258</f>
        <v>88.9</v>
      </c>
      <c r="Q258" s="169">
        <f>'Earnings Model (adjusted)'!Q258-'Earnings Model'!Q258</f>
        <v>0</v>
      </c>
      <c r="R258" s="169">
        <f>'Earnings Model (adjusted)'!R258-'Earnings Model'!R258</f>
        <v>0</v>
      </c>
      <c r="S258" s="169">
        <f>'Earnings Model (adjusted)'!S258-'Earnings Model'!S258</f>
        <v>0</v>
      </c>
      <c r="T258" s="169">
        <f>'Earnings Model (adjusted)'!T258-'Earnings Model'!T258</f>
        <v>0</v>
      </c>
      <c r="U258" s="169">
        <f>'Earnings Model (adjusted)'!U258-'Earnings Model'!U258</f>
        <v>0</v>
      </c>
      <c r="V258" s="169">
        <f>'Earnings Model (adjusted)'!V258-'Earnings Model'!V258</f>
        <v>0</v>
      </c>
      <c r="W258" s="169">
        <f>'Earnings Model (adjusted)'!W258-'Earnings Model'!W258</f>
        <v>0</v>
      </c>
      <c r="X258" s="169">
        <f>'Earnings Model (adjusted)'!X258-'Earnings Model'!X258</f>
        <v>0</v>
      </c>
      <c r="Y258" s="169">
        <f>'Earnings Model (adjusted)'!Y258-'Earnings Model'!Y258</f>
        <v>0</v>
      </c>
      <c r="Z258" s="169">
        <f>'Earnings Model (adjusted)'!Z258-'Earnings Model'!Z258</f>
        <v>0</v>
      </c>
      <c r="AA258" s="169">
        <f>'Earnings Model (adjusted)'!AA258-'Earnings Model'!AA258</f>
        <v>0</v>
      </c>
      <c r="AB258" s="169">
        <f>'Earnings Model (adjusted)'!AB258-'Earnings Model'!AB258</f>
        <v>0</v>
      </c>
      <c r="AC258" s="169">
        <f>'Earnings Model (adjusted)'!AC258-'Earnings Model'!AC258</f>
        <v>0</v>
      </c>
      <c r="AD258" s="169">
        <f>'Earnings Model (adjusted)'!AD258-'Earnings Model'!AD258</f>
        <v>0</v>
      </c>
      <c r="AE258" s="169">
        <f>'Earnings Model (adjusted)'!AE258-'Earnings Model'!AE258</f>
        <v>0</v>
      </c>
      <c r="AF258" s="169">
        <f>'Earnings Model (adjusted)'!AF258-'Earnings Model'!AF258</f>
        <v>0</v>
      </c>
      <c r="AG258" s="169">
        <f>'Earnings Model (adjusted)'!AG258-'Earnings Model'!AG258</f>
        <v>0</v>
      </c>
      <c r="AH258" s="169">
        <f>'Earnings Model (adjusted)'!AH258-'Earnings Model'!AH258</f>
        <v>0</v>
      </c>
      <c r="AI258" s="169">
        <f>'Earnings Model (adjusted)'!AI258-'Earnings Model'!AI258</f>
        <v>0</v>
      </c>
      <c r="AJ258" s="169">
        <f>'Earnings Model (adjusted)'!AJ258-'Earnings Model'!AJ258</f>
        <v>0</v>
      </c>
      <c r="AK258" s="169">
        <f>'Earnings Model (adjusted)'!AK258-'Earnings Model'!AK258</f>
        <v>0</v>
      </c>
      <c r="AL258" s="169">
        <f>'Earnings Model (adjusted)'!AL258-'Earnings Model'!AL258</f>
        <v>0</v>
      </c>
      <c r="AM258" s="169">
        <f>'Earnings Model (adjusted)'!AM258-'Earnings Model'!AM258</f>
        <v>0</v>
      </c>
      <c r="AN258" s="169">
        <f>'Earnings Model (adjusted)'!AN258-'Earnings Model'!AN258</f>
        <v>0</v>
      </c>
      <c r="AO258" s="169">
        <f>'Earnings Model (adjusted)'!AO258-'Earnings Model'!AO258</f>
        <v>0</v>
      </c>
      <c r="AP258" s="169">
        <f>'Earnings Model (adjusted)'!AP258-'Earnings Model'!AP258</f>
        <v>0</v>
      </c>
      <c r="AQ258" s="169">
        <f>'Earnings Model (adjusted)'!AQ258-'Earnings Model'!AQ258</f>
        <v>0</v>
      </c>
    </row>
    <row r="259" spans="1:43" ht="17.25" outlineLevel="1" x14ac:dyDescent="0.4">
      <c r="A259" s="254"/>
      <c r="B259" s="619" t="s">
        <v>224</v>
      </c>
      <c r="C259" s="620"/>
      <c r="D259" s="248">
        <v>305.60000000000002</v>
      </c>
      <c r="E259" s="248">
        <f>429.3-D259</f>
        <v>123.69999999999999</v>
      </c>
      <c r="F259" s="248">
        <f>-67.4-E259-D259</f>
        <v>-496.70000000000005</v>
      </c>
      <c r="G259" s="248">
        <f>-141.1-F259-E259-D259</f>
        <v>-73.699999999999989</v>
      </c>
      <c r="H259" s="241">
        <f t="shared" si="161"/>
        <v>-141.10000000000002</v>
      </c>
      <c r="I259" s="248">
        <f>-31.8-301.6</f>
        <v>-333.40000000000003</v>
      </c>
      <c r="J259" s="248">
        <f>-608.6-140.5-I259</f>
        <v>-415.7</v>
      </c>
      <c r="K259" s="248">
        <f>-918.2+70.5-J259-I259</f>
        <v>-98.600000000000023</v>
      </c>
      <c r="L259" s="248">
        <f>-1231.4+280.5-K259-J259-I259</f>
        <v>-103.20000000000005</v>
      </c>
      <c r="M259" s="241">
        <f t="shared" ref="M259" si="163">SUM(I259:L259)</f>
        <v>-950.90000000000009</v>
      </c>
      <c r="N259" s="248">
        <f>-314.8+12.3</f>
        <v>-302.5</v>
      </c>
      <c r="O259" s="248">
        <f>-676.3+59.5-N259</f>
        <v>-314.29999999999995</v>
      </c>
      <c r="P259" s="248">
        <f>-1029.8+154.6-O259-N259</f>
        <v>-258.39999999999998</v>
      </c>
      <c r="Q259" s="169">
        <f>'Earnings Model (adjusted)'!Q259-'Earnings Model'!Q259</f>
        <v>0</v>
      </c>
      <c r="R259" s="169">
        <f>'Earnings Model (adjusted)'!R259-'Earnings Model'!R259</f>
        <v>0</v>
      </c>
      <c r="S259" s="169">
        <f>'Earnings Model (adjusted)'!S259-'Earnings Model'!S259</f>
        <v>0</v>
      </c>
      <c r="T259" s="169">
        <f>'Earnings Model (adjusted)'!T259-'Earnings Model'!T259</f>
        <v>0</v>
      </c>
      <c r="U259" s="169">
        <f>'Earnings Model (adjusted)'!U259-'Earnings Model'!U259</f>
        <v>0</v>
      </c>
      <c r="V259" s="169">
        <f>'Earnings Model (adjusted)'!V259-'Earnings Model'!V259</f>
        <v>-18.125143665860833</v>
      </c>
      <c r="W259" s="169">
        <f>'Earnings Model (adjusted)'!W259-'Earnings Model'!W259</f>
        <v>-18.125143665860833</v>
      </c>
      <c r="X259" s="169">
        <f>'Earnings Model (adjusted)'!X259-'Earnings Model'!X259</f>
        <v>7.8651753888825624</v>
      </c>
      <c r="Y259" s="169">
        <f>'Earnings Model (adjusted)'!Y259-'Earnings Model'!Y259</f>
        <v>0.78703693833404031</v>
      </c>
      <c r="Z259" s="169">
        <f>'Earnings Model (adjusted)'!Z259-'Earnings Model'!Z259</f>
        <v>-16.152013354094834</v>
      </c>
      <c r="AA259" s="169">
        <f>'Earnings Model (adjusted)'!AA259-'Earnings Model'!AA259</f>
        <v>12.423654656141935</v>
      </c>
      <c r="AB259" s="169">
        <f>'Earnings Model (adjusted)'!AB259-'Earnings Model'!AB259</f>
        <v>4.9238536292637036</v>
      </c>
      <c r="AC259" s="169">
        <f>'Earnings Model (adjusted)'!AC259-'Earnings Model'!AC259</f>
        <v>13.804079577445009</v>
      </c>
      <c r="AD259" s="169">
        <f>'Earnings Model (adjusted)'!AD259-'Earnings Model'!AD259</f>
        <v>0.69472366742502345</v>
      </c>
      <c r="AE259" s="169">
        <f>'Earnings Model (adjusted)'!AE259-'Earnings Model'!AE259</f>
        <v>-23.221470620352193</v>
      </c>
      <c r="AF259" s="169">
        <f>'Earnings Model (adjusted)'!AF259-'Earnings Model'!AF259</f>
        <v>0.60874468914471436</v>
      </c>
      <c r="AG259" s="169">
        <f>'Earnings Model (adjusted)'!AG259-'Earnings Model'!AG259</f>
        <v>-8.1139226863374461</v>
      </c>
      <c r="AH259" s="169">
        <f>'Earnings Model (adjusted)'!AH259-'Earnings Model'!AH259</f>
        <v>33.677414724038499</v>
      </c>
      <c r="AI259" s="169">
        <f>'Earnings Model (adjusted)'!AI259-'Earnings Model'!AI259</f>
        <v>0.87056489901942768</v>
      </c>
      <c r="AJ259" s="169">
        <f>'Earnings Model (adjusted)'!AJ259-'Earnings Model'!AJ259</f>
        <v>-32.43050040156686</v>
      </c>
      <c r="AK259" s="169">
        <f>'Earnings Model (adjusted)'!AK259-'Earnings Model'!AK259</f>
        <v>-7.9697668791877732</v>
      </c>
      <c r="AL259" s="169">
        <f>'Earnings Model (adjusted)'!AL259-'Earnings Model'!AL259</f>
        <v>-5.8522876576967064</v>
      </c>
      <c r="AM259" s="169">
        <f>'Earnings Model (adjusted)'!AM259-'Earnings Model'!AM259</f>
        <v>44.821635383897046</v>
      </c>
      <c r="AN259" s="169">
        <f>'Earnings Model (adjusted)'!AN259-'Earnings Model'!AN259</f>
        <v>1.1098785182507527</v>
      </c>
      <c r="AO259" s="169">
        <f>'Earnings Model (adjusted)'!AO259-'Earnings Model'!AO259</f>
        <v>-43.779155815187096</v>
      </c>
      <c r="AP259" s="169">
        <f>'Earnings Model (adjusted)'!AP259-'Earnings Model'!AP259</f>
        <v>-8.4332136992834421</v>
      </c>
      <c r="AQ259" s="169">
        <f>'Earnings Model (adjusted)'!AQ259-'Earnings Model'!AQ259</f>
        <v>-6.280855612322739</v>
      </c>
    </row>
    <row r="260" spans="1:43" outlineLevel="1" x14ac:dyDescent="0.25">
      <c r="A260" s="254"/>
      <c r="B260" s="625" t="s">
        <v>12</v>
      </c>
      <c r="C260" s="626"/>
      <c r="D260" s="80">
        <f t="shared" ref="D260:P260" si="164">D244+SUM(D245:D259)</f>
        <v>2379.0000000000005</v>
      </c>
      <c r="E260" s="80">
        <f t="shared" si="164"/>
        <v>390.39999999999969</v>
      </c>
      <c r="F260" s="80">
        <f t="shared" si="164"/>
        <v>1169.400000000001</v>
      </c>
      <c r="G260" s="80">
        <f t="shared" si="164"/>
        <v>1108.1000000000008</v>
      </c>
      <c r="H260" s="242">
        <f t="shared" si="164"/>
        <v>5046.9000000000051</v>
      </c>
      <c r="I260" s="80">
        <f t="shared" si="164"/>
        <v>1836.0999999999985</v>
      </c>
      <c r="J260" s="80">
        <f t="shared" si="164"/>
        <v>-1361.3000000000009</v>
      </c>
      <c r="K260" s="80">
        <f t="shared" si="164"/>
        <v>-367.69999999999925</v>
      </c>
      <c r="L260" s="80">
        <f t="shared" si="164"/>
        <v>1490.7000000000014</v>
      </c>
      <c r="M260" s="242">
        <f t="shared" si="164"/>
        <v>1597.8000000000043</v>
      </c>
      <c r="N260" s="80">
        <f t="shared" si="164"/>
        <v>1835.7000000000003</v>
      </c>
      <c r="O260" s="80">
        <f t="shared" si="164"/>
        <v>883.80000000000018</v>
      </c>
      <c r="P260" s="80">
        <f t="shared" si="164"/>
        <v>1748.9999999999991</v>
      </c>
      <c r="Q260" s="169">
        <f>'Earnings Model (adjusted)'!Q260-'Earnings Model'!Q260</f>
        <v>44.647672442169778</v>
      </c>
      <c r="R260" s="169">
        <f>'Earnings Model (adjusted)'!R260-'Earnings Model'!R260</f>
        <v>44.647672442168187</v>
      </c>
      <c r="S260" s="169">
        <f>'Earnings Model (adjusted)'!S260-'Earnings Model'!S260</f>
        <v>72.3205513761568</v>
      </c>
      <c r="T260" s="169">
        <f>'Earnings Model (adjusted)'!T260-'Earnings Model'!T260</f>
        <v>84.409865892153334</v>
      </c>
      <c r="U260" s="169">
        <f>'Earnings Model (adjusted)'!U260-'Earnings Model'!U260</f>
        <v>96.435241873987707</v>
      </c>
      <c r="V260" s="169">
        <f>'Earnings Model (adjusted)'!V260-'Earnings Model'!V260</f>
        <v>43.466147344009187</v>
      </c>
      <c r="W260" s="169">
        <f>'Earnings Model (adjusted)'!W260-'Earnings Model'!W260</f>
        <v>296.63180648630168</v>
      </c>
      <c r="X260" s="169">
        <f>'Earnings Model (adjusted)'!X260-'Earnings Model'!X260</f>
        <v>86.123872722913347</v>
      </c>
      <c r="Y260" s="169">
        <f>'Earnings Model (adjusted)'!Y260-'Earnings Model'!Y260</f>
        <v>87.76961413394497</v>
      </c>
      <c r="Z260" s="169">
        <f>'Earnings Model (adjusted)'!Z260-'Earnings Model'!Z260</f>
        <v>82.138151745306004</v>
      </c>
      <c r="AA260" s="169">
        <f>'Earnings Model (adjusted)'!AA260-'Earnings Model'!AA260</f>
        <v>103.22384840834854</v>
      </c>
      <c r="AB260" s="169">
        <f>'Earnings Model (adjusted)'!AB260-'Earnings Model'!AB260</f>
        <v>359.25548701051775</v>
      </c>
      <c r="AC260" s="169">
        <f>'Earnings Model (adjusted)'!AC260-'Earnings Model'!AC260</f>
        <v>80.847372834081398</v>
      </c>
      <c r="AD260" s="169">
        <f>'Earnings Model (adjusted)'!AD260-'Earnings Model'!AD260</f>
        <v>91.301829651204798</v>
      </c>
      <c r="AE260" s="169">
        <f>'Earnings Model (adjusted)'!AE260-'Earnings Model'!AE260</f>
        <v>79.967975858350201</v>
      </c>
      <c r="AF260" s="169">
        <f>'Earnings Model (adjusted)'!AF260-'Earnings Model'!AF260</f>
        <v>89.452643445706258</v>
      </c>
      <c r="AG260" s="169">
        <f>'Earnings Model (adjusted)'!AG260-'Earnings Model'!AG260</f>
        <v>341.56982178934231</v>
      </c>
      <c r="AH260" s="169">
        <f>'Earnings Model (adjusted)'!AH260-'Earnings Model'!AH260</f>
        <v>114.30349473506749</v>
      </c>
      <c r="AI260" s="169">
        <f>'Earnings Model (adjusted)'!AI260-'Earnings Model'!AI260</f>
        <v>111.66931774920795</v>
      </c>
      <c r="AJ260" s="169">
        <f>'Earnings Model (adjusted)'!AJ260-'Earnings Model'!AJ260</f>
        <v>92.969270331166626</v>
      </c>
      <c r="AK260" s="169">
        <f>'Earnings Model (adjusted)'!AK260-'Earnings Model'!AK260</f>
        <v>99.866511632337279</v>
      </c>
      <c r="AL260" s="169">
        <f>'Earnings Model (adjusted)'!AL260-'Earnings Model'!AL260</f>
        <v>418.80859444777525</v>
      </c>
      <c r="AM260" s="169">
        <f>'Earnings Model (adjusted)'!AM260-'Earnings Model'!AM260</f>
        <v>122.34141856257565</v>
      </c>
      <c r="AN260" s="169">
        <f>'Earnings Model (adjusted)'!AN260-'Earnings Model'!AN260</f>
        <v>116.83442393762471</v>
      </c>
      <c r="AO260" s="169">
        <f>'Earnings Model (adjusted)'!AO260-'Earnings Model'!AO260</f>
        <v>87.462426778887675</v>
      </c>
      <c r="AP260" s="169">
        <f>'Earnings Model (adjusted)'!AP260-'Earnings Model'!AP260</f>
        <v>102.56617765062265</v>
      </c>
      <c r="AQ260" s="169">
        <f>'Earnings Model (adjusted)'!AQ260-'Earnings Model'!AQ260</f>
        <v>429.20444692971432</v>
      </c>
    </row>
    <row r="261" spans="1:43" outlineLevel="1" x14ac:dyDescent="0.25">
      <c r="A261" s="254"/>
      <c r="B261" s="603" t="s">
        <v>13</v>
      </c>
      <c r="C261" s="604"/>
      <c r="D261" s="354"/>
      <c r="E261" s="24"/>
      <c r="F261" s="24"/>
      <c r="G261" s="24"/>
      <c r="H261" s="25"/>
      <c r="I261" s="301"/>
      <c r="J261" s="301"/>
      <c r="K261" s="24"/>
      <c r="L261" s="24"/>
      <c r="M261" s="249"/>
      <c r="N261" s="24"/>
      <c r="O261" s="24"/>
      <c r="P261" s="24"/>
      <c r="Q261" s="169">
        <f>'Earnings Model (adjusted)'!Q261-'Earnings Model'!Q261</f>
        <v>0</v>
      </c>
      <c r="R261" s="169">
        <f>'Earnings Model (adjusted)'!R261-'Earnings Model'!R261</f>
        <v>0</v>
      </c>
      <c r="S261" s="169">
        <f>'Earnings Model (adjusted)'!S261-'Earnings Model'!S261</f>
        <v>0</v>
      </c>
      <c r="T261" s="169">
        <f>'Earnings Model (adjusted)'!T261-'Earnings Model'!T261</f>
        <v>0</v>
      </c>
      <c r="U261" s="169">
        <f>'Earnings Model (adjusted)'!U261-'Earnings Model'!U261</f>
        <v>0</v>
      </c>
      <c r="V261" s="169">
        <f>'Earnings Model (adjusted)'!V261-'Earnings Model'!V261</f>
        <v>0</v>
      </c>
      <c r="W261" s="169">
        <f>'Earnings Model (adjusted)'!W261-'Earnings Model'!W261</f>
        <v>0</v>
      </c>
      <c r="X261" s="169">
        <f>'Earnings Model (adjusted)'!X261-'Earnings Model'!X261</f>
        <v>0</v>
      </c>
      <c r="Y261" s="169">
        <f>'Earnings Model (adjusted)'!Y261-'Earnings Model'!Y261</f>
        <v>0</v>
      </c>
      <c r="Z261" s="169">
        <f>'Earnings Model (adjusted)'!Z261-'Earnings Model'!Z261</f>
        <v>0</v>
      </c>
      <c r="AA261" s="169">
        <f>'Earnings Model (adjusted)'!AA261-'Earnings Model'!AA261</f>
        <v>0</v>
      </c>
      <c r="AB261" s="169">
        <f>'Earnings Model (adjusted)'!AB261-'Earnings Model'!AB261</f>
        <v>0</v>
      </c>
      <c r="AC261" s="169">
        <f>'Earnings Model (adjusted)'!AC261-'Earnings Model'!AC261</f>
        <v>0</v>
      </c>
      <c r="AD261" s="169">
        <f>'Earnings Model (adjusted)'!AD261-'Earnings Model'!AD261</f>
        <v>0</v>
      </c>
      <c r="AE261" s="169">
        <f>'Earnings Model (adjusted)'!AE261-'Earnings Model'!AE261</f>
        <v>0</v>
      </c>
      <c r="AF261" s="169">
        <f>'Earnings Model (adjusted)'!AF261-'Earnings Model'!AF261</f>
        <v>0</v>
      </c>
      <c r="AG261" s="169">
        <f>'Earnings Model (adjusted)'!AG261-'Earnings Model'!AG261</f>
        <v>0</v>
      </c>
      <c r="AH261" s="169">
        <f>'Earnings Model (adjusted)'!AH261-'Earnings Model'!AH261</f>
        <v>0</v>
      </c>
      <c r="AI261" s="169">
        <f>'Earnings Model (adjusted)'!AI261-'Earnings Model'!AI261</f>
        <v>0</v>
      </c>
      <c r="AJ261" s="169">
        <f>'Earnings Model (adjusted)'!AJ261-'Earnings Model'!AJ261</f>
        <v>0</v>
      </c>
      <c r="AK261" s="169">
        <f>'Earnings Model (adjusted)'!AK261-'Earnings Model'!AK261</f>
        <v>0</v>
      </c>
      <c r="AL261" s="169">
        <f>'Earnings Model (adjusted)'!AL261-'Earnings Model'!AL261</f>
        <v>0</v>
      </c>
      <c r="AM261" s="169">
        <f>'Earnings Model (adjusted)'!AM261-'Earnings Model'!AM261</f>
        <v>0</v>
      </c>
      <c r="AN261" s="169">
        <f>'Earnings Model (adjusted)'!AN261-'Earnings Model'!AN261</f>
        <v>0</v>
      </c>
      <c r="AO261" s="169">
        <f>'Earnings Model (adjusted)'!AO261-'Earnings Model'!AO261</f>
        <v>0</v>
      </c>
      <c r="AP261" s="169">
        <f>'Earnings Model (adjusted)'!AP261-'Earnings Model'!AP261</f>
        <v>0</v>
      </c>
      <c r="AQ261" s="169">
        <f>'Earnings Model (adjusted)'!AQ261-'Earnings Model'!AQ261</f>
        <v>0</v>
      </c>
    </row>
    <row r="262" spans="1:43" outlineLevel="1" x14ac:dyDescent="0.25">
      <c r="A262" s="254"/>
      <c r="B262" s="539" t="s">
        <v>220</v>
      </c>
      <c r="C262" s="540"/>
      <c r="D262" s="34">
        <f>-108.7+32.1+14.2</f>
        <v>-62.399999999999991</v>
      </c>
      <c r="E262" s="34">
        <f>-150.2+218.3+55.1-D262</f>
        <v>185.60000000000002</v>
      </c>
      <c r="F262" s="34">
        <f>-176.3+281.7+57.5-E262-D262</f>
        <v>39.699999999999946</v>
      </c>
      <c r="G262" s="34">
        <f>-190.4+298.3+59.8-F262-E262-D262</f>
        <v>4.8000000000000256</v>
      </c>
      <c r="H262" s="35">
        <f>SUM(D262:G262)</f>
        <v>167.7</v>
      </c>
      <c r="I262" s="34">
        <f>-38+64.6+1.3</f>
        <v>27.899999999999995</v>
      </c>
      <c r="J262" s="34">
        <f>-65.1+93.7+4.3-I262</f>
        <v>5.0000000000000107</v>
      </c>
      <c r="K262" s="34">
        <f>-297.4+133.5+10-J262-I262</f>
        <v>-186.79999999999998</v>
      </c>
      <c r="L262" s="34">
        <f>-443.9+186.7+73.7-K262-J262-I262</f>
        <v>-29.600000000000023</v>
      </c>
      <c r="M262" s="35">
        <f>SUM(I262:L262)</f>
        <v>-183.5</v>
      </c>
      <c r="N262" s="34">
        <f>-135.5+91.2+113.7</f>
        <v>69.400000000000006</v>
      </c>
      <c r="O262" s="34">
        <f>-321.7+121.7+289-N262</f>
        <v>19.599999999999994</v>
      </c>
      <c r="P262" s="34">
        <f>-367.3+130.4+298.7-O262-N262</f>
        <v>-27.200000000000017</v>
      </c>
      <c r="Q262" s="169">
        <f>'Earnings Model (adjusted)'!Q262-'Earnings Model'!Q262</f>
        <v>-0.4033881871711742</v>
      </c>
      <c r="R262" s="169">
        <f>'Earnings Model (adjusted)'!R262-'Earnings Model'!R262</f>
        <v>-0.4033881871711742</v>
      </c>
      <c r="S262" s="169">
        <f>'Earnings Model (adjusted)'!S262-'Earnings Model'!S262</f>
        <v>-1.2495736158195143</v>
      </c>
      <c r="T262" s="169">
        <f>'Earnings Model (adjusted)'!T262-'Earnings Model'!T262</f>
        <v>-1.2520794100314276</v>
      </c>
      <c r="U262" s="169">
        <f>'Earnings Model (adjusted)'!U262-'Earnings Model'!U262</f>
        <v>-1.2166259031446316</v>
      </c>
      <c r="V262" s="169">
        <f>'Earnings Model (adjusted)'!V262-'Earnings Model'!V262</f>
        <v>-0.92059465371727356</v>
      </c>
      <c r="W262" s="169">
        <f>'Earnings Model (adjusted)'!W262-'Earnings Model'!W262</f>
        <v>-4.6388735827128471</v>
      </c>
      <c r="X262" s="169">
        <f>'Earnings Model (adjusted)'!X262-'Earnings Model'!X262</f>
        <v>-1.4008039903182805</v>
      </c>
      <c r="Y262" s="169">
        <f>'Earnings Model (adjusted)'!Y262-'Earnings Model'!Y262</f>
        <v>-1.3042485000567012</v>
      </c>
      <c r="Z262" s="169">
        <f>'Earnings Model (adjusted)'!Z262-'Earnings Model'!Z262</f>
        <v>-0.85374055450324704</v>
      </c>
      <c r="AA262" s="169">
        <f>'Earnings Model (adjusted)'!AA262-'Earnings Model'!AA262</f>
        <v>-1.4081643539150264</v>
      </c>
      <c r="AB262" s="169">
        <f>'Earnings Model (adjusted)'!AB262-'Earnings Model'!AB262</f>
        <v>-4.9669573987932552</v>
      </c>
      <c r="AC262" s="169">
        <f>'Earnings Model (adjusted)'!AC262-'Earnings Model'!AC262</f>
        <v>-1.8234037129551837</v>
      </c>
      <c r="AD262" s="169">
        <f>'Earnings Model (adjusted)'!AD262-'Earnings Model'!AD262</f>
        <v>-1.3493077194256955</v>
      </c>
      <c r="AE262" s="169">
        <f>'Earnings Model (adjusted)'!AE262-'Earnings Model'!AE262</f>
        <v>-0.65175677265520449</v>
      </c>
      <c r="AF262" s="169">
        <f>'Earnings Model (adjusted)'!AF262-'Earnings Model'!AF262</f>
        <v>-1.0673914372375464</v>
      </c>
      <c r="AG262" s="169">
        <f>'Earnings Model (adjusted)'!AG262-'Earnings Model'!AG262</f>
        <v>-4.89185964227363</v>
      </c>
      <c r="AH262" s="169">
        <f>'Earnings Model (adjusted)'!AH262-'Earnings Model'!AH262</f>
        <v>-2.3910818639461979</v>
      </c>
      <c r="AI262" s="169">
        <f>'Earnings Model (adjusted)'!AI262-'Earnings Model'!AI262</f>
        <v>-1.6394712268388503</v>
      </c>
      <c r="AJ262" s="169">
        <f>'Earnings Model (adjusted)'!AJ262-'Earnings Model'!AJ262</f>
        <v>-0.65049500450538744</v>
      </c>
      <c r="AK262" s="169">
        <f>'Earnings Model (adjusted)'!AK262-'Earnings Model'!AK262</f>
        <v>-1.1532464774828668</v>
      </c>
      <c r="AL262" s="169">
        <f>'Earnings Model (adjusted)'!AL262-'Earnings Model'!AL262</f>
        <v>-5.8342945727733024</v>
      </c>
      <c r="AM262" s="169">
        <f>'Earnings Model (adjusted)'!AM262-'Earnings Model'!AM262</f>
        <v>-2.7610714831551491</v>
      </c>
      <c r="AN262" s="169">
        <f>'Earnings Model (adjusted)'!AN262-'Earnings Model'!AN262</f>
        <v>-1.7077523064518232</v>
      </c>
      <c r="AO262" s="169">
        <f>'Earnings Model (adjusted)'!AO262-'Earnings Model'!AO262</f>
        <v>-0.51242851291857505</v>
      </c>
      <c r="AP262" s="169">
        <f>'Earnings Model (adjusted)'!AP262-'Earnings Model'!AP262</f>
        <v>-1.1824498596670594</v>
      </c>
      <c r="AQ262" s="169">
        <f>'Earnings Model (adjusted)'!AQ262-'Earnings Model'!AQ262</f>
        <v>-6.1637021621926067</v>
      </c>
    </row>
    <row r="263" spans="1:43" outlineLevel="1" x14ac:dyDescent="0.25">
      <c r="A263" s="254"/>
      <c r="B263" s="595" t="s">
        <v>221</v>
      </c>
      <c r="C263" s="596"/>
      <c r="D263" s="34">
        <v>-431.4</v>
      </c>
      <c r="E263" s="34">
        <f>-845.6-D263</f>
        <v>-414.20000000000005</v>
      </c>
      <c r="F263" s="34">
        <f>-1280.7-E263-D263</f>
        <v>-435.1</v>
      </c>
      <c r="G263" s="34">
        <f>-1806.6-F263-E263-D263</f>
        <v>-525.9</v>
      </c>
      <c r="H263" s="449">
        <f>SUM(D263:G263)</f>
        <v>-1806.6</v>
      </c>
      <c r="I263" s="34">
        <v>-394.3</v>
      </c>
      <c r="J263" s="34">
        <f>-758.3-I263</f>
        <v>-363.99999999999994</v>
      </c>
      <c r="K263" s="34">
        <f>-1138.4-J263-I263</f>
        <v>-380.10000000000008</v>
      </c>
      <c r="L263" s="34">
        <f>-1483.6-K263-J263-I263</f>
        <v>-345.19999999999976</v>
      </c>
      <c r="M263" s="449">
        <f>SUM(I263:L263)</f>
        <v>-1483.6</v>
      </c>
      <c r="N263" s="34">
        <v>-324.2</v>
      </c>
      <c r="O263" s="34">
        <f>-647.9-N263</f>
        <v>-323.7</v>
      </c>
      <c r="P263" s="34">
        <f>-985.7-O263-N263</f>
        <v>-337.8</v>
      </c>
      <c r="Q263" s="169">
        <f>'Earnings Model (adjusted)'!Q263-'Earnings Model'!Q263</f>
        <v>0</v>
      </c>
      <c r="R263" s="169">
        <f>'Earnings Model (adjusted)'!R263-'Earnings Model'!R263</f>
        <v>0</v>
      </c>
      <c r="S263" s="169">
        <f>'Earnings Model (adjusted)'!S263-'Earnings Model'!S263</f>
        <v>-5.2236337187279105</v>
      </c>
      <c r="T263" s="169">
        <f>'Earnings Model (adjusted)'!T263-'Earnings Model'!T263</f>
        <v>-5.0789918592336676</v>
      </c>
      <c r="U263" s="169">
        <f>'Earnings Model (adjusted)'!U263-'Earnings Model'!U263</f>
        <v>-2.9529138335112748</v>
      </c>
      <c r="V263" s="169">
        <f>'Earnings Model (adjusted)'!V263-'Earnings Model'!V263</f>
        <v>-2.8372504768969975</v>
      </c>
      <c r="W263" s="169">
        <f>'Earnings Model (adjusted)'!W263-'Earnings Model'!W263</f>
        <v>-16.092789888370135</v>
      </c>
      <c r="X263" s="169">
        <f>'Earnings Model (adjusted)'!X263-'Earnings Model'!X263</f>
        <v>-6.3658548358428106</v>
      </c>
      <c r="Y263" s="169">
        <f>'Earnings Model (adjusted)'!Y263-'Earnings Model'!Y263</f>
        <v>-6.3536323301479456</v>
      </c>
      <c r="Z263" s="169">
        <f>'Earnings Model (adjusted)'!Z263-'Earnings Model'!Z263</f>
        <v>-2.9086486211518832</v>
      </c>
      <c r="AA263" s="169">
        <f>'Earnings Model (adjusted)'!AA263-'Earnings Model'!AA263</f>
        <v>-2.7668460550871714</v>
      </c>
      <c r="AB263" s="169">
        <f>'Earnings Model (adjusted)'!AB263-'Earnings Model'!AB263</f>
        <v>-18.394981842229981</v>
      </c>
      <c r="AC263" s="169">
        <f>'Earnings Model (adjusted)'!AC263-'Earnings Model'!AC263</f>
        <v>-7.5762873866204927</v>
      </c>
      <c r="AD263" s="169">
        <f>'Earnings Model (adjusted)'!AD263-'Earnings Model'!AD263</f>
        <v>-7.5786995640376631</v>
      </c>
      <c r="AE263" s="169">
        <f>'Earnings Model (adjusted)'!AE263-'Earnings Model'!AE263</f>
        <v>-2.8579901865957709</v>
      </c>
      <c r="AF263" s="169">
        <f>'Earnings Model (adjusted)'!AF263-'Earnings Model'!AF263</f>
        <v>-1.3718956628764545</v>
      </c>
      <c r="AG263" s="169">
        <f>'Earnings Model (adjusted)'!AG263-'Earnings Model'!AG263</f>
        <v>-19.384872800130552</v>
      </c>
      <c r="AH263" s="169">
        <f>'Earnings Model (adjusted)'!AH263-'Earnings Model'!AH263</f>
        <v>-9.5922579806778003</v>
      </c>
      <c r="AI263" s="169">
        <f>'Earnings Model (adjusted)'!AI263-'Earnings Model'!AI263</f>
        <v>-9.6010309700417338</v>
      </c>
      <c r="AJ263" s="169">
        <f>'Earnings Model (adjusted)'!AJ263-'Earnings Model'!AJ263</f>
        <v>-3.0735485999847469</v>
      </c>
      <c r="AK263" s="169">
        <f>'Earnings Model (adjusted)'!AK263-'Earnings Model'!AK263</f>
        <v>-1.4596307859246735</v>
      </c>
      <c r="AL263" s="169">
        <f>'Earnings Model (adjusted)'!AL263-'Earnings Model'!AL263</f>
        <v>-23.726468336629296</v>
      </c>
      <c r="AM263" s="169">
        <f>'Earnings Model (adjusted)'!AM263-'Earnings Model'!AM263</f>
        <v>-10.277716437723711</v>
      </c>
      <c r="AN263" s="169">
        <f>'Earnings Model (adjusted)'!AN263-'Earnings Model'!AN263</f>
        <v>-10.280841984769836</v>
      </c>
      <c r="AO263" s="169">
        <f>'Earnings Model (adjusted)'!AO263-'Earnings Model'!AO263</f>
        <v>-3.2882431515115513</v>
      </c>
      <c r="AP263" s="169">
        <f>'Earnings Model (adjusted)'!AP263-'Earnings Model'!AP263</f>
        <v>-1.5595793220824135</v>
      </c>
      <c r="AQ263" s="169">
        <f>'Earnings Model (adjusted)'!AQ263-'Earnings Model'!AQ263</f>
        <v>-25.406380896087285</v>
      </c>
    </row>
    <row r="264" spans="1:43" ht="17.25" outlineLevel="1" x14ac:dyDescent="0.4">
      <c r="A264" s="254"/>
      <c r="B264" s="595" t="s">
        <v>109</v>
      </c>
      <c r="C264" s="596"/>
      <c r="D264" s="37">
        <v>-16.600000000000001</v>
      </c>
      <c r="E264" s="37">
        <f>48.5-37.1-D264</f>
        <v>28</v>
      </c>
      <c r="F264" s="37">
        <f>684.2-72.9-E264-D264</f>
        <v>599.90000000000009</v>
      </c>
      <c r="G264" s="37">
        <f>684.3-56.2-F264-E264-D264</f>
        <v>16.79999999999982</v>
      </c>
      <c r="H264" s="38">
        <f>SUM(D264:G264)</f>
        <v>628.09999999999991</v>
      </c>
      <c r="I264" s="37">
        <v>-19.899999999999999</v>
      </c>
      <c r="J264" s="37">
        <f>-22.5-I264</f>
        <v>-2.6000000000000014</v>
      </c>
      <c r="K264" s="37">
        <f>-39.4-J264-I264</f>
        <v>-16.899999999999999</v>
      </c>
      <c r="L264" s="37">
        <f>-44.4-K264-J264-I264</f>
        <v>-5</v>
      </c>
      <c r="M264" s="38">
        <f>SUM(I264:L264)</f>
        <v>-44.4</v>
      </c>
      <c r="N264" s="37">
        <v>-17.7</v>
      </c>
      <c r="O264" s="37">
        <f>-20.1-N264</f>
        <v>-2.4000000000000021</v>
      </c>
      <c r="P264" s="37">
        <f>-62.3-O264-N264</f>
        <v>-42.199999999999989</v>
      </c>
      <c r="Q264" s="169">
        <f>'Earnings Model (adjusted)'!Q264-'Earnings Model'!Q264</f>
        <v>-0.53399842292071753</v>
      </c>
      <c r="R264" s="169">
        <f>'Earnings Model (adjusted)'!R264-'Earnings Model'!R264</f>
        <v>-0.53399842292071753</v>
      </c>
      <c r="S264" s="169">
        <f>'Earnings Model (adjusted)'!S264-'Earnings Model'!S264</f>
        <v>-1.7126251985970384</v>
      </c>
      <c r="T264" s="169">
        <f>'Earnings Model (adjusted)'!T264-'Earnings Model'!T264</f>
        <v>-1.6745720287390213</v>
      </c>
      <c r="U264" s="169">
        <f>'Earnings Model (adjusted)'!U264-'Earnings Model'!U264</f>
        <v>-1.6082063395617752</v>
      </c>
      <c r="V264" s="169">
        <f>'Earnings Model (adjusted)'!V264-'Earnings Model'!V264</f>
        <v>-1.2445771374042351</v>
      </c>
      <c r="W264" s="169">
        <f>'Earnings Model (adjusted)'!W264-'Earnings Model'!W264</f>
        <v>-6.2399807043020701</v>
      </c>
      <c r="X264" s="169">
        <f>'Earnings Model (adjusted)'!X264-'Earnings Model'!X264</f>
        <v>-1.9141506639741692</v>
      </c>
      <c r="Y264" s="169">
        <f>'Earnings Model (adjusted)'!Y264-'Earnings Model'!Y264</f>
        <v>-1.7381816359862796</v>
      </c>
      <c r="Z264" s="169">
        <f>'Earnings Model (adjusted)'!Z264-'Earnings Model'!Z264</f>
        <v>-1.1404068148889337</v>
      </c>
      <c r="AA264" s="169">
        <f>'Earnings Model (adjusted)'!AA264-'Earnings Model'!AA264</f>
        <v>-1.9018780989750894</v>
      </c>
      <c r="AB264" s="169">
        <f>'Earnings Model (adjusted)'!AB264-'Earnings Model'!AB264</f>
        <v>-6.6946172138244719</v>
      </c>
      <c r="AC264" s="169">
        <f>'Earnings Model (adjusted)'!AC264-'Earnings Model'!AC264</f>
        <v>-2.4600642317741404</v>
      </c>
      <c r="AD264" s="169">
        <f>'Earnings Model (adjusted)'!AD264-'Earnings Model'!AD264</f>
        <v>-1.8088870510358674</v>
      </c>
      <c r="AE264" s="169">
        <f>'Earnings Model (adjusted)'!AE264-'Earnings Model'!AE264</f>
        <v>-0.87630497450641087</v>
      </c>
      <c r="AF264" s="169">
        <f>'Earnings Model (adjusted)'!AF264-'Earnings Model'!AF264</f>
        <v>-1.4389931940171437</v>
      </c>
      <c r="AG264" s="169">
        <f>'Earnings Model (adjusted)'!AG264-'Earnings Model'!AG264</f>
        <v>-6.5842494513335623</v>
      </c>
      <c r="AH264" s="169">
        <f>'Earnings Model (adjusted)'!AH264-'Earnings Model'!AH264</f>
        <v>-3.2182377981581567</v>
      </c>
      <c r="AI264" s="169">
        <f>'Earnings Model (adjusted)'!AI264-'Earnings Model'!AI264</f>
        <v>-2.2044142117756564</v>
      </c>
      <c r="AJ264" s="169">
        <f>'Earnings Model (adjusted)'!AJ264-'Earnings Model'!AJ264</f>
        <v>-0.87564817025793218</v>
      </c>
      <c r="AK264" s="169">
        <f>'Earnings Model (adjusted)'!AK264-'Earnings Model'!AK264</f>
        <v>-1.5525569711049911</v>
      </c>
      <c r="AL264" s="169">
        <f>'Earnings Model (adjusted)'!AL264-'Earnings Model'!AL264</f>
        <v>-7.8508571512967364</v>
      </c>
      <c r="AM264" s="169">
        <f>'Earnings Model (adjusted)'!AM264-'Earnings Model'!AM264</f>
        <v>-3.715437189809677</v>
      </c>
      <c r="AN264" s="169">
        <f>'Earnings Model (adjusted)'!AN264-'Earnings Model'!AN264</f>
        <v>-2.2977407742906735</v>
      </c>
      <c r="AO264" s="169">
        <f>'Earnings Model (adjusted)'!AO264-'Earnings Model'!AO264</f>
        <v>-0.68973432103928189</v>
      </c>
      <c r="AP264" s="169">
        <f>'Earnings Model (adjusted)'!AP264-'Earnings Model'!AP264</f>
        <v>-1.5913258696989487</v>
      </c>
      <c r="AQ264" s="169">
        <f>'Earnings Model (adjusted)'!AQ264-'Earnings Model'!AQ264</f>
        <v>-8.2942381548385811</v>
      </c>
    </row>
    <row r="265" spans="1:43" outlineLevel="1" x14ac:dyDescent="0.25">
      <c r="A265" s="254"/>
      <c r="B265" s="585" t="s">
        <v>14</v>
      </c>
      <c r="C265" s="586"/>
      <c r="D265" s="41">
        <f t="shared" ref="D265:P265" si="165">SUM(D262:D264)</f>
        <v>-510.4</v>
      </c>
      <c r="E265" s="41">
        <f t="shared" si="165"/>
        <v>-200.60000000000002</v>
      </c>
      <c r="F265" s="41">
        <f t="shared" si="165"/>
        <v>204.5</v>
      </c>
      <c r="G265" s="41">
        <f t="shared" si="165"/>
        <v>-504.30000000000007</v>
      </c>
      <c r="H265" s="42">
        <f t="shared" si="165"/>
        <v>-1010.8</v>
      </c>
      <c r="I265" s="41">
        <f t="shared" si="165"/>
        <v>-386.3</v>
      </c>
      <c r="J265" s="41">
        <f t="shared" si="165"/>
        <v>-361.59999999999997</v>
      </c>
      <c r="K265" s="41">
        <f t="shared" si="165"/>
        <v>-583.80000000000007</v>
      </c>
      <c r="L265" s="41">
        <f t="shared" si="165"/>
        <v>-379.79999999999978</v>
      </c>
      <c r="M265" s="42">
        <f t="shared" si="165"/>
        <v>-1711.5</v>
      </c>
      <c r="N265" s="41">
        <f t="shared" si="165"/>
        <v>-272.5</v>
      </c>
      <c r="O265" s="41">
        <f t="shared" si="165"/>
        <v>-306.5</v>
      </c>
      <c r="P265" s="41">
        <f t="shared" si="165"/>
        <v>-407.2</v>
      </c>
      <c r="Q265" s="169">
        <f>'Earnings Model (adjusted)'!Q265-'Earnings Model'!Q265</f>
        <v>-0.93738661009194857</v>
      </c>
      <c r="R265" s="169">
        <f>'Earnings Model (adjusted)'!R265-'Earnings Model'!R265</f>
        <v>-0.93738661009183488</v>
      </c>
      <c r="S265" s="169">
        <f>'Earnings Model (adjusted)'!S265-'Earnings Model'!S265</f>
        <v>-8.1858325331444348</v>
      </c>
      <c r="T265" s="169">
        <f>'Earnings Model (adjusted)'!T265-'Earnings Model'!T265</f>
        <v>-8.0056432980040881</v>
      </c>
      <c r="U265" s="169">
        <f>'Earnings Model (adjusted)'!U265-'Earnings Model'!U265</f>
        <v>-5.7777460762176815</v>
      </c>
      <c r="V265" s="169">
        <f>'Earnings Model (adjusted)'!V265-'Earnings Model'!V265</f>
        <v>-5.0024222680185062</v>
      </c>
      <c r="W265" s="169">
        <f>'Earnings Model (adjusted)'!W265-'Earnings Model'!W265</f>
        <v>-26.971644175385336</v>
      </c>
      <c r="X265" s="169">
        <f>'Earnings Model (adjusted)'!X265-'Earnings Model'!X265</f>
        <v>-9.680809490135232</v>
      </c>
      <c r="Y265" s="169">
        <f>'Earnings Model (adjusted)'!Y265-'Earnings Model'!Y265</f>
        <v>-9.3960624661909264</v>
      </c>
      <c r="Z265" s="169">
        <f>'Earnings Model (adjusted)'!Z265-'Earnings Model'!Z265</f>
        <v>-4.9027959905441776</v>
      </c>
      <c r="AA265" s="169">
        <f>'Earnings Model (adjusted)'!AA265-'Earnings Model'!AA265</f>
        <v>-6.0768885079772872</v>
      </c>
      <c r="AB265" s="169">
        <f>'Earnings Model (adjusted)'!AB265-'Earnings Model'!AB265</f>
        <v>-30.056556454847396</v>
      </c>
      <c r="AC265" s="169">
        <f>'Earnings Model (adjusted)'!AC265-'Earnings Model'!AC265</f>
        <v>-11.859755331349788</v>
      </c>
      <c r="AD265" s="169">
        <f>'Earnings Model (adjusted)'!AD265-'Earnings Model'!AD265</f>
        <v>-10.736894334499198</v>
      </c>
      <c r="AE265" s="169">
        <f>'Earnings Model (adjusted)'!AE265-'Earnings Model'!AE265</f>
        <v>-4.3860519337573578</v>
      </c>
      <c r="AF265" s="169">
        <f>'Earnings Model (adjusted)'!AF265-'Earnings Model'!AF265</f>
        <v>-3.8782802941311729</v>
      </c>
      <c r="AG265" s="169">
        <f>'Earnings Model (adjusted)'!AG265-'Earnings Model'!AG265</f>
        <v>-30.860981893737517</v>
      </c>
      <c r="AH265" s="169">
        <f>'Earnings Model (adjusted)'!AH265-'Earnings Model'!AH265</f>
        <v>-15.201577642782013</v>
      </c>
      <c r="AI265" s="169">
        <f>'Earnings Model (adjusted)'!AI265-'Earnings Model'!AI265</f>
        <v>-13.44491640865624</v>
      </c>
      <c r="AJ265" s="169">
        <f>'Earnings Model (adjusted)'!AJ265-'Earnings Model'!AJ265</f>
        <v>-4.5996917747480666</v>
      </c>
      <c r="AK265" s="169">
        <f>'Earnings Model (adjusted)'!AK265-'Earnings Model'!AK265</f>
        <v>-4.1654342345124178</v>
      </c>
      <c r="AL265" s="169">
        <f>'Earnings Model (adjusted)'!AL265-'Earnings Model'!AL265</f>
        <v>-37.411620060699079</v>
      </c>
      <c r="AM265" s="169">
        <f>'Earnings Model (adjusted)'!AM265-'Earnings Model'!AM265</f>
        <v>-16.754225110688594</v>
      </c>
      <c r="AN265" s="169">
        <f>'Earnings Model (adjusted)'!AN265-'Earnings Model'!AN265</f>
        <v>-14.28633506551239</v>
      </c>
      <c r="AO265" s="169">
        <f>'Earnings Model (adjusted)'!AO265-'Earnings Model'!AO265</f>
        <v>-4.4904059854693514</v>
      </c>
      <c r="AP265" s="169">
        <f>'Earnings Model (adjusted)'!AP265-'Earnings Model'!AP265</f>
        <v>-4.3333550514483932</v>
      </c>
      <c r="AQ265" s="169">
        <f>'Earnings Model (adjusted)'!AQ265-'Earnings Model'!AQ265</f>
        <v>-39.864321213118274</v>
      </c>
    </row>
    <row r="266" spans="1:43" outlineLevel="1" x14ac:dyDescent="0.25">
      <c r="A266" s="254"/>
      <c r="B266" s="623" t="s">
        <v>15</v>
      </c>
      <c r="C266" s="624"/>
      <c r="D266" s="251"/>
      <c r="E266" s="246"/>
      <c r="F266" s="246"/>
      <c r="G266" s="246"/>
      <c r="H266" s="247"/>
      <c r="I266" s="246"/>
      <c r="J266" s="246"/>
      <c r="K266" s="246"/>
      <c r="L266" s="246"/>
      <c r="M266" s="247"/>
      <c r="N266" s="246"/>
      <c r="O266" s="246"/>
      <c r="P266" s="246"/>
      <c r="Q266" s="169">
        <f>'Earnings Model (adjusted)'!Q266-'Earnings Model'!Q266</f>
        <v>0</v>
      </c>
      <c r="R266" s="169">
        <f>'Earnings Model (adjusted)'!R266-'Earnings Model'!R266</f>
        <v>0</v>
      </c>
      <c r="S266" s="169">
        <f>'Earnings Model (adjusted)'!S266-'Earnings Model'!S266</f>
        <v>0</v>
      </c>
      <c r="T266" s="169">
        <f>'Earnings Model (adjusted)'!T266-'Earnings Model'!T266</f>
        <v>0</v>
      </c>
      <c r="U266" s="169">
        <f>'Earnings Model (adjusted)'!U266-'Earnings Model'!U266</f>
        <v>0</v>
      </c>
      <c r="V266" s="169">
        <f>'Earnings Model (adjusted)'!V266-'Earnings Model'!V266</f>
        <v>0</v>
      </c>
      <c r="W266" s="169">
        <f>'Earnings Model (adjusted)'!W266-'Earnings Model'!W266</f>
        <v>0</v>
      </c>
      <c r="X266" s="169">
        <f>'Earnings Model (adjusted)'!X266-'Earnings Model'!X266</f>
        <v>0</v>
      </c>
      <c r="Y266" s="169">
        <f>'Earnings Model (adjusted)'!Y266-'Earnings Model'!Y266</f>
        <v>0</v>
      </c>
      <c r="Z266" s="169">
        <f>'Earnings Model (adjusted)'!Z266-'Earnings Model'!Z266</f>
        <v>0</v>
      </c>
      <c r="AA266" s="169">
        <f>'Earnings Model (adjusted)'!AA266-'Earnings Model'!AA266</f>
        <v>0</v>
      </c>
      <c r="AB266" s="169">
        <f>'Earnings Model (adjusted)'!AB266-'Earnings Model'!AB266</f>
        <v>0</v>
      </c>
      <c r="AC266" s="169">
        <f>'Earnings Model (adjusted)'!AC266-'Earnings Model'!AC266</f>
        <v>0</v>
      </c>
      <c r="AD266" s="169">
        <f>'Earnings Model (adjusted)'!AD266-'Earnings Model'!AD266</f>
        <v>0</v>
      </c>
      <c r="AE266" s="169">
        <f>'Earnings Model (adjusted)'!AE266-'Earnings Model'!AE266</f>
        <v>0</v>
      </c>
      <c r="AF266" s="169">
        <f>'Earnings Model (adjusted)'!AF266-'Earnings Model'!AF266</f>
        <v>0</v>
      </c>
      <c r="AG266" s="169">
        <f>'Earnings Model (adjusted)'!AG266-'Earnings Model'!AG266</f>
        <v>0</v>
      </c>
      <c r="AH266" s="169">
        <f>'Earnings Model (adjusted)'!AH266-'Earnings Model'!AH266</f>
        <v>0</v>
      </c>
      <c r="AI266" s="169">
        <f>'Earnings Model (adjusted)'!AI266-'Earnings Model'!AI266</f>
        <v>0</v>
      </c>
      <c r="AJ266" s="169">
        <f>'Earnings Model (adjusted)'!AJ266-'Earnings Model'!AJ266</f>
        <v>0</v>
      </c>
      <c r="AK266" s="169">
        <f>'Earnings Model (adjusted)'!AK266-'Earnings Model'!AK266</f>
        <v>0</v>
      </c>
      <c r="AL266" s="169">
        <f>'Earnings Model (adjusted)'!AL266-'Earnings Model'!AL266</f>
        <v>0</v>
      </c>
      <c r="AM266" s="169">
        <f>'Earnings Model (adjusted)'!AM266-'Earnings Model'!AM266</f>
        <v>0</v>
      </c>
      <c r="AN266" s="169">
        <f>'Earnings Model (adjusted)'!AN266-'Earnings Model'!AN266</f>
        <v>0</v>
      </c>
      <c r="AO266" s="169">
        <f>'Earnings Model (adjusted)'!AO266-'Earnings Model'!AO266</f>
        <v>0</v>
      </c>
      <c r="AP266" s="169">
        <f>'Earnings Model (adjusted)'!AP266-'Earnings Model'!AP266</f>
        <v>0</v>
      </c>
      <c r="AQ266" s="169">
        <f>'Earnings Model (adjusted)'!AQ266-'Earnings Model'!AQ266</f>
        <v>0</v>
      </c>
    </row>
    <row r="267" spans="1:43" outlineLevel="1" x14ac:dyDescent="0.25">
      <c r="A267" s="254"/>
      <c r="B267" s="619" t="s">
        <v>270</v>
      </c>
      <c r="C267" s="620"/>
      <c r="D267" s="81">
        <v>0</v>
      </c>
      <c r="E267" s="81">
        <f>-D267</f>
        <v>0</v>
      </c>
      <c r="F267" s="81">
        <f>1996-350-E267-D267</f>
        <v>1646</v>
      </c>
      <c r="G267" s="81">
        <f>1996-F267-E267-D267</f>
        <v>350</v>
      </c>
      <c r="H267" s="82">
        <f t="shared" ref="H267:H271" si="166">SUM(D267:G267)</f>
        <v>1996</v>
      </c>
      <c r="I267" s="81">
        <v>0</v>
      </c>
      <c r="J267" s="81">
        <f>1739.7-I267</f>
        <v>1739.7</v>
      </c>
      <c r="K267" s="81">
        <f>1157.2+4727.6-J267-I267</f>
        <v>4145.1000000000004</v>
      </c>
      <c r="L267" s="81">
        <f>1406.6-K267-J267-I267</f>
        <v>-4478.2000000000007</v>
      </c>
      <c r="M267" s="82">
        <f t="shared" ref="M267:M271" si="167">SUM(I267:L267)</f>
        <v>1406.5999999999995</v>
      </c>
      <c r="N267" s="81">
        <v>192.9</v>
      </c>
      <c r="O267" s="81">
        <f>203.3-N267</f>
        <v>10.400000000000006</v>
      </c>
      <c r="P267" s="81">
        <f>215.6-O267-N267</f>
        <v>12.299999999999983</v>
      </c>
      <c r="Q267" s="169">
        <f>'Earnings Model (adjusted)'!Q267-'Earnings Model'!Q267</f>
        <v>0</v>
      </c>
      <c r="R267" s="169">
        <f>'Earnings Model (adjusted)'!R267-'Earnings Model'!R267</f>
        <v>0</v>
      </c>
      <c r="S267" s="169">
        <f>'Earnings Model (adjusted)'!S267-'Earnings Model'!S267</f>
        <v>0</v>
      </c>
      <c r="T267" s="169">
        <f>'Earnings Model (adjusted)'!T267-'Earnings Model'!T267</f>
        <v>0</v>
      </c>
      <c r="U267" s="169">
        <f>'Earnings Model (adjusted)'!U267-'Earnings Model'!U267</f>
        <v>0</v>
      </c>
      <c r="V267" s="169">
        <f>'Earnings Model (adjusted)'!V267-'Earnings Model'!V267</f>
        <v>0</v>
      </c>
      <c r="W267" s="169">
        <f>'Earnings Model (adjusted)'!W267-'Earnings Model'!W267</f>
        <v>0</v>
      </c>
      <c r="X267" s="169">
        <f>'Earnings Model (adjusted)'!X267-'Earnings Model'!X267</f>
        <v>0</v>
      </c>
      <c r="Y267" s="169">
        <f>'Earnings Model (adjusted)'!Y267-'Earnings Model'!Y267</f>
        <v>0</v>
      </c>
      <c r="Z267" s="169">
        <f>'Earnings Model (adjusted)'!Z267-'Earnings Model'!Z267</f>
        <v>0</v>
      </c>
      <c r="AA267" s="169">
        <f>'Earnings Model (adjusted)'!AA267-'Earnings Model'!AA267</f>
        <v>0</v>
      </c>
      <c r="AB267" s="169">
        <f>'Earnings Model (adjusted)'!AB267-'Earnings Model'!AB267</f>
        <v>0</v>
      </c>
      <c r="AC267" s="169">
        <f>'Earnings Model (adjusted)'!AC267-'Earnings Model'!AC267</f>
        <v>0</v>
      </c>
      <c r="AD267" s="169">
        <f>'Earnings Model (adjusted)'!AD267-'Earnings Model'!AD267</f>
        <v>0</v>
      </c>
      <c r="AE267" s="169">
        <f>'Earnings Model (adjusted)'!AE267-'Earnings Model'!AE267</f>
        <v>0</v>
      </c>
      <c r="AF267" s="169">
        <f>'Earnings Model (adjusted)'!AF267-'Earnings Model'!AF267</f>
        <v>0</v>
      </c>
      <c r="AG267" s="169">
        <f>'Earnings Model (adjusted)'!AG267-'Earnings Model'!AG267</f>
        <v>0</v>
      </c>
      <c r="AH267" s="169">
        <f>'Earnings Model (adjusted)'!AH267-'Earnings Model'!AH267</f>
        <v>0</v>
      </c>
      <c r="AI267" s="169">
        <f>'Earnings Model (adjusted)'!AI267-'Earnings Model'!AI267</f>
        <v>0</v>
      </c>
      <c r="AJ267" s="169">
        <f>'Earnings Model (adjusted)'!AJ267-'Earnings Model'!AJ267</f>
        <v>0</v>
      </c>
      <c r="AK267" s="169">
        <f>'Earnings Model (adjusted)'!AK267-'Earnings Model'!AK267</f>
        <v>0</v>
      </c>
      <c r="AL267" s="169">
        <f>'Earnings Model (adjusted)'!AL267-'Earnings Model'!AL267</f>
        <v>0</v>
      </c>
      <c r="AM267" s="169">
        <f>'Earnings Model (adjusted)'!AM267-'Earnings Model'!AM267</f>
        <v>0</v>
      </c>
      <c r="AN267" s="169">
        <f>'Earnings Model (adjusted)'!AN267-'Earnings Model'!AN267</f>
        <v>0</v>
      </c>
      <c r="AO267" s="169">
        <f>'Earnings Model (adjusted)'!AO267-'Earnings Model'!AO267</f>
        <v>0</v>
      </c>
      <c r="AP267" s="169">
        <f>'Earnings Model (adjusted)'!AP267-'Earnings Model'!AP267</f>
        <v>0</v>
      </c>
      <c r="AQ267" s="169">
        <f>'Earnings Model (adjusted)'!AQ267-'Earnings Model'!AQ267</f>
        <v>0</v>
      </c>
    </row>
    <row r="268" spans="1:43" outlineLevel="1" x14ac:dyDescent="0.25">
      <c r="A268" s="254"/>
      <c r="B268" s="547" t="s">
        <v>269</v>
      </c>
      <c r="C268" s="548"/>
      <c r="D268" s="81">
        <v>-350</v>
      </c>
      <c r="E268" s="81">
        <v>0</v>
      </c>
      <c r="F268" s="81">
        <f>-75-E268-D268</f>
        <v>275</v>
      </c>
      <c r="G268" s="81">
        <f>-350-F268-E268-D268</f>
        <v>-275</v>
      </c>
      <c r="H268" s="82">
        <f t="shared" si="166"/>
        <v>-350</v>
      </c>
      <c r="I268" s="81"/>
      <c r="J268" s="81">
        <f t="shared" ref="J268" si="168">0-I268</f>
        <v>0</v>
      </c>
      <c r="K268" s="81">
        <v>-220.7</v>
      </c>
      <c r="L268" s="81">
        <f>-967.7-K268-J268-I268</f>
        <v>-747</v>
      </c>
      <c r="M268" s="82">
        <f t="shared" si="167"/>
        <v>-967.7</v>
      </c>
      <c r="N268" s="81">
        <f>-144.7-500</f>
        <v>-644.70000000000005</v>
      </c>
      <c r="O268" s="81">
        <f>-296.5-320.5-1250-N268</f>
        <v>-1222.3</v>
      </c>
      <c r="P268" s="81">
        <f>-296.5-346.2-1250-O268-N268</f>
        <v>-25.700000000000045</v>
      </c>
      <c r="Q268" s="169">
        <f>'Earnings Model (adjusted)'!Q268-'Earnings Model'!Q268</f>
        <v>0</v>
      </c>
      <c r="R268" s="169">
        <f>'Earnings Model (adjusted)'!R268-'Earnings Model'!R268</f>
        <v>0</v>
      </c>
      <c r="S268" s="169">
        <f>'Earnings Model (adjusted)'!S268-'Earnings Model'!S268</f>
        <v>0</v>
      </c>
      <c r="T268" s="169">
        <f>'Earnings Model (adjusted)'!T268-'Earnings Model'!T268</f>
        <v>0</v>
      </c>
      <c r="U268" s="169">
        <f>'Earnings Model (adjusted)'!U268-'Earnings Model'!U268</f>
        <v>0</v>
      </c>
      <c r="V268" s="169">
        <f>'Earnings Model (adjusted)'!V268-'Earnings Model'!V268</f>
        <v>0</v>
      </c>
      <c r="W268" s="169">
        <f>'Earnings Model (adjusted)'!W268-'Earnings Model'!W268</f>
        <v>0</v>
      </c>
      <c r="X268" s="169">
        <f>'Earnings Model (adjusted)'!X268-'Earnings Model'!X268</f>
        <v>0</v>
      </c>
      <c r="Y268" s="169">
        <f>'Earnings Model (adjusted)'!Y268-'Earnings Model'!Y268</f>
        <v>0</v>
      </c>
      <c r="Z268" s="169">
        <f>'Earnings Model (adjusted)'!Z268-'Earnings Model'!Z268</f>
        <v>0</v>
      </c>
      <c r="AA268" s="169">
        <f>'Earnings Model (adjusted)'!AA268-'Earnings Model'!AA268</f>
        <v>0</v>
      </c>
      <c r="AB268" s="169">
        <f>'Earnings Model (adjusted)'!AB268-'Earnings Model'!AB268</f>
        <v>0</v>
      </c>
      <c r="AC268" s="169">
        <f>'Earnings Model (adjusted)'!AC268-'Earnings Model'!AC268</f>
        <v>0</v>
      </c>
      <c r="AD268" s="169">
        <f>'Earnings Model (adjusted)'!AD268-'Earnings Model'!AD268</f>
        <v>0</v>
      </c>
      <c r="AE268" s="169">
        <f>'Earnings Model (adjusted)'!AE268-'Earnings Model'!AE268</f>
        <v>0</v>
      </c>
      <c r="AF268" s="169">
        <f>'Earnings Model (adjusted)'!AF268-'Earnings Model'!AF268</f>
        <v>0</v>
      </c>
      <c r="AG268" s="169">
        <f>'Earnings Model (adjusted)'!AG268-'Earnings Model'!AG268</f>
        <v>0</v>
      </c>
      <c r="AH268" s="169">
        <f>'Earnings Model (adjusted)'!AH268-'Earnings Model'!AH268</f>
        <v>0</v>
      </c>
      <c r="AI268" s="169">
        <f>'Earnings Model (adjusted)'!AI268-'Earnings Model'!AI268</f>
        <v>0</v>
      </c>
      <c r="AJ268" s="169">
        <f>'Earnings Model (adjusted)'!AJ268-'Earnings Model'!AJ268</f>
        <v>0</v>
      </c>
      <c r="AK268" s="169">
        <f>'Earnings Model (adjusted)'!AK268-'Earnings Model'!AK268</f>
        <v>0</v>
      </c>
      <c r="AL268" s="169">
        <f>'Earnings Model (adjusted)'!AL268-'Earnings Model'!AL268</f>
        <v>0</v>
      </c>
      <c r="AM268" s="169">
        <f>'Earnings Model (adjusted)'!AM268-'Earnings Model'!AM268</f>
        <v>0</v>
      </c>
      <c r="AN268" s="169">
        <f>'Earnings Model (adjusted)'!AN268-'Earnings Model'!AN268</f>
        <v>0</v>
      </c>
      <c r="AO268" s="169">
        <f>'Earnings Model (adjusted)'!AO268-'Earnings Model'!AO268</f>
        <v>0</v>
      </c>
      <c r="AP268" s="169">
        <f>'Earnings Model (adjusted)'!AP268-'Earnings Model'!AP268</f>
        <v>0</v>
      </c>
      <c r="AQ268" s="169">
        <f>'Earnings Model (adjusted)'!AQ268-'Earnings Model'!AQ268</f>
        <v>0</v>
      </c>
    </row>
    <row r="269" spans="1:43" outlineLevel="1" x14ac:dyDescent="0.25">
      <c r="A269" s="254"/>
      <c r="B269" s="547" t="s">
        <v>267</v>
      </c>
      <c r="C269" s="548"/>
      <c r="D269" s="81"/>
      <c r="E269" s="81">
        <v>75</v>
      </c>
      <c r="F269" s="81">
        <v>0</v>
      </c>
      <c r="G269" s="81">
        <f>0-F269-E269-D269</f>
        <v>-75</v>
      </c>
      <c r="H269" s="82">
        <f t="shared" si="166"/>
        <v>0</v>
      </c>
      <c r="I269" s="81">
        <f>398.9+99</f>
        <v>497.9</v>
      </c>
      <c r="J269" s="81">
        <f>613+494.1-I269</f>
        <v>609.19999999999993</v>
      </c>
      <c r="K269" s="81">
        <f t="shared" ref="K269" si="169">0-J269-I269</f>
        <v>-1107.0999999999999</v>
      </c>
      <c r="L269" s="81">
        <f>4727.6-K269-J269-I269</f>
        <v>4727.6000000000013</v>
      </c>
      <c r="M269" s="82">
        <f t="shared" si="167"/>
        <v>4727.6000000000013</v>
      </c>
      <c r="N269" s="81">
        <v>0</v>
      </c>
      <c r="O269" s="81">
        <f t="shared" ref="O269:O274" si="170">0-N269</f>
        <v>0</v>
      </c>
      <c r="P269" s="81">
        <f t="shared" ref="P269:P274" si="171">0-O269-N269</f>
        <v>0</v>
      </c>
      <c r="Q269" s="169">
        <f>'Earnings Model (adjusted)'!Q269-'Earnings Model'!Q269</f>
        <v>0</v>
      </c>
      <c r="R269" s="169">
        <f>'Earnings Model (adjusted)'!R269-'Earnings Model'!R269</f>
        <v>0</v>
      </c>
      <c r="S269" s="169">
        <f>'Earnings Model (adjusted)'!S269-'Earnings Model'!S269</f>
        <v>0</v>
      </c>
      <c r="T269" s="169">
        <f>'Earnings Model (adjusted)'!T269-'Earnings Model'!T269</f>
        <v>0</v>
      </c>
      <c r="U269" s="169">
        <f>'Earnings Model (adjusted)'!U269-'Earnings Model'!U269</f>
        <v>0</v>
      </c>
      <c r="V269" s="169">
        <f>'Earnings Model (adjusted)'!V269-'Earnings Model'!V269</f>
        <v>0</v>
      </c>
      <c r="W269" s="169">
        <f>'Earnings Model (adjusted)'!W269-'Earnings Model'!W269</f>
        <v>0</v>
      </c>
      <c r="X269" s="169">
        <f>'Earnings Model (adjusted)'!X269-'Earnings Model'!X269</f>
        <v>0</v>
      </c>
      <c r="Y269" s="169">
        <f>'Earnings Model (adjusted)'!Y269-'Earnings Model'!Y269</f>
        <v>0</v>
      </c>
      <c r="Z269" s="169">
        <f>'Earnings Model (adjusted)'!Z269-'Earnings Model'!Z269</f>
        <v>0</v>
      </c>
      <c r="AA269" s="169">
        <f>'Earnings Model (adjusted)'!AA269-'Earnings Model'!AA269</f>
        <v>0</v>
      </c>
      <c r="AB269" s="169">
        <f>'Earnings Model (adjusted)'!AB269-'Earnings Model'!AB269</f>
        <v>0</v>
      </c>
      <c r="AC269" s="169">
        <f>'Earnings Model (adjusted)'!AC269-'Earnings Model'!AC269</f>
        <v>0</v>
      </c>
      <c r="AD269" s="169">
        <f>'Earnings Model (adjusted)'!AD269-'Earnings Model'!AD269</f>
        <v>0</v>
      </c>
      <c r="AE269" s="169">
        <f>'Earnings Model (adjusted)'!AE269-'Earnings Model'!AE269</f>
        <v>0</v>
      </c>
      <c r="AF269" s="169">
        <f>'Earnings Model (adjusted)'!AF269-'Earnings Model'!AF269</f>
        <v>0</v>
      </c>
      <c r="AG269" s="169">
        <f>'Earnings Model (adjusted)'!AG269-'Earnings Model'!AG269</f>
        <v>0</v>
      </c>
      <c r="AH269" s="169">
        <f>'Earnings Model (adjusted)'!AH269-'Earnings Model'!AH269</f>
        <v>0</v>
      </c>
      <c r="AI269" s="169">
        <f>'Earnings Model (adjusted)'!AI269-'Earnings Model'!AI269</f>
        <v>0</v>
      </c>
      <c r="AJ269" s="169">
        <f>'Earnings Model (adjusted)'!AJ269-'Earnings Model'!AJ269</f>
        <v>0</v>
      </c>
      <c r="AK269" s="169">
        <f>'Earnings Model (adjusted)'!AK269-'Earnings Model'!AK269</f>
        <v>0</v>
      </c>
      <c r="AL269" s="169">
        <f>'Earnings Model (adjusted)'!AL269-'Earnings Model'!AL269</f>
        <v>0</v>
      </c>
      <c r="AM269" s="169">
        <f>'Earnings Model (adjusted)'!AM269-'Earnings Model'!AM269</f>
        <v>0</v>
      </c>
      <c r="AN269" s="169">
        <f>'Earnings Model (adjusted)'!AN269-'Earnings Model'!AN269</f>
        <v>0</v>
      </c>
      <c r="AO269" s="169">
        <f>'Earnings Model (adjusted)'!AO269-'Earnings Model'!AO269</f>
        <v>0</v>
      </c>
      <c r="AP269" s="169">
        <f>'Earnings Model (adjusted)'!AP269-'Earnings Model'!AP269</f>
        <v>0</v>
      </c>
      <c r="AQ269" s="169">
        <f>'Earnings Model (adjusted)'!AQ269-'Earnings Model'!AQ269</f>
        <v>0</v>
      </c>
    </row>
    <row r="270" spans="1:43" outlineLevel="1" x14ac:dyDescent="0.25">
      <c r="A270" s="254"/>
      <c r="B270" s="547" t="s">
        <v>219</v>
      </c>
      <c r="C270" s="548"/>
      <c r="D270" s="81">
        <v>108.4</v>
      </c>
      <c r="E270" s="81">
        <f>275.7-D270</f>
        <v>167.29999999999998</v>
      </c>
      <c r="F270" s="81">
        <f>358.5-E270-D270</f>
        <v>82.800000000000011</v>
      </c>
      <c r="G270" s="81">
        <f>409.8-F270-E270-D270</f>
        <v>51.300000000000011</v>
      </c>
      <c r="H270" s="82">
        <f t="shared" si="166"/>
        <v>409.8</v>
      </c>
      <c r="I270" s="81">
        <v>33.1</v>
      </c>
      <c r="J270" s="81">
        <f>65.4-I270</f>
        <v>32.300000000000004</v>
      </c>
      <c r="K270" s="81">
        <f>98.9-J270-I270</f>
        <v>33.499999999999993</v>
      </c>
      <c r="L270" s="81">
        <f>298.8-K270-J270-I270</f>
        <v>199.9</v>
      </c>
      <c r="M270" s="82">
        <f t="shared" si="167"/>
        <v>298.8</v>
      </c>
      <c r="N270" s="81">
        <v>102.8</v>
      </c>
      <c r="O270" s="81">
        <f>134.4-N270</f>
        <v>31.600000000000009</v>
      </c>
      <c r="P270" s="81">
        <f>191.6-O270-N270</f>
        <v>57.2</v>
      </c>
      <c r="Q270" s="169">
        <f>'Earnings Model (adjusted)'!Q270-'Earnings Model'!Q270</f>
        <v>0</v>
      </c>
      <c r="R270" s="169">
        <f>'Earnings Model (adjusted)'!R270-'Earnings Model'!R270</f>
        <v>0</v>
      </c>
      <c r="S270" s="169">
        <f>'Earnings Model (adjusted)'!S270-'Earnings Model'!S270</f>
        <v>0</v>
      </c>
      <c r="T270" s="169">
        <f>'Earnings Model (adjusted)'!T270-'Earnings Model'!T270</f>
        <v>0</v>
      </c>
      <c r="U270" s="169">
        <f>'Earnings Model (adjusted)'!U270-'Earnings Model'!U270</f>
        <v>0</v>
      </c>
      <c r="V270" s="169">
        <f>'Earnings Model (adjusted)'!V270-'Earnings Model'!V270</f>
        <v>0</v>
      </c>
      <c r="W270" s="169">
        <f>'Earnings Model (adjusted)'!W270-'Earnings Model'!W270</f>
        <v>0</v>
      </c>
      <c r="X270" s="169">
        <f>'Earnings Model (adjusted)'!X270-'Earnings Model'!X270</f>
        <v>0</v>
      </c>
      <c r="Y270" s="169">
        <f>'Earnings Model (adjusted)'!Y270-'Earnings Model'!Y270</f>
        <v>0</v>
      </c>
      <c r="Z270" s="169">
        <f>'Earnings Model (adjusted)'!Z270-'Earnings Model'!Z270</f>
        <v>0</v>
      </c>
      <c r="AA270" s="169">
        <f>'Earnings Model (adjusted)'!AA270-'Earnings Model'!AA270</f>
        <v>0</v>
      </c>
      <c r="AB270" s="169">
        <f>'Earnings Model (adjusted)'!AB270-'Earnings Model'!AB270</f>
        <v>0</v>
      </c>
      <c r="AC270" s="169">
        <f>'Earnings Model (adjusted)'!AC270-'Earnings Model'!AC270</f>
        <v>0</v>
      </c>
      <c r="AD270" s="169">
        <f>'Earnings Model (adjusted)'!AD270-'Earnings Model'!AD270</f>
        <v>0</v>
      </c>
      <c r="AE270" s="169">
        <f>'Earnings Model (adjusted)'!AE270-'Earnings Model'!AE270</f>
        <v>0</v>
      </c>
      <c r="AF270" s="169">
        <f>'Earnings Model (adjusted)'!AF270-'Earnings Model'!AF270</f>
        <v>0</v>
      </c>
      <c r="AG270" s="169">
        <f>'Earnings Model (adjusted)'!AG270-'Earnings Model'!AG270</f>
        <v>0</v>
      </c>
      <c r="AH270" s="169">
        <f>'Earnings Model (adjusted)'!AH270-'Earnings Model'!AH270</f>
        <v>0</v>
      </c>
      <c r="AI270" s="169">
        <f>'Earnings Model (adjusted)'!AI270-'Earnings Model'!AI270</f>
        <v>0</v>
      </c>
      <c r="AJ270" s="169">
        <f>'Earnings Model (adjusted)'!AJ270-'Earnings Model'!AJ270</f>
        <v>0</v>
      </c>
      <c r="AK270" s="169">
        <f>'Earnings Model (adjusted)'!AK270-'Earnings Model'!AK270</f>
        <v>0</v>
      </c>
      <c r="AL270" s="169">
        <f>'Earnings Model (adjusted)'!AL270-'Earnings Model'!AL270</f>
        <v>0</v>
      </c>
      <c r="AM270" s="169">
        <f>'Earnings Model (adjusted)'!AM270-'Earnings Model'!AM270</f>
        <v>0</v>
      </c>
      <c r="AN270" s="169">
        <f>'Earnings Model (adjusted)'!AN270-'Earnings Model'!AN270</f>
        <v>0</v>
      </c>
      <c r="AO270" s="169">
        <f>'Earnings Model (adjusted)'!AO270-'Earnings Model'!AO270</f>
        <v>0</v>
      </c>
      <c r="AP270" s="169">
        <f>'Earnings Model (adjusted)'!AP270-'Earnings Model'!AP270</f>
        <v>0</v>
      </c>
      <c r="AQ270" s="169">
        <f>'Earnings Model (adjusted)'!AQ270-'Earnings Model'!AQ270</f>
        <v>0</v>
      </c>
    </row>
    <row r="271" spans="1:43" outlineLevel="1" x14ac:dyDescent="0.25">
      <c r="A271" s="254"/>
      <c r="B271" s="547" t="s">
        <v>225</v>
      </c>
      <c r="C271" s="548"/>
      <c r="D271" s="81">
        <v>-446.7</v>
      </c>
      <c r="E271" s="81">
        <f>-894.5-D271</f>
        <v>-447.8</v>
      </c>
      <c r="F271" s="81">
        <f>-1330.7-E271-D271</f>
        <v>-436.2000000000001</v>
      </c>
      <c r="G271" s="81">
        <f>-1761.3-F271-E271-D271</f>
        <v>-430.59999999999997</v>
      </c>
      <c r="H271" s="82">
        <f t="shared" si="166"/>
        <v>-1761.3</v>
      </c>
      <c r="I271" s="81">
        <v>-484.2</v>
      </c>
      <c r="J271" s="81">
        <f>-965.2-I271</f>
        <v>-481.00000000000006</v>
      </c>
      <c r="K271" s="81">
        <f>-1444.2-J271-I271</f>
        <v>-479.00000000000006</v>
      </c>
      <c r="L271" s="81">
        <f>-1923.5-K271-J271-I271</f>
        <v>-479.3</v>
      </c>
      <c r="M271" s="82">
        <f t="shared" si="167"/>
        <v>-1923.5</v>
      </c>
      <c r="N271" s="81">
        <v>-528.20000000000005</v>
      </c>
      <c r="O271" s="81">
        <f>-1058-N271</f>
        <v>-529.79999999999995</v>
      </c>
      <c r="P271" s="81">
        <f>-1588.2-O271-N271</f>
        <v>-530.20000000000005</v>
      </c>
      <c r="Q271" s="169">
        <f>'Earnings Model (adjusted)'!Q271-'Earnings Model'!Q271</f>
        <v>0</v>
      </c>
      <c r="R271" s="169">
        <f>'Earnings Model (adjusted)'!R271-'Earnings Model'!R271</f>
        <v>0</v>
      </c>
      <c r="S271" s="169">
        <f>'Earnings Model (adjusted)'!S271-'Earnings Model'!S271</f>
        <v>0</v>
      </c>
      <c r="T271" s="169">
        <f>'Earnings Model (adjusted)'!T271-'Earnings Model'!T271</f>
        <v>0</v>
      </c>
      <c r="U271" s="169">
        <f>'Earnings Model (adjusted)'!U271-'Earnings Model'!U271</f>
        <v>0</v>
      </c>
      <c r="V271" s="169">
        <f>'Earnings Model (adjusted)'!V271-'Earnings Model'!V271</f>
        <v>0</v>
      </c>
      <c r="W271" s="169">
        <f>'Earnings Model (adjusted)'!W271-'Earnings Model'!W271</f>
        <v>0</v>
      </c>
      <c r="X271" s="169">
        <f>'Earnings Model (adjusted)'!X271-'Earnings Model'!X271</f>
        <v>0</v>
      </c>
      <c r="Y271" s="169">
        <f>'Earnings Model (adjusted)'!Y271-'Earnings Model'!Y271</f>
        <v>0</v>
      </c>
      <c r="Z271" s="169">
        <f>'Earnings Model (adjusted)'!Z271-'Earnings Model'!Z271</f>
        <v>0</v>
      </c>
      <c r="AA271" s="169">
        <f>'Earnings Model (adjusted)'!AA271-'Earnings Model'!AA271</f>
        <v>0</v>
      </c>
      <c r="AB271" s="169">
        <f>'Earnings Model (adjusted)'!AB271-'Earnings Model'!AB271</f>
        <v>0</v>
      </c>
      <c r="AC271" s="169">
        <f>'Earnings Model (adjusted)'!AC271-'Earnings Model'!AC271</f>
        <v>0</v>
      </c>
      <c r="AD271" s="169">
        <f>'Earnings Model (adjusted)'!AD271-'Earnings Model'!AD271</f>
        <v>0</v>
      </c>
      <c r="AE271" s="169">
        <f>'Earnings Model (adjusted)'!AE271-'Earnings Model'!AE271</f>
        <v>0</v>
      </c>
      <c r="AF271" s="169">
        <f>'Earnings Model (adjusted)'!AF271-'Earnings Model'!AF271</f>
        <v>0</v>
      </c>
      <c r="AG271" s="169">
        <f>'Earnings Model (adjusted)'!AG271-'Earnings Model'!AG271</f>
        <v>0</v>
      </c>
      <c r="AH271" s="169">
        <f>'Earnings Model (adjusted)'!AH271-'Earnings Model'!AH271</f>
        <v>0</v>
      </c>
      <c r="AI271" s="169">
        <f>'Earnings Model (adjusted)'!AI271-'Earnings Model'!AI271</f>
        <v>0</v>
      </c>
      <c r="AJ271" s="169">
        <f>'Earnings Model (adjusted)'!AJ271-'Earnings Model'!AJ271</f>
        <v>0</v>
      </c>
      <c r="AK271" s="169">
        <f>'Earnings Model (adjusted)'!AK271-'Earnings Model'!AK271</f>
        <v>0</v>
      </c>
      <c r="AL271" s="169">
        <f>'Earnings Model (adjusted)'!AL271-'Earnings Model'!AL271</f>
        <v>0</v>
      </c>
      <c r="AM271" s="169">
        <f>'Earnings Model (adjusted)'!AM271-'Earnings Model'!AM271</f>
        <v>0</v>
      </c>
      <c r="AN271" s="169">
        <f>'Earnings Model (adjusted)'!AN271-'Earnings Model'!AN271</f>
        <v>0</v>
      </c>
      <c r="AO271" s="169">
        <f>'Earnings Model (adjusted)'!AO271-'Earnings Model'!AO271</f>
        <v>0</v>
      </c>
      <c r="AP271" s="169">
        <f>'Earnings Model (adjusted)'!AP271-'Earnings Model'!AP271</f>
        <v>0</v>
      </c>
      <c r="AQ271" s="169">
        <f>'Earnings Model (adjusted)'!AQ271-'Earnings Model'!AQ271</f>
        <v>0</v>
      </c>
    </row>
    <row r="272" spans="1:43" outlineLevel="1" x14ac:dyDescent="0.25">
      <c r="A272" s="254"/>
      <c r="B272" s="547" t="s">
        <v>110</v>
      </c>
      <c r="C272" s="148"/>
      <c r="D272" s="81">
        <v>-5114.7</v>
      </c>
      <c r="E272" s="81">
        <f>-7827.9-D272</f>
        <v>-2713.2</v>
      </c>
      <c r="F272" s="81">
        <f>-7972.9-E272-D272</f>
        <v>-145</v>
      </c>
      <c r="G272" s="81">
        <f>-10222.3-F272-E272-D272</f>
        <v>-2249.3999999999996</v>
      </c>
      <c r="H272" s="82">
        <f>SUM(D272:G272)</f>
        <v>-10222.299999999999</v>
      </c>
      <c r="I272" s="81">
        <v>-1091.4000000000001</v>
      </c>
      <c r="J272" s="81">
        <f>-1698.9-I272</f>
        <v>-607.5</v>
      </c>
      <c r="K272" s="81">
        <f>-1698.9-J272-I272</f>
        <v>0</v>
      </c>
      <c r="L272" s="81">
        <f>-1698.9-K272-J272-I272</f>
        <v>0</v>
      </c>
      <c r="M272" s="82">
        <f>SUM(I272:L272)</f>
        <v>-1698.9</v>
      </c>
      <c r="N272" s="81">
        <f>-N163</f>
        <v>0</v>
      </c>
      <c r="O272" s="81">
        <f t="shared" si="170"/>
        <v>0</v>
      </c>
      <c r="P272" s="81">
        <f t="shared" si="171"/>
        <v>0</v>
      </c>
      <c r="Q272" s="169">
        <f>'Earnings Model (adjusted)'!Q272-'Earnings Model'!Q272</f>
        <v>0</v>
      </c>
      <c r="R272" s="169">
        <f>'Earnings Model (adjusted)'!R272-'Earnings Model'!R272</f>
        <v>0</v>
      </c>
      <c r="S272" s="169">
        <f>'Earnings Model (adjusted)'!S272-'Earnings Model'!S272</f>
        <v>0</v>
      </c>
      <c r="T272" s="169">
        <f>'Earnings Model (adjusted)'!T272-'Earnings Model'!T272</f>
        <v>0</v>
      </c>
      <c r="U272" s="169">
        <f>'Earnings Model (adjusted)'!U272-'Earnings Model'!U272</f>
        <v>0</v>
      </c>
      <c r="V272" s="169">
        <f>'Earnings Model (adjusted)'!V272-'Earnings Model'!V272</f>
        <v>0</v>
      </c>
      <c r="W272" s="169">
        <f>'Earnings Model (adjusted)'!W272-'Earnings Model'!W272</f>
        <v>0</v>
      </c>
      <c r="X272" s="169">
        <f>'Earnings Model (adjusted)'!X272-'Earnings Model'!X272</f>
        <v>0</v>
      </c>
      <c r="Y272" s="169">
        <f>'Earnings Model (adjusted)'!Y272-'Earnings Model'!Y272</f>
        <v>0</v>
      </c>
      <c r="Z272" s="169">
        <f>'Earnings Model (adjusted)'!Z272-'Earnings Model'!Z272</f>
        <v>0</v>
      </c>
      <c r="AA272" s="169">
        <f>'Earnings Model (adjusted)'!AA272-'Earnings Model'!AA272</f>
        <v>0</v>
      </c>
      <c r="AB272" s="169">
        <f>'Earnings Model (adjusted)'!AB272-'Earnings Model'!AB272</f>
        <v>0</v>
      </c>
      <c r="AC272" s="169">
        <f>'Earnings Model (adjusted)'!AC272-'Earnings Model'!AC272</f>
        <v>0</v>
      </c>
      <c r="AD272" s="169">
        <f>'Earnings Model (adjusted)'!AD272-'Earnings Model'!AD272</f>
        <v>0</v>
      </c>
      <c r="AE272" s="169">
        <f>'Earnings Model (adjusted)'!AE272-'Earnings Model'!AE272</f>
        <v>0</v>
      </c>
      <c r="AF272" s="169">
        <f>'Earnings Model (adjusted)'!AF272-'Earnings Model'!AF272</f>
        <v>0</v>
      </c>
      <c r="AG272" s="169">
        <f>'Earnings Model (adjusted)'!AG272-'Earnings Model'!AG272</f>
        <v>0</v>
      </c>
      <c r="AH272" s="169">
        <f>'Earnings Model (adjusted)'!AH272-'Earnings Model'!AH272</f>
        <v>0</v>
      </c>
      <c r="AI272" s="169">
        <f>'Earnings Model (adjusted)'!AI272-'Earnings Model'!AI272</f>
        <v>0</v>
      </c>
      <c r="AJ272" s="169">
        <f>'Earnings Model (adjusted)'!AJ272-'Earnings Model'!AJ272</f>
        <v>0</v>
      </c>
      <c r="AK272" s="169">
        <f>'Earnings Model (adjusted)'!AK272-'Earnings Model'!AK272</f>
        <v>0</v>
      </c>
      <c r="AL272" s="169">
        <f>'Earnings Model (adjusted)'!AL272-'Earnings Model'!AL272</f>
        <v>0</v>
      </c>
      <c r="AM272" s="169">
        <f>'Earnings Model (adjusted)'!AM272-'Earnings Model'!AM272</f>
        <v>0</v>
      </c>
      <c r="AN272" s="169">
        <f>'Earnings Model (adjusted)'!AN272-'Earnings Model'!AN272</f>
        <v>0</v>
      </c>
      <c r="AO272" s="169">
        <f>'Earnings Model (adjusted)'!AO272-'Earnings Model'!AO272</f>
        <v>0</v>
      </c>
      <c r="AP272" s="169">
        <f>'Earnings Model (adjusted)'!AP272-'Earnings Model'!AP272</f>
        <v>0</v>
      </c>
      <c r="AQ272" s="169">
        <f>'Earnings Model (adjusted)'!AQ272-'Earnings Model'!AQ272</f>
        <v>0</v>
      </c>
    </row>
    <row r="273" spans="1:43" outlineLevel="1" x14ac:dyDescent="0.25">
      <c r="A273" s="254"/>
      <c r="B273" s="547" t="s">
        <v>241</v>
      </c>
      <c r="C273" s="75"/>
      <c r="D273" s="81">
        <v>-55.3</v>
      </c>
      <c r="E273" s="81">
        <f>-56.3-D273</f>
        <v>-1</v>
      </c>
      <c r="F273" s="81">
        <f>-106.1-E273-D273</f>
        <v>-49.8</v>
      </c>
      <c r="G273" s="81">
        <f>-111.6-F273-E273-D273</f>
        <v>-5.5</v>
      </c>
      <c r="H273" s="82">
        <f t="shared" ref="H273:H274" si="172">SUM(D273:G273)</f>
        <v>-111.6</v>
      </c>
      <c r="I273" s="81">
        <v>-78.400000000000006</v>
      </c>
      <c r="J273" s="81">
        <f>-87.6-I273</f>
        <v>-9.1999999999999886</v>
      </c>
      <c r="K273" s="81">
        <f>-89.1-J273-I273</f>
        <v>-1.5</v>
      </c>
      <c r="L273" s="81">
        <f>-91.9-K273-J273-I273</f>
        <v>-2.8000000000000114</v>
      </c>
      <c r="M273" s="82">
        <f t="shared" ref="M273:M274" si="173">SUM(I273:L273)</f>
        <v>-91.9</v>
      </c>
      <c r="N273" s="81">
        <v>-88.6</v>
      </c>
      <c r="O273" s="81">
        <f>-90.1-N273</f>
        <v>-1.5</v>
      </c>
      <c r="P273" s="81">
        <f>-94.2-O273-N273</f>
        <v>-4.1000000000000085</v>
      </c>
      <c r="Q273" s="169">
        <f>'Earnings Model (adjusted)'!Q273-'Earnings Model'!Q273</f>
        <v>0</v>
      </c>
      <c r="R273" s="169">
        <f>'Earnings Model (adjusted)'!R273-'Earnings Model'!R273</f>
        <v>0</v>
      </c>
      <c r="S273" s="169">
        <f>'Earnings Model (adjusted)'!S273-'Earnings Model'!S273</f>
        <v>-5.1849839329593195E-2</v>
      </c>
      <c r="T273" s="169">
        <f>'Earnings Model (adjusted)'!T273-'Earnings Model'!T273</f>
        <v>-4.7699181099202903E-2</v>
      </c>
      <c r="U273" s="169">
        <f>'Earnings Model (adjusted)'!U273-'Earnings Model'!U273</f>
        <v>-2.7765658886230504E-2</v>
      </c>
      <c r="V273" s="169">
        <f>'Earnings Model (adjusted)'!V273-'Earnings Model'!V273</f>
        <v>-2.8158783598754233E-2</v>
      </c>
      <c r="W273" s="169">
        <f>'Earnings Model (adjusted)'!W273-'Earnings Model'!W273</f>
        <v>-0.15547346291378261</v>
      </c>
      <c r="X273" s="169">
        <f>'Earnings Model (adjusted)'!X273-'Earnings Model'!X273</f>
        <v>-6.6229262267240685E-2</v>
      </c>
      <c r="Y273" s="169">
        <f>'Earnings Model (adjusted)'!Y273-'Earnings Model'!Y273</f>
        <v>-6.5490067911753158E-2</v>
      </c>
      <c r="Z273" s="169">
        <f>'Earnings Model (adjusted)'!Z273-'Earnings Model'!Z273</f>
        <v>-3.0053165771805723E-2</v>
      </c>
      <c r="AA273" s="169">
        <f>'Earnings Model (adjusted)'!AA273-'Earnings Model'!AA273</f>
        <v>-2.9883712048015987E-2</v>
      </c>
      <c r="AB273" s="169">
        <f>'Earnings Model (adjusted)'!AB273-'Earnings Model'!AB273</f>
        <v>-0.19165620799881466</v>
      </c>
      <c r="AC273" s="169">
        <f>'Earnings Model (adjusted)'!AC273-'Earnings Model'!AC273</f>
        <v>-8.5890927248479798E-2</v>
      </c>
      <c r="AD273" s="169">
        <f>'Earnings Model (adjusted)'!AD273-'Earnings Model'!AD273</f>
        <v>-8.5808648125941467E-2</v>
      </c>
      <c r="AE273" s="169">
        <f>'Earnings Model (adjusted)'!AE273-'Earnings Model'!AE273</f>
        <v>-3.2382854999145394E-2</v>
      </c>
      <c r="AF273" s="169">
        <f>'Earnings Model (adjusted)'!AF273-'Earnings Model'!AF273</f>
        <v>-1.5369162406997816E-2</v>
      </c>
      <c r="AG273" s="169">
        <f>'Earnings Model (adjusted)'!AG273-'Earnings Model'!AG273</f>
        <v>-0.21945159278056536</v>
      </c>
      <c r="AH273" s="169">
        <f>'Earnings Model (adjusted)'!AH273-'Earnings Model'!AH273</f>
        <v>-0.10837223837904375</v>
      </c>
      <c r="AI273" s="169">
        <f>'Earnings Model (adjusted)'!AI273-'Earnings Model'!AI273</f>
        <v>-0.10837826938441708</v>
      </c>
      <c r="AJ273" s="169">
        <f>'Earnings Model (adjusted)'!AJ273-'Earnings Model'!AJ273</f>
        <v>-3.4668679286395054E-2</v>
      </c>
      <c r="AK273" s="169">
        <f>'Earnings Model (adjusted)'!AK273-'Earnings Model'!AK273</f>
        <v>-1.6445699227425337E-2</v>
      </c>
      <c r="AL273" s="169">
        <f>'Earnings Model (adjusted)'!AL273-'Earnings Model'!AL273</f>
        <v>-0.26786488627728033</v>
      </c>
      <c r="AM273" s="169">
        <f>'Earnings Model (adjusted)'!AM273-'Earnings Model'!AM273</f>
        <v>-0.11596539626749536</v>
      </c>
      <c r="AN273" s="169">
        <f>'Earnings Model (adjusted)'!AN273-'Earnings Model'!AN273</f>
        <v>-0.11596294330657386</v>
      </c>
      <c r="AO273" s="169">
        <f>'Earnings Model (adjusted)'!AO273-'Earnings Model'!AO273</f>
        <v>-3.7082676532002701E-2</v>
      </c>
      <c r="AP273" s="169">
        <f>'Earnings Model (adjusted)'!AP273-'Earnings Model'!AP273</f>
        <v>-1.7587013759016834E-2</v>
      </c>
      <c r="AQ273" s="169">
        <f>'Earnings Model (adjusted)'!AQ273-'Earnings Model'!AQ273</f>
        <v>-0.28659802986508609</v>
      </c>
    </row>
    <row r="274" spans="1:43" ht="17.25" outlineLevel="1" x14ac:dyDescent="0.4">
      <c r="A274" s="254"/>
      <c r="B274" s="619" t="s">
        <v>111</v>
      </c>
      <c r="C274" s="620"/>
      <c r="D274" s="248">
        <v>-0.3</v>
      </c>
      <c r="E274" s="248">
        <f>0.1-D274</f>
        <v>0.4</v>
      </c>
      <c r="F274" s="248">
        <f>-17.6-E274-D274</f>
        <v>-17.7</v>
      </c>
      <c r="G274" s="248">
        <f>-17.5-F274-E274-D274</f>
        <v>9.9999999999999256E-2</v>
      </c>
      <c r="H274" s="241">
        <f t="shared" si="172"/>
        <v>-17.5</v>
      </c>
      <c r="I274" s="248">
        <v>0</v>
      </c>
      <c r="J274" s="248">
        <f>-10.4-I274</f>
        <v>-10.4</v>
      </c>
      <c r="K274" s="248">
        <f>-37.8-J274-I274</f>
        <v>-27.4</v>
      </c>
      <c r="L274" s="248">
        <f>-37.7-K274-J274-I274</f>
        <v>9.9999999999996092E-2</v>
      </c>
      <c r="M274" s="241">
        <f t="shared" si="173"/>
        <v>-37.700000000000003</v>
      </c>
      <c r="N274" s="248">
        <v>0</v>
      </c>
      <c r="O274" s="248">
        <f t="shared" si="170"/>
        <v>0</v>
      </c>
      <c r="P274" s="248">
        <f t="shared" si="171"/>
        <v>0</v>
      </c>
      <c r="Q274" s="169">
        <f>'Earnings Model (adjusted)'!Q274-'Earnings Model'!Q274</f>
        <v>0</v>
      </c>
      <c r="R274" s="169">
        <f>'Earnings Model (adjusted)'!R274-'Earnings Model'!R274</f>
        <v>0</v>
      </c>
      <c r="S274" s="169">
        <f>'Earnings Model (adjusted)'!S274-'Earnings Model'!S274</f>
        <v>0</v>
      </c>
      <c r="T274" s="169">
        <f>'Earnings Model (adjusted)'!T274-'Earnings Model'!T274</f>
        <v>0</v>
      </c>
      <c r="U274" s="169">
        <f>'Earnings Model (adjusted)'!U274-'Earnings Model'!U274</f>
        <v>0</v>
      </c>
      <c r="V274" s="169">
        <f>'Earnings Model (adjusted)'!V274-'Earnings Model'!V274</f>
        <v>0</v>
      </c>
      <c r="W274" s="169">
        <f>'Earnings Model (adjusted)'!W274-'Earnings Model'!W274</f>
        <v>0</v>
      </c>
      <c r="X274" s="169">
        <f>'Earnings Model (adjusted)'!X274-'Earnings Model'!X274</f>
        <v>0</v>
      </c>
      <c r="Y274" s="169">
        <f>'Earnings Model (adjusted)'!Y274-'Earnings Model'!Y274</f>
        <v>0</v>
      </c>
      <c r="Z274" s="169">
        <f>'Earnings Model (adjusted)'!Z274-'Earnings Model'!Z274</f>
        <v>0</v>
      </c>
      <c r="AA274" s="169">
        <f>'Earnings Model (adjusted)'!AA274-'Earnings Model'!AA274</f>
        <v>0</v>
      </c>
      <c r="AB274" s="169">
        <f>'Earnings Model (adjusted)'!AB274-'Earnings Model'!AB274</f>
        <v>0</v>
      </c>
      <c r="AC274" s="169">
        <f>'Earnings Model (adjusted)'!AC274-'Earnings Model'!AC274</f>
        <v>0</v>
      </c>
      <c r="AD274" s="169">
        <f>'Earnings Model (adjusted)'!AD274-'Earnings Model'!AD274</f>
        <v>0</v>
      </c>
      <c r="AE274" s="169">
        <f>'Earnings Model (adjusted)'!AE274-'Earnings Model'!AE274</f>
        <v>0</v>
      </c>
      <c r="AF274" s="169">
        <f>'Earnings Model (adjusted)'!AF274-'Earnings Model'!AF274</f>
        <v>0</v>
      </c>
      <c r="AG274" s="169">
        <f>'Earnings Model (adjusted)'!AG274-'Earnings Model'!AG274</f>
        <v>0</v>
      </c>
      <c r="AH274" s="169">
        <f>'Earnings Model (adjusted)'!AH274-'Earnings Model'!AH274</f>
        <v>0</v>
      </c>
      <c r="AI274" s="169">
        <f>'Earnings Model (adjusted)'!AI274-'Earnings Model'!AI274</f>
        <v>0</v>
      </c>
      <c r="AJ274" s="169">
        <f>'Earnings Model (adjusted)'!AJ274-'Earnings Model'!AJ274</f>
        <v>0</v>
      </c>
      <c r="AK274" s="169">
        <f>'Earnings Model (adjusted)'!AK274-'Earnings Model'!AK274</f>
        <v>0</v>
      </c>
      <c r="AL274" s="169">
        <f>'Earnings Model (adjusted)'!AL274-'Earnings Model'!AL274</f>
        <v>0</v>
      </c>
      <c r="AM274" s="169">
        <f>'Earnings Model (adjusted)'!AM274-'Earnings Model'!AM274</f>
        <v>0</v>
      </c>
      <c r="AN274" s="169">
        <f>'Earnings Model (adjusted)'!AN274-'Earnings Model'!AN274</f>
        <v>0</v>
      </c>
      <c r="AO274" s="169">
        <f>'Earnings Model (adjusted)'!AO274-'Earnings Model'!AO274</f>
        <v>0</v>
      </c>
      <c r="AP274" s="169">
        <f>'Earnings Model (adjusted)'!AP274-'Earnings Model'!AP274</f>
        <v>0</v>
      </c>
      <c r="AQ274" s="169">
        <f>'Earnings Model (adjusted)'!AQ274-'Earnings Model'!AQ274</f>
        <v>0</v>
      </c>
    </row>
    <row r="275" spans="1:43" outlineLevel="1" x14ac:dyDescent="0.25">
      <c r="A275" s="254"/>
      <c r="B275" s="625" t="s">
        <v>16</v>
      </c>
      <c r="C275" s="626"/>
      <c r="D275" s="80">
        <f t="shared" ref="D275:P275" si="174">SUM(D267:D274)</f>
        <v>-5858.6</v>
      </c>
      <c r="E275" s="80">
        <f t="shared" si="174"/>
        <v>-2919.2999999999997</v>
      </c>
      <c r="F275" s="80">
        <f t="shared" si="174"/>
        <v>1355.1</v>
      </c>
      <c r="G275" s="80">
        <f t="shared" si="174"/>
        <v>-2634.1</v>
      </c>
      <c r="H275" s="242">
        <f t="shared" si="174"/>
        <v>-10056.9</v>
      </c>
      <c r="I275" s="80">
        <f t="shared" si="174"/>
        <v>-1123.0000000000002</v>
      </c>
      <c r="J275" s="80">
        <f t="shared" si="174"/>
        <v>1273.1000000000001</v>
      </c>
      <c r="K275" s="80">
        <f t="shared" si="174"/>
        <v>2342.9000000000005</v>
      </c>
      <c r="L275" s="80">
        <f t="shared" si="174"/>
        <v>-779.69999999999948</v>
      </c>
      <c r="M275" s="242">
        <f t="shared" si="174"/>
        <v>1713.3000000000009</v>
      </c>
      <c r="N275" s="80">
        <f>SUM(N267:N274)</f>
        <v>-965.80000000000007</v>
      </c>
      <c r="O275" s="80">
        <f t="shared" si="174"/>
        <v>-1711.6</v>
      </c>
      <c r="P275" s="80">
        <f t="shared" si="174"/>
        <v>-490.50000000000011</v>
      </c>
      <c r="Q275" s="169">
        <f>'Earnings Model (adjusted)'!Q275-'Earnings Model'!Q275</f>
        <v>0</v>
      </c>
      <c r="R275" s="169">
        <f>'Earnings Model (adjusted)'!R275-'Earnings Model'!R275</f>
        <v>0</v>
      </c>
      <c r="S275" s="169">
        <f>'Earnings Model (adjusted)'!S275-'Earnings Model'!S275</f>
        <v>-5.1849839329634051E-2</v>
      </c>
      <c r="T275" s="169">
        <f>'Earnings Model (adjusted)'!T275-'Earnings Model'!T275</f>
        <v>-4.7699181099233101E-2</v>
      </c>
      <c r="U275" s="169">
        <f>'Earnings Model (adjusted)'!U275-'Earnings Model'!U275</f>
        <v>-2.7765658886210076E-2</v>
      </c>
      <c r="V275" s="169">
        <f>'Earnings Model (adjusted)'!V275-'Earnings Model'!V275</f>
        <v>-2.8158783598883019E-2</v>
      </c>
      <c r="W275" s="169">
        <f>'Earnings Model (adjusted)'!W275-'Earnings Model'!W275</f>
        <v>-0.1554734629135055</v>
      </c>
      <c r="X275" s="169">
        <f>'Earnings Model (adjusted)'!X275-'Earnings Model'!X275</f>
        <v>-6.6229262267370359E-2</v>
      </c>
      <c r="Y275" s="169">
        <f>'Earnings Model (adjusted)'!Y275-'Earnings Model'!Y275</f>
        <v>-6.5490067911696315E-2</v>
      </c>
      <c r="Z275" s="169">
        <f>'Earnings Model (adjusted)'!Z275-'Earnings Model'!Z275</f>
        <v>-3.0053165771960266E-2</v>
      </c>
      <c r="AA275" s="169">
        <f>'Earnings Model (adjusted)'!AA275-'Earnings Model'!AA275</f>
        <v>-2.9883712048103916E-2</v>
      </c>
      <c r="AB275" s="169">
        <f>'Earnings Model (adjusted)'!AB275-'Earnings Model'!AB275</f>
        <v>-0.19165620799867611</v>
      </c>
      <c r="AC275" s="169">
        <f>'Earnings Model (adjusted)'!AC275-'Earnings Model'!AC275</f>
        <v>-8.5890927248328808E-2</v>
      </c>
      <c r="AD275" s="169">
        <f>'Earnings Model (adjusted)'!AD275-'Earnings Model'!AD275</f>
        <v>-8.5808648125976106E-2</v>
      </c>
      <c r="AE275" s="169">
        <f>'Earnings Model (adjusted)'!AE275-'Earnings Model'!AE275</f>
        <v>-3.2382854999241317E-2</v>
      </c>
      <c r="AF275" s="169">
        <f>'Earnings Model (adjusted)'!AF275-'Earnings Model'!AF275</f>
        <v>-1.5369162406841497E-2</v>
      </c>
      <c r="AG275" s="169">
        <f>'Earnings Model (adjusted)'!AG275-'Earnings Model'!AG275</f>
        <v>-0.21945159278038773</v>
      </c>
      <c r="AH275" s="169">
        <f>'Earnings Model (adjusted)'!AH275-'Earnings Model'!AH275</f>
        <v>-0.10837223837893362</v>
      </c>
      <c r="AI275" s="169">
        <f>'Earnings Model (adjusted)'!AI275-'Earnings Model'!AI275</f>
        <v>-0.10837826938450235</v>
      </c>
      <c r="AJ275" s="169">
        <f>'Earnings Model (adjusted)'!AJ275-'Earnings Model'!AJ275</f>
        <v>-3.4668679286369297E-2</v>
      </c>
      <c r="AK275" s="169">
        <f>'Earnings Model (adjusted)'!AK275-'Earnings Model'!AK275</f>
        <v>-1.644569922723349E-2</v>
      </c>
      <c r="AL275" s="169">
        <f>'Earnings Model (adjusted)'!AL275-'Earnings Model'!AL275</f>
        <v>-0.2678648862774935</v>
      </c>
      <c r="AM275" s="169">
        <f>'Earnings Model (adjusted)'!AM275-'Earnings Model'!AM275</f>
        <v>-0.11596539626748381</v>
      </c>
      <c r="AN275" s="169">
        <f>'Earnings Model (adjusted)'!AN275-'Earnings Model'!AN275</f>
        <v>-0.11596294330661294</v>
      </c>
      <c r="AO275" s="169">
        <f>'Earnings Model (adjusted)'!AO275-'Earnings Model'!AO275</f>
        <v>-3.7082676532008918E-2</v>
      </c>
      <c r="AP275" s="169">
        <f>'Earnings Model (adjusted)'!AP275-'Earnings Model'!AP275</f>
        <v>-1.7587013759111869E-2</v>
      </c>
      <c r="AQ275" s="169">
        <f>'Earnings Model (adjusted)'!AQ275-'Earnings Model'!AQ275</f>
        <v>-0.28659802986567229</v>
      </c>
    </row>
    <row r="276" spans="1:43" outlineLevel="1" x14ac:dyDescent="0.25">
      <c r="A276" s="254"/>
      <c r="B276" s="76" t="s">
        <v>113</v>
      </c>
      <c r="C276" s="77"/>
      <c r="D276" s="354">
        <f>-4.7-0.1</f>
        <v>-4.8</v>
      </c>
      <c r="E276" s="299">
        <f>18.3-0.1-D276</f>
        <v>23</v>
      </c>
      <c r="F276" s="299">
        <f>-2.5-E276-D276</f>
        <v>-20.7</v>
      </c>
      <c r="G276" s="299">
        <f>-49-F276-E276-D276</f>
        <v>-46.5</v>
      </c>
      <c r="H276" s="249">
        <f>SUM(D276:G276)</f>
        <v>-49</v>
      </c>
      <c r="I276" s="299">
        <v>27.1</v>
      </c>
      <c r="J276" s="299">
        <f>8.7-I276</f>
        <v>-18.400000000000002</v>
      </c>
      <c r="K276" s="299">
        <f>10.9-J276-I276</f>
        <v>2.2000000000000028</v>
      </c>
      <c r="L276" s="299">
        <f>64.7-K276-J276-I276</f>
        <v>53.800000000000004</v>
      </c>
      <c r="M276" s="249">
        <f>SUM(I276:L276)</f>
        <v>64.7</v>
      </c>
      <c r="N276" s="299">
        <v>79.8</v>
      </c>
      <c r="O276" s="299">
        <f>66.7-N276</f>
        <v>-13.099999999999994</v>
      </c>
      <c r="P276" s="299">
        <f>87.9-O276-N276</f>
        <v>21.200000000000003</v>
      </c>
      <c r="Q276" s="169">
        <f>'Earnings Model (adjusted)'!Q276-'Earnings Model'!Q276</f>
        <v>0</v>
      </c>
      <c r="R276" s="169">
        <f>'Earnings Model (adjusted)'!R276-'Earnings Model'!R276</f>
        <v>0</v>
      </c>
      <c r="S276" s="169">
        <f>'Earnings Model (adjusted)'!S276-'Earnings Model'!S276</f>
        <v>0</v>
      </c>
      <c r="T276" s="169">
        <f>'Earnings Model (adjusted)'!T276-'Earnings Model'!T276</f>
        <v>0</v>
      </c>
      <c r="U276" s="169">
        <f>'Earnings Model (adjusted)'!U276-'Earnings Model'!U276</f>
        <v>0</v>
      </c>
      <c r="V276" s="169">
        <f>'Earnings Model (adjusted)'!V276-'Earnings Model'!V276</f>
        <v>0</v>
      </c>
      <c r="W276" s="169">
        <f>'Earnings Model (adjusted)'!W276-'Earnings Model'!W276</f>
        <v>0</v>
      </c>
      <c r="X276" s="169">
        <f>'Earnings Model (adjusted)'!X276-'Earnings Model'!X276</f>
        <v>0</v>
      </c>
      <c r="Y276" s="169">
        <f>'Earnings Model (adjusted)'!Y276-'Earnings Model'!Y276</f>
        <v>0</v>
      </c>
      <c r="Z276" s="169">
        <f>'Earnings Model (adjusted)'!Z276-'Earnings Model'!Z276</f>
        <v>0</v>
      </c>
      <c r="AA276" s="169">
        <f>'Earnings Model (adjusted)'!AA276-'Earnings Model'!AA276</f>
        <v>0</v>
      </c>
      <c r="AB276" s="169">
        <f>'Earnings Model (adjusted)'!AB276-'Earnings Model'!AB276</f>
        <v>0</v>
      </c>
      <c r="AC276" s="169">
        <f>'Earnings Model (adjusted)'!AC276-'Earnings Model'!AC276</f>
        <v>0</v>
      </c>
      <c r="AD276" s="169">
        <f>'Earnings Model (adjusted)'!AD276-'Earnings Model'!AD276</f>
        <v>0</v>
      </c>
      <c r="AE276" s="169">
        <f>'Earnings Model (adjusted)'!AE276-'Earnings Model'!AE276</f>
        <v>0</v>
      </c>
      <c r="AF276" s="169">
        <f>'Earnings Model (adjusted)'!AF276-'Earnings Model'!AF276</f>
        <v>0</v>
      </c>
      <c r="AG276" s="169">
        <f>'Earnings Model (adjusted)'!AG276-'Earnings Model'!AG276</f>
        <v>0</v>
      </c>
      <c r="AH276" s="169">
        <f>'Earnings Model (adjusted)'!AH276-'Earnings Model'!AH276</f>
        <v>0</v>
      </c>
      <c r="AI276" s="169">
        <f>'Earnings Model (adjusted)'!AI276-'Earnings Model'!AI276</f>
        <v>0</v>
      </c>
      <c r="AJ276" s="169">
        <f>'Earnings Model (adjusted)'!AJ276-'Earnings Model'!AJ276</f>
        <v>0</v>
      </c>
      <c r="AK276" s="169">
        <f>'Earnings Model (adjusted)'!AK276-'Earnings Model'!AK276</f>
        <v>0</v>
      </c>
      <c r="AL276" s="169">
        <f>'Earnings Model (adjusted)'!AL276-'Earnings Model'!AL276</f>
        <v>0</v>
      </c>
      <c r="AM276" s="169">
        <f>'Earnings Model (adjusted)'!AM276-'Earnings Model'!AM276</f>
        <v>0</v>
      </c>
      <c r="AN276" s="169">
        <f>'Earnings Model (adjusted)'!AN276-'Earnings Model'!AN276</f>
        <v>0</v>
      </c>
      <c r="AO276" s="169">
        <f>'Earnings Model (adjusted)'!AO276-'Earnings Model'!AO276</f>
        <v>0</v>
      </c>
      <c r="AP276" s="169">
        <f>'Earnings Model (adjusted)'!AP276-'Earnings Model'!AP276</f>
        <v>0</v>
      </c>
      <c r="AQ276" s="169">
        <f>'Earnings Model (adjusted)'!AQ276-'Earnings Model'!AQ276</f>
        <v>0</v>
      </c>
    </row>
    <row r="277" spans="1:43" ht="17.25" outlineLevel="1" x14ac:dyDescent="0.4">
      <c r="A277" s="254"/>
      <c r="B277" s="595" t="s">
        <v>17</v>
      </c>
      <c r="C277" s="596"/>
      <c r="D277" s="37">
        <f t="shared" ref="D277:P277" si="175">D275+D265+D260+D276</f>
        <v>-3994.7999999999997</v>
      </c>
      <c r="E277" s="37">
        <f t="shared" si="175"/>
        <v>-2706.5</v>
      </c>
      <c r="F277" s="37">
        <f t="shared" si="175"/>
        <v>2708.3000000000011</v>
      </c>
      <c r="G277" s="37">
        <f t="shared" si="175"/>
        <v>-2076.7999999999993</v>
      </c>
      <c r="H277" s="38">
        <f t="shared" si="175"/>
        <v>-6069.7999999999938</v>
      </c>
      <c r="I277" s="37">
        <f t="shared" si="175"/>
        <v>353.89999999999839</v>
      </c>
      <c r="J277" s="37">
        <f t="shared" si="175"/>
        <v>-468.20000000000061</v>
      </c>
      <c r="K277" s="37">
        <f t="shared" si="175"/>
        <v>1393.600000000001</v>
      </c>
      <c r="L277" s="37">
        <f t="shared" si="175"/>
        <v>385.0000000000021</v>
      </c>
      <c r="M277" s="38">
        <f t="shared" si="175"/>
        <v>1664.3000000000052</v>
      </c>
      <c r="N277" s="37">
        <f t="shared" si="175"/>
        <v>677.2</v>
      </c>
      <c r="O277" s="37">
        <f t="shared" si="175"/>
        <v>-1147.3999999999996</v>
      </c>
      <c r="P277" s="37">
        <f t="shared" si="175"/>
        <v>872.49999999999909</v>
      </c>
      <c r="Q277" s="169">
        <f>'Earnings Model (adjusted)'!Q277-'Earnings Model'!Q277</f>
        <v>43.710285832077943</v>
      </c>
      <c r="R277" s="169">
        <f>'Earnings Model (adjusted)'!R277-'Earnings Model'!R277</f>
        <v>43.710285832076806</v>
      </c>
      <c r="S277" s="169">
        <f>'Earnings Model (adjusted)'!S277-'Earnings Model'!S277</f>
        <v>64.082869003682845</v>
      </c>
      <c r="T277" s="169">
        <f>'Earnings Model (adjusted)'!T277-'Earnings Model'!T277</f>
        <v>76.356523413050013</v>
      </c>
      <c r="U277" s="169">
        <f>'Earnings Model (adjusted)'!U277-'Earnings Model'!U277</f>
        <v>90.629730138883588</v>
      </c>
      <c r="V277" s="169">
        <f>'Earnings Model (adjusted)'!V277-'Earnings Model'!V277</f>
        <v>38.435566292391741</v>
      </c>
      <c r="W277" s="169">
        <f>'Earnings Model (adjusted)'!W277-'Earnings Model'!W277</f>
        <v>269.50468884800193</v>
      </c>
      <c r="X277" s="169">
        <f>'Earnings Model (adjusted)'!X277-'Earnings Model'!X277</f>
        <v>76.376833970510688</v>
      </c>
      <c r="Y277" s="169">
        <f>'Earnings Model (adjusted)'!Y277-'Earnings Model'!Y277</f>
        <v>78.308061599842176</v>
      </c>
      <c r="Z277" s="169">
        <f>'Earnings Model (adjusted)'!Z277-'Earnings Model'!Z277</f>
        <v>77.20530258898998</v>
      </c>
      <c r="AA277" s="169">
        <f>'Earnings Model (adjusted)'!AA277-'Earnings Model'!AA277</f>
        <v>97.11707618832304</v>
      </c>
      <c r="AB277" s="169">
        <f>'Earnings Model (adjusted)'!AB277-'Earnings Model'!AB277</f>
        <v>329.00727434767123</v>
      </c>
      <c r="AC277" s="169">
        <f>'Earnings Model (adjusted)'!AC277-'Earnings Model'!AC277</f>
        <v>68.901726575483281</v>
      </c>
      <c r="AD277" s="169">
        <f>'Earnings Model (adjusted)'!AD277-'Earnings Model'!AD277</f>
        <v>80.479126668579738</v>
      </c>
      <c r="AE277" s="169">
        <f>'Earnings Model (adjusted)'!AE277-'Earnings Model'!AE277</f>
        <v>75.549541069593488</v>
      </c>
      <c r="AF277" s="169">
        <f>'Earnings Model (adjusted)'!AF277-'Earnings Model'!AF277</f>
        <v>85.558993989168243</v>
      </c>
      <c r="AG277" s="169">
        <f>'Earnings Model (adjusted)'!AG277-'Earnings Model'!AG277</f>
        <v>310.48938830282532</v>
      </c>
      <c r="AH277" s="169">
        <f>'Earnings Model (adjusted)'!AH277-'Earnings Model'!AH277</f>
        <v>98.993544853906542</v>
      </c>
      <c r="AI277" s="169">
        <f>'Earnings Model (adjusted)'!AI277-'Earnings Model'!AI277</f>
        <v>98.116023071167092</v>
      </c>
      <c r="AJ277" s="169">
        <f>'Earnings Model (adjusted)'!AJ277-'Earnings Model'!AJ277</f>
        <v>88.334909877132077</v>
      </c>
      <c r="AK277" s="169">
        <f>'Earnings Model (adjusted)'!AK277-'Earnings Model'!AK277</f>
        <v>95.684631698597514</v>
      </c>
      <c r="AL277" s="169">
        <f>'Earnings Model (adjusted)'!AL277-'Earnings Model'!AL277</f>
        <v>381.12910950079913</v>
      </c>
      <c r="AM277" s="169">
        <f>'Earnings Model (adjusted)'!AM277-'Earnings Model'!AM277</f>
        <v>105.47122805561958</v>
      </c>
      <c r="AN277" s="169">
        <f>'Earnings Model (adjusted)'!AN277-'Earnings Model'!AN277</f>
        <v>102.43212592880582</v>
      </c>
      <c r="AO277" s="169">
        <f>'Earnings Model (adjusted)'!AO277-'Earnings Model'!AO277</f>
        <v>82.934938116886315</v>
      </c>
      <c r="AP277" s="169">
        <f>'Earnings Model (adjusted)'!AP277-'Earnings Model'!AP277</f>
        <v>98.215235585415257</v>
      </c>
      <c r="AQ277" s="169">
        <f>'Earnings Model (adjusted)'!AQ277-'Earnings Model'!AQ277</f>
        <v>389.05352768673038</v>
      </c>
    </row>
    <row r="278" spans="1:43" ht="17.25" outlineLevel="1" x14ac:dyDescent="0.4">
      <c r="A278" s="254"/>
      <c r="B278" s="595" t="s">
        <v>18</v>
      </c>
      <c r="C278" s="596"/>
      <c r="D278" s="37">
        <v>8756.2999999999993</v>
      </c>
      <c r="E278" s="37">
        <f>D279</f>
        <v>4761.6000000000004</v>
      </c>
      <c r="F278" s="37">
        <f>E279</f>
        <v>2055.1000000000004</v>
      </c>
      <c r="G278" s="37">
        <f>F279</f>
        <v>4763.4000000000015</v>
      </c>
      <c r="H278" s="38">
        <f>D278</f>
        <v>8756.2999999999993</v>
      </c>
      <c r="I278" s="270">
        <f>H279</f>
        <v>2686.5000000000055</v>
      </c>
      <c r="J278" s="37">
        <f>I279</f>
        <v>3040.5000000000036</v>
      </c>
      <c r="K278" s="37">
        <f>J279</f>
        <v>2572.3000000000029</v>
      </c>
      <c r="L278" s="37">
        <f>K279</f>
        <v>3965.9000000000042</v>
      </c>
      <c r="M278" s="38">
        <f>H279</f>
        <v>2686.5000000000055</v>
      </c>
      <c r="N278" s="37">
        <f>+M279</f>
        <v>4350.8000000000102</v>
      </c>
      <c r="O278" s="37">
        <f>N279</f>
        <v>5028.00000000001</v>
      </c>
      <c r="P278" s="37">
        <f>O279</f>
        <v>3880.6000000000104</v>
      </c>
      <c r="Q278" s="169">
        <f>'Earnings Model (adjusted)'!Q278-'Earnings Model'!Q278</f>
        <v>0</v>
      </c>
      <c r="R278" s="169">
        <f>'Earnings Model (adjusted)'!R278-'Earnings Model'!R278</f>
        <v>0</v>
      </c>
      <c r="S278" s="169">
        <f>'Earnings Model (adjusted)'!S278-'Earnings Model'!S278</f>
        <v>43.710285832076806</v>
      </c>
      <c r="T278" s="169">
        <f>'Earnings Model (adjusted)'!T278-'Earnings Model'!T278</f>
        <v>107.79315483576011</v>
      </c>
      <c r="U278" s="169">
        <f>'Earnings Model (adjusted)'!U278-'Earnings Model'!U278</f>
        <v>184.14967824880978</v>
      </c>
      <c r="V278" s="169">
        <f>'Earnings Model (adjusted)'!V278-'Earnings Model'!V278</f>
        <v>274.77940838769337</v>
      </c>
      <c r="W278" s="169">
        <f>'Earnings Model (adjusted)'!W278-'Earnings Model'!W278</f>
        <v>43.710285832076806</v>
      </c>
      <c r="X278" s="169">
        <f>'Earnings Model (adjusted)'!X278-'Earnings Model'!X278</f>
        <v>313.21497468007874</v>
      </c>
      <c r="Y278" s="169">
        <f>'Earnings Model (adjusted)'!Y278-'Earnings Model'!Y278</f>
        <v>389.59180865058943</v>
      </c>
      <c r="Z278" s="169">
        <f>'Earnings Model (adjusted)'!Z278-'Earnings Model'!Z278</f>
        <v>467.89987025043138</v>
      </c>
      <c r="AA278" s="169">
        <f>'Earnings Model (adjusted)'!AA278-'Earnings Model'!AA278</f>
        <v>545.10517283942136</v>
      </c>
      <c r="AB278" s="169">
        <f>'Earnings Model (adjusted)'!AB278-'Earnings Model'!AB278</f>
        <v>313.21497468007874</v>
      </c>
      <c r="AC278" s="169">
        <f>'Earnings Model (adjusted)'!AC278-'Earnings Model'!AC278</f>
        <v>642.22224902774997</v>
      </c>
      <c r="AD278" s="169">
        <f>'Earnings Model (adjusted)'!AD278-'Earnings Model'!AD278</f>
        <v>711.1239756032337</v>
      </c>
      <c r="AE278" s="169">
        <f>'Earnings Model (adjusted)'!AE278-'Earnings Model'!AE278</f>
        <v>791.60310227181344</v>
      </c>
      <c r="AF278" s="169">
        <f>'Earnings Model (adjusted)'!AF278-'Earnings Model'!AF278</f>
        <v>867.15264334140647</v>
      </c>
      <c r="AG278" s="169">
        <f>'Earnings Model (adjusted)'!AG278-'Earnings Model'!AG278</f>
        <v>642.22224902774997</v>
      </c>
      <c r="AH278" s="169">
        <f>'Earnings Model (adjusted)'!AH278-'Earnings Model'!AH278</f>
        <v>952.71163733057529</v>
      </c>
      <c r="AI278" s="169">
        <f>'Earnings Model (adjusted)'!AI278-'Earnings Model'!AI278</f>
        <v>1051.7051821844825</v>
      </c>
      <c r="AJ278" s="169">
        <f>'Earnings Model (adjusted)'!AJ278-'Earnings Model'!AJ278</f>
        <v>1149.8212052556496</v>
      </c>
      <c r="AK278" s="169">
        <f>'Earnings Model (adjusted)'!AK278-'Earnings Model'!AK278</f>
        <v>1238.1561151327815</v>
      </c>
      <c r="AL278" s="169">
        <f>'Earnings Model (adjusted)'!AL278-'Earnings Model'!AL278</f>
        <v>952.71163733057529</v>
      </c>
      <c r="AM278" s="169">
        <f>'Earnings Model (adjusted)'!AM278-'Earnings Model'!AM278</f>
        <v>1333.8407468313744</v>
      </c>
      <c r="AN278" s="169">
        <f>'Earnings Model (adjusted)'!AN278-'Earnings Model'!AN278</f>
        <v>1439.311974886994</v>
      </c>
      <c r="AO278" s="169">
        <f>'Earnings Model (adjusted)'!AO278-'Earnings Model'!AO278</f>
        <v>1541.7441008158003</v>
      </c>
      <c r="AP278" s="169">
        <f>'Earnings Model (adjusted)'!AP278-'Earnings Model'!AP278</f>
        <v>1624.6790389326861</v>
      </c>
      <c r="AQ278" s="169">
        <f>'Earnings Model (adjusted)'!AQ278-'Earnings Model'!AQ278</f>
        <v>1333.8407468313744</v>
      </c>
    </row>
    <row r="279" spans="1:43" outlineLevel="1" x14ac:dyDescent="0.25">
      <c r="A279" s="254"/>
      <c r="B279" s="628" t="s">
        <v>112</v>
      </c>
      <c r="C279" s="629"/>
      <c r="D279" s="283">
        <f>+D278+D277+0.1</f>
        <v>4761.6000000000004</v>
      </c>
      <c r="E279" s="283">
        <f t="shared" ref="E279:G279" si="176">+E278+E277</f>
        <v>2055.1000000000004</v>
      </c>
      <c r="F279" s="283">
        <f t="shared" si="176"/>
        <v>4763.4000000000015</v>
      </c>
      <c r="G279" s="283">
        <f t="shared" si="176"/>
        <v>2686.6000000000022</v>
      </c>
      <c r="H279" s="357">
        <f>+D278+H277</f>
        <v>2686.5000000000055</v>
      </c>
      <c r="I279" s="283">
        <f>+I278+I277+0.1</f>
        <v>3040.5000000000036</v>
      </c>
      <c r="J279" s="283">
        <f t="shared" ref="J279:L279" si="177">+J278+J277</f>
        <v>2572.3000000000029</v>
      </c>
      <c r="K279" s="283">
        <f t="shared" si="177"/>
        <v>3965.9000000000042</v>
      </c>
      <c r="L279" s="41">
        <f t="shared" si="177"/>
        <v>4350.900000000006</v>
      </c>
      <c r="M279" s="42">
        <f>+I278+M277</f>
        <v>4350.8000000000102</v>
      </c>
      <c r="N279" s="41">
        <f>+N278+N277</f>
        <v>5028.00000000001</v>
      </c>
      <c r="O279" s="41">
        <f t="shared" ref="O279:P279" si="178">+O278+O277</f>
        <v>3880.6000000000104</v>
      </c>
      <c r="P279" s="41">
        <f t="shared" si="178"/>
        <v>4753.1000000000095</v>
      </c>
      <c r="Q279" s="169">
        <f>'Earnings Model (adjusted)'!Q279-'Earnings Model'!Q279</f>
        <v>43.710285832077716</v>
      </c>
      <c r="R279" s="169">
        <f>'Earnings Model (adjusted)'!R279-'Earnings Model'!R279</f>
        <v>43.710285832076806</v>
      </c>
      <c r="S279" s="169">
        <f>'Earnings Model (adjusted)'!S279-'Earnings Model'!S279</f>
        <v>107.79315483576011</v>
      </c>
      <c r="T279" s="169">
        <f>'Earnings Model (adjusted)'!T279-'Earnings Model'!T279</f>
        <v>184.14967824880978</v>
      </c>
      <c r="U279" s="169">
        <f>'Earnings Model (adjusted)'!U279-'Earnings Model'!U279</f>
        <v>274.77940838769337</v>
      </c>
      <c r="V279" s="169">
        <f>'Earnings Model (adjusted)'!V279-'Earnings Model'!V279</f>
        <v>313.21497468008511</v>
      </c>
      <c r="W279" s="169">
        <f>'Earnings Model (adjusted)'!W279-'Earnings Model'!W279</f>
        <v>313.21497468007874</v>
      </c>
      <c r="X279" s="169">
        <f>'Earnings Model (adjusted)'!X279-'Earnings Model'!X279</f>
        <v>389.59180865058943</v>
      </c>
      <c r="Y279" s="169">
        <f>'Earnings Model (adjusted)'!Y279-'Earnings Model'!Y279</f>
        <v>467.89987025043138</v>
      </c>
      <c r="Z279" s="169">
        <f>'Earnings Model (adjusted)'!Z279-'Earnings Model'!Z279</f>
        <v>545.10517283942136</v>
      </c>
      <c r="AA279" s="169">
        <f>'Earnings Model (adjusted)'!AA279-'Earnings Model'!AA279</f>
        <v>642.22224902774451</v>
      </c>
      <c r="AB279" s="169">
        <f>'Earnings Model (adjusted)'!AB279-'Earnings Model'!AB279</f>
        <v>642.22224902774997</v>
      </c>
      <c r="AC279" s="169">
        <f>'Earnings Model (adjusted)'!AC279-'Earnings Model'!AC279</f>
        <v>711.1239756032337</v>
      </c>
      <c r="AD279" s="169">
        <f>'Earnings Model (adjusted)'!AD279-'Earnings Model'!AD279</f>
        <v>791.60310227181344</v>
      </c>
      <c r="AE279" s="169">
        <f>'Earnings Model (adjusted)'!AE279-'Earnings Model'!AE279</f>
        <v>867.15264334140647</v>
      </c>
      <c r="AF279" s="169">
        <f>'Earnings Model (adjusted)'!AF279-'Earnings Model'!AF279</f>
        <v>952.71163733057438</v>
      </c>
      <c r="AG279" s="169">
        <f>'Earnings Model (adjusted)'!AG279-'Earnings Model'!AG279</f>
        <v>952.71163733057529</v>
      </c>
      <c r="AH279" s="169">
        <f>'Earnings Model (adjusted)'!AH279-'Earnings Model'!AH279</f>
        <v>1051.7051821844825</v>
      </c>
      <c r="AI279" s="169">
        <f>'Earnings Model (adjusted)'!AI279-'Earnings Model'!AI279</f>
        <v>1149.8212052556496</v>
      </c>
      <c r="AJ279" s="169">
        <f>'Earnings Model (adjusted)'!AJ279-'Earnings Model'!AJ279</f>
        <v>1238.1561151327815</v>
      </c>
      <c r="AK279" s="169">
        <f>'Earnings Model (adjusted)'!AK279-'Earnings Model'!AK279</f>
        <v>1333.8407468313785</v>
      </c>
      <c r="AL279" s="169">
        <f>'Earnings Model (adjusted)'!AL279-'Earnings Model'!AL279</f>
        <v>1333.8407468313744</v>
      </c>
      <c r="AM279" s="169">
        <f>'Earnings Model (adjusted)'!AM279-'Earnings Model'!AM279</f>
        <v>1439.311974886994</v>
      </c>
      <c r="AN279" s="169">
        <f>'Earnings Model (adjusted)'!AN279-'Earnings Model'!AN279</f>
        <v>1541.7441008158003</v>
      </c>
      <c r="AO279" s="169">
        <f>'Earnings Model (adjusted)'!AO279-'Earnings Model'!AO279</f>
        <v>1624.6790389326861</v>
      </c>
      <c r="AP279" s="169">
        <f>'Earnings Model (adjusted)'!AP279-'Earnings Model'!AP279</f>
        <v>1722.8942745181012</v>
      </c>
      <c r="AQ279" s="169">
        <f>'Earnings Model (adjusted)'!AQ279-'Earnings Model'!AQ279</f>
        <v>1722.8942745181048</v>
      </c>
    </row>
    <row r="280" spans="1:43" s="43" customFormat="1" outlineLevel="1" x14ac:dyDescent="0.25">
      <c r="A280" s="307"/>
      <c r="B280" s="630" t="s">
        <v>72</v>
      </c>
      <c r="C280" s="631"/>
      <c r="D280" s="251">
        <f>D260-(-D263)+((-D30*(1-$C$317)))</f>
        <v>2022.6046576944923</v>
      </c>
      <c r="E280" s="251">
        <f>E260-(-E263)+((-E30*(1-$C$317)))</f>
        <v>50.104589381638974</v>
      </c>
      <c r="F280" s="251">
        <f>F260-(-F263)+((-F30*(1-$C$317)))</f>
        <v>820.70536566405565</v>
      </c>
      <c r="G280" s="251">
        <f>G260-(-G263)+((-G30*(1-$C$317)))</f>
        <v>677.90594321817241</v>
      </c>
      <c r="H280" s="252">
        <f>SUM(D280:G280)</f>
        <v>3571.3205559583594</v>
      </c>
      <c r="I280" s="251">
        <f>I260-(-I263)+((-I30*(1-$C$317)))</f>
        <v>1533.705707228316</v>
      </c>
      <c r="J280" s="251">
        <f>J260-(-J263)+((-J30*(1-$C$317)))</f>
        <v>-1626.093839422753</v>
      </c>
      <c r="K280" s="251">
        <f>K260-(-K263)+((-K30*(1-$C$317)))</f>
        <v>-626.99249800673772</v>
      </c>
      <c r="L280" s="251">
        <f>L260-(-L263)+((-L30*(1-$C$317)))</f>
        <v>1270.5077628241547</v>
      </c>
      <c r="M280" s="252">
        <f>SUM(I280:L280)</f>
        <v>551.12713262297996</v>
      </c>
      <c r="N280" s="251">
        <f>N260-(-N263)+((-N30*(1-$C$317)))</f>
        <v>1632.2074957830025</v>
      </c>
      <c r="O280" s="251">
        <f>O260-(-O263)+((-O30*(1-$C$317)))</f>
        <v>675.10714179822094</v>
      </c>
      <c r="P280" s="251">
        <f>P260-(-P263)+((-P30*(1-$C$317)))</f>
        <v>1524.6070424340708</v>
      </c>
      <c r="Q280" s="169">
        <f>'Earnings Model (adjusted)'!Q280-'Earnings Model'!Q280</f>
        <v>44.654547157946865</v>
      </c>
      <c r="R280" s="169">
        <f>'Earnings Model (adjusted)'!R280-'Earnings Model'!R280</f>
        <v>44.676227173241386</v>
      </c>
      <c r="S280" s="169">
        <f>'Earnings Model (adjusted)'!S280-'Earnings Model'!S280</f>
        <v>67.103683300050307</v>
      </c>
      <c r="T280" s="169">
        <f>'Earnings Model (adjusted)'!T280-'Earnings Model'!T280</f>
        <v>79.337425842789116</v>
      </c>
      <c r="U280" s="169">
        <f>'Earnings Model (adjusted)'!U280-'Earnings Model'!U280</f>
        <v>93.488660723254725</v>
      </c>
      <c r="V280" s="169">
        <f>'Earnings Model (adjusted)'!V280-'Earnings Model'!V280</f>
        <v>40.634968897094723</v>
      </c>
      <c r="W280" s="169">
        <f>'Earnings Model (adjusted)'!W280-'Earnings Model'!W280</f>
        <v>280.56473876318887</v>
      </c>
      <c r="X280" s="169">
        <f>'Earnings Model (adjusted)'!X280-'Earnings Model'!X280</f>
        <v>79.76397682505376</v>
      </c>
      <c r="Y280" s="169">
        <f>'Earnings Model (adjusted)'!Y280-'Earnings Model'!Y280</f>
        <v>81.421826820184833</v>
      </c>
      <c r="Z280" s="169">
        <f>'Earnings Model (adjusted)'!Z280-'Earnings Model'!Z280</f>
        <v>79.235230343619151</v>
      </c>
      <c r="AA280" s="169">
        <f>'Earnings Model (adjusted)'!AA280-'Earnings Model'!AA280</f>
        <v>100.46260805135694</v>
      </c>
      <c r="AB280" s="169">
        <f>'Earnings Model (adjusted)'!AB280-'Earnings Model'!AB280</f>
        <v>340.883642040214</v>
      </c>
      <c r="AC280" s="169">
        <f>'Earnings Model (adjusted)'!AC280-'Earnings Model'!AC280</f>
        <v>73.276574417820484</v>
      </c>
      <c r="AD280" s="169">
        <f>'Earnings Model (adjusted)'!AD280-'Earnings Model'!AD280</f>
        <v>83.72844984191488</v>
      </c>
      <c r="AE280" s="169">
        <f>'Earnings Model (adjusted)'!AE280-'Earnings Model'!AE280</f>
        <v>77.115122925252308</v>
      </c>
      <c r="AF280" s="169">
        <f>'Earnings Model (adjusted)'!AF280-'Earnings Model'!AF280</f>
        <v>88.085702418730762</v>
      </c>
      <c r="AG280" s="169">
        <f>'Earnings Model (adjusted)'!AG280-'Earnings Model'!AG280</f>
        <v>322.20584960371889</v>
      </c>
      <c r="AH280" s="169">
        <f>'Earnings Model (adjusted)'!AH280-'Earnings Model'!AH280</f>
        <v>104.71600942838131</v>
      </c>
      <c r="AI280" s="169">
        <f>'Earnings Model (adjusted)'!AI280-'Earnings Model'!AI280</f>
        <v>102.07291185897566</v>
      </c>
      <c r="AJ280" s="169">
        <f>'Earnings Model (adjusted)'!AJ280-'Earnings Model'!AJ280</f>
        <v>89.90019910908336</v>
      </c>
      <c r="AK280" s="169">
        <f>'Earnings Model (adjusted)'!AK280-'Earnings Model'!AK280</f>
        <v>98.411210563306668</v>
      </c>
      <c r="AL280" s="169">
        <f>'Earnings Model (adjusted)'!AL280-'Earnings Model'!AL280</f>
        <v>395.10033095974723</v>
      </c>
      <c r="AM280" s="169">
        <f>'Earnings Model (adjusted)'!AM280-'Earnings Model'!AM280</f>
        <v>112.06788425501281</v>
      </c>
      <c r="AN280" s="169">
        <f>'Earnings Model (adjusted)'!AN280-'Earnings Model'!AN280</f>
        <v>106.55761644761105</v>
      </c>
      <c r="AO280" s="169">
        <f>'Earnings Model (adjusted)'!AO280-'Earnings Model'!AO280</f>
        <v>84.178070478101745</v>
      </c>
      <c r="AP280" s="169">
        <f>'Earnings Model (adjusted)'!AP280-'Earnings Model'!AP280</f>
        <v>101.01033754746675</v>
      </c>
      <c r="AQ280" s="169">
        <f>'Earnings Model (adjusted)'!AQ280-'Earnings Model'!AQ280</f>
        <v>403.81390872819247</v>
      </c>
    </row>
    <row r="281" spans="1:43" s="43" customFormat="1" outlineLevel="1" x14ac:dyDescent="0.25">
      <c r="A281" s="307"/>
      <c r="B281" s="547" t="s">
        <v>46</v>
      </c>
      <c r="C281" s="548"/>
      <c r="D281" s="81"/>
      <c r="E281" s="81"/>
      <c r="F281" s="300"/>
      <c r="G281" s="81"/>
      <c r="H281" s="82">
        <v>0</v>
      </c>
      <c r="I281" s="81"/>
      <c r="J281" s="81"/>
      <c r="K281" s="81"/>
      <c r="L281" s="81"/>
      <c r="M281" s="82">
        <v>0</v>
      </c>
      <c r="N281" s="81"/>
      <c r="O281" s="81"/>
      <c r="P281" s="81"/>
      <c r="Q281" s="169">
        <f>'Earnings Model (adjusted)'!Q281-'Earnings Model'!Q281</f>
        <v>0</v>
      </c>
      <c r="R281" s="169">
        <f>'Earnings Model (adjusted)'!R281-'Earnings Model'!R281</f>
        <v>0</v>
      </c>
      <c r="S281" s="169">
        <f>'Earnings Model (adjusted)'!S281-'Earnings Model'!S281</f>
        <v>0</v>
      </c>
      <c r="T281" s="169">
        <f>'Earnings Model (adjusted)'!T281-'Earnings Model'!T281</f>
        <v>0</v>
      </c>
      <c r="U281" s="169">
        <f>'Earnings Model (adjusted)'!U281-'Earnings Model'!U281</f>
        <v>0</v>
      </c>
      <c r="V281" s="169">
        <f>'Earnings Model (adjusted)'!V281-'Earnings Model'!V281</f>
        <v>0</v>
      </c>
      <c r="W281" s="169">
        <f>'Earnings Model (adjusted)'!W281-'Earnings Model'!W281</f>
        <v>0</v>
      </c>
      <c r="X281" s="169">
        <f>'Earnings Model (adjusted)'!X281-'Earnings Model'!X281</f>
        <v>0</v>
      </c>
      <c r="Y281" s="169">
        <f>'Earnings Model (adjusted)'!Y281-'Earnings Model'!Y281</f>
        <v>0</v>
      </c>
      <c r="Z281" s="169">
        <f>'Earnings Model (adjusted)'!Z281-'Earnings Model'!Z281</f>
        <v>0</v>
      </c>
      <c r="AA281" s="169">
        <f>'Earnings Model (adjusted)'!AA281-'Earnings Model'!AA281</f>
        <v>0</v>
      </c>
      <c r="AB281" s="169">
        <f>'Earnings Model (adjusted)'!AB281-'Earnings Model'!AB281</f>
        <v>0</v>
      </c>
      <c r="AC281" s="169">
        <f>'Earnings Model (adjusted)'!AC281-'Earnings Model'!AC281</f>
        <v>0</v>
      </c>
      <c r="AD281" s="169">
        <f>'Earnings Model (adjusted)'!AD281-'Earnings Model'!AD281</f>
        <v>0</v>
      </c>
      <c r="AE281" s="169">
        <f>'Earnings Model (adjusted)'!AE281-'Earnings Model'!AE281</f>
        <v>0</v>
      </c>
      <c r="AF281" s="169">
        <f>'Earnings Model (adjusted)'!AF281-'Earnings Model'!AF281</f>
        <v>0</v>
      </c>
      <c r="AG281" s="169">
        <f>'Earnings Model (adjusted)'!AG281-'Earnings Model'!AG281</f>
        <v>0</v>
      </c>
      <c r="AH281" s="169">
        <f>'Earnings Model (adjusted)'!AH281-'Earnings Model'!AH281</f>
        <v>0</v>
      </c>
      <c r="AI281" s="169">
        <f>'Earnings Model (adjusted)'!AI281-'Earnings Model'!AI281</f>
        <v>0</v>
      </c>
      <c r="AJ281" s="169">
        <f>'Earnings Model (adjusted)'!AJ281-'Earnings Model'!AJ281</f>
        <v>0</v>
      </c>
      <c r="AK281" s="169">
        <f>'Earnings Model (adjusted)'!AK281-'Earnings Model'!AK281</f>
        <v>0</v>
      </c>
      <c r="AL281" s="169">
        <f>'Earnings Model (adjusted)'!AL281-'Earnings Model'!AL281</f>
        <v>0</v>
      </c>
      <c r="AM281" s="169">
        <f>'Earnings Model (adjusted)'!AM281-'Earnings Model'!AM281</f>
        <v>0</v>
      </c>
      <c r="AN281" s="169">
        <f>'Earnings Model (adjusted)'!AN281-'Earnings Model'!AN281</f>
        <v>0</v>
      </c>
      <c r="AO281" s="169">
        <f>'Earnings Model (adjusted)'!AO281-'Earnings Model'!AO281</f>
        <v>0</v>
      </c>
      <c r="AP281" s="169">
        <f>'Earnings Model (adjusted)'!AP281-'Earnings Model'!AP281</f>
        <v>0</v>
      </c>
      <c r="AQ281" s="169">
        <f>'Earnings Model (adjusted)'!AQ281-'Earnings Model'!AQ281</f>
        <v>0</v>
      </c>
    </row>
    <row r="282" spans="1:43" s="43" customFormat="1" outlineLevel="1" x14ac:dyDescent="0.25">
      <c r="A282" s="307"/>
      <c r="B282" s="632" t="s">
        <v>25</v>
      </c>
      <c r="C282" s="633"/>
      <c r="D282" s="83"/>
      <c r="E282" s="83"/>
      <c r="F282" s="83"/>
      <c r="G282" s="83"/>
      <c r="H282" s="84">
        <f>H280/(1+$C$319)^H281</f>
        <v>3571.3205559583594</v>
      </c>
      <c r="I282" s="83"/>
      <c r="J282" s="83"/>
      <c r="K282" s="83"/>
      <c r="L282" s="83"/>
      <c r="M282" s="84">
        <f>M280/(1+$C$319)^M281</f>
        <v>551.12713262297996</v>
      </c>
      <c r="N282" s="83"/>
      <c r="O282" s="83"/>
      <c r="P282" s="83"/>
      <c r="Q282" s="169">
        <f>'Earnings Model (adjusted)'!Q282-'Earnings Model'!Q282</f>
        <v>0</v>
      </c>
      <c r="R282" s="169">
        <f>'Earnings Model (adjusted)'!R282-'Earnings Model'!R282</f>
        <v>44.676227173241386</v>
      </c>
      <c r="S282" s="169">
        <f>'Earnings Model (adjusted)'!S282-'Earnings Model'!S282</f>
        <v>0</v>
      </c>
      <c r="T282" s="169">
        <f>'Earnings Model (adjusted)'!T282-'Earnings Model'!T282</f>
        <v>0</v>
      </c>
      <c r="U282" s="169">
        <f>'Earnings Model (adjusted)'!U282-'Earnings Model'!U282</f>
        <v>0</v>
      </c>
      <c r="V282" s="169">
        <f>'Earnings Model (adjusted)'!V282-'Earnings Model'!V282</f>
        <v>0</v>
      </c>
      <c r="W282" s="169">
        <f>'Earnings Model (adjusted)'!W282-'Earnings Model'!W282</f>
        <v>272.59141428888506</v>
      </c>
      <c r="X282" s="169">
        <f>'Earnings Model (adjusted)'!X282-'Earnings Model'!X282</f>
        <v>0</v>
      </c>
      <c r="Y282" s="169">
        <f>'Earnings Model (adjusted)'!Y282-'Earnings Model'!Y282</f>
        <v>0</v>
      </c>
      <c r="Z282" s="169">
        <f>'Earnings Model (adjusted)'!Z282-'Earnings Model'!Z282</f>
        <v>0</v>
      </c>
      <c r="AA282" s="169">
        <f>'Earnings Model (adjusted)'!AA282-'Earnings Model'!AA282</f>
        <v>0</v>
      </c>
      <c r="AB282" s="169">
        <f>'Earnings Model (adjusted)'!AB282-'Earnings Model'!AB282</f>
        <v>317.88673095840659</v>
      </c>
      <c r="AC282" s="169">
        <f>'Earnings Model (adjusted)'!AC282-'Earnings Model'!AC282</f>
        <v>0</v>
      </c>
      <c r="AD282" s="169">
        <f>'Earnings Model (adjusted)'!AD282-'Earnings Model'!AD282</f>
        <v>0</v>
      </c>
      <c r="AE282" s="169">
        <f>'Earnings Model (adjusted)'!AE282-'Earnings Model'!AE282</f>
        <v>0</v>
      </c>
      <c r="AF282" s="169">
        <f>'Earnings Model (adjusted)'!AF282-'Earnings Model'!AF282</f>
        <v>0</v>
      </c>
      <c r="AG282" s="169">
        <f>'Earnings Model (adjusted)'!AG282-'Earnings Model'!AG282</f>
        <v>294.85026558290883</v>
      </c>
      <c r="AH282" s="169">
        <f>'Earnings Model (adjusted)'!AH282-'Earnings Model'!AH282</f>
        <v>0</v>
      </c>
      <c r="AI282" s="169">
        <f>'Earnings Model (adjusted)'!AI282-'Earnings Model'!AI282</f>
        <v>0</v>
      </c>
      <c r="AJ282" s="169">
        <f>'Earnings Model (adjusted)'!AJ282-'Earnings Model'!AJ282</f>
        <v>0</v>
      </c>
      <c r="AK282" s="169">
        <f>'Earnings Model (adjusted)'!AK282-'Earnings Model'!AK282</f>
        <v>0</v>
      </c>
      <c r="AL282" s="169">
        <f>'Earnings Model (adjusted)'!AL282-'Earnings Model'!AL282</f>
        <v>345.15466570621629</v>
      </c>
      <c r="AM282" s="169">
        <f>'Earnings Model (adjusted)'!AM282-'Earnings Model'!AM282</f>
        <v>0</v>
      </c>
      <c r="AN282" s="169">
        <f>'Earnings Model (adjusted)'!AN282-'Earnings Model'!AN282</f>
        <v>0</v>
      </c>
      <c r="AO282" s="169">
        <f>'Earnings Model (adjusted)'!AO282-'Earnings Model'!AO282</f>
        <v>0</v>
      </c>
      <c r="AP282" s="169">
        <f>'Earnings Model (adjusted)'!AP282-'Earnings Model'!AP282</f>
        <v>0</v>
      </c>
      <c r="AQ282" s="169">
        <f>'Earnings Model (adjusted)'!AQ282-'Earnings Model'!AQ282</f>
        <v>343.14562097469388</v>
      </c>
    </row>
    <row r="283" spans="1:43" outlineLevel="1" x14ac:dyDescent="0.25">
      <c r="A283" s="254"/>
      <c r="B283" s="536" t="s">
        <v>56</v>
      </c>
      <c r="C283" s="77"/>
      <c r="D283" s="24"/>
      <c r="E283" s="24"/>
      <c r="F283" s="24"/>
      <c r="G283" s="24"/>
      <c r="H283" s="25"/>
      <c r="I283" s="24"/>
      <c r="J283" s="24"/>
      <c r="K283" s="24"/>
      <c r="L283" s="24"/>
      <c r="M283" s="25"/>
      <c r="N283" s="24"/>
      <c r="O283" s="24"/>
      <c r="P283" s="24"/>
      <c r="Q283" s="169">
        <f>'Earnings Model (adjusted)'!Q283-'Earnings Model'!Q283</f>
        <v>0</v>
      </c>
      <c r="R283" s="169">
        <f>'Earnings Model (adjusted)'!R283-'Earnings Model'!R283</f>
        <v>0</v>
      </c>
      <c r="S283" s="169">
        <f>'Earnings Model (adjusted)'!S283-'Earnings Model'!S283</f>
        <v>0</v>
      </c>
      <c r="T283" s="169">
        <f>'Earnings Model (adjusted)'!T283-'Earnings Model'!T283</f>
        <v>0</v>
      </c>
      <c r="U283" s="169">
        <f>'Earnings Model (adjusted)'!U283-'Earnings Model'!U283</f>
        <v>0</v>
      </c>
      <c r="V283" s="169">
        <f>'Earnings Model (adjusted)'!V283-'Earnings Model'!V283</f>
        <v>0</v>
      </c>
      <c r="W283" s="169">
        <f>'Earnings Model (adjusted)'!W283-'Earnings Model'!W283</f>
        <v>0</v>
      </c>
      <c r="X283" s="169">
        <f>'Earnings Model (adjusted)'!X283-'Earnings Model'!X283</f>
        <v>0</v>
      </c>
      <c r="Y283" s="169">
        <f>'Earnings Model (adjusted)'!Y283-'Earnings Model'!Y283</f>
        <v>0</v>
      </c>
      <c r="Z283" s="169">
        <f>'Earnings Model (adjusted)'!Z283-'Earnings Model'!Z283</f>
        <v>0</v>
      </c>
      <c r="AA283" s="169">
        <f>'Earnings Model (adjusted)'!AA283-'Earnings Model'!AA283</f>
        <v>0</v>
      </c>
      <c r="AB283" s="169">
        <f>'Earnings Model (adjusted)'!AB283-'Earnings Model'!AB283</f>
        <v>0</v>
      </c>
      <c r="AC283" s="169">
        <f>'Earnings Model (adjusted)'!AC283-'Earnings Model'!AC283</f>
        <v>0</v>
      </c>
      <c r="AD283" s="169">
        <f>'Earnings Model (adjusted)'!AD283-'Earnings Model'!AD283</f>
        <v>0</v>
      </c>
      <c r="AE283" s="169">
        <f>'Earnings Model (adjusted)'!AE283-'Earnings Model'!AE283</f>
        <v>0</v>
      </c>
      <c r="AF283" s="169">
        <f>'Earnings Model (adjusted)'!AF283-'Earnings Model'!AF283</f>
        <v>0</v>
      </c>
      <c r="AG283" s="169">
        <f>'Earnings Model (adjusted)'!AG283-'Earnings Model'!AG283</f>
        <v>0</v>
      </c>
      <c r="AH283" s="169">
        <f>'Earnings Model (adjusted)'!AH283-'Earnings Model'!AH283</f>
        <v>0</v>
      </c>
      <c r="AI283" s="169">
        <f>'Earnings Model (adjusted)'!AI283-'Earnings Model'!AI283</f>
        <v>0</v>
      </c>
      <c r="AJ283" s="169">
        <f>'Earnings Model (adjusted)'!AJ283-'Earnings Model'!AJ283</f>
        <v>0</v>
      </c>
      <c r="AK283" s="169">
        <f>'Earnings Model (adjusted)'!AK283-'Earnings Model'!AK283</f>
        <v>0</v>
      </c>
      <c r="AL283" s="169">
        <f>'Earnings Model (adjusted)'!AL283-'Earnings Model'!AL283</f>
        <v>0</v>
      </c>
      <c r="AM283" s="169">
        <f>'Earnings Model (adjusted)'!AM283-'Earnings Model'!AM283</f>
        <v>0</v>
      </c>
      <c r="AN283" s="169">
        <f>'Earnings Model (adjusted)'!AN283-'Earnings Model'!AN283</f>
        <v>0</v>
      </c>
      <c r="AO283" s="169">
        <f>'Earnings Model (adjusted)'!AO283-'Earnings Model'!AO283</f>
        <v>0</v>
      </c>
      <c r="AP283" s="169">
        <f>'Earnings Model (adjusted)'!AP283-'Earnings Model'!AP283</f>
        <v>0</v>
      </c>
      <c r="AQ283" s="169">
        <f>'Earnings Model (adjusted)'!AQ283-'Earnings Model'!AQ283</f>
        <v>0</v>
      </c>
    </row>
    <row r="284" spans="1:43" outlineLevel="1" x14ac:dyDescent="0.25">
      <c r="A284" s="254"/>
      <c r="B284" s="539" t="s">
        <v>242</v>
      </c>
      <c r="C284" s="540"/>
      <c r="D284" s="34">
        <f t="shared" ref="D284:P284" si="179">+D187+D188+D193</f>
        <v>5256.8</v>
      </c>
      <c r="E284" s="34">
        <f t="shared" si="179"/>
        <v>2383.6000000000004</v>
      </c>
      <c r="F284" s="34">
        <f t="shared" si="179"/>
        <v>5058.1000000000022</v>
      </c>
      <c r="G284" s="34">
        <f t="shared" si="179"/>
        <v>2977.1000000000022</v>
      </c>
      <c r="H284" s="35">
        <f t="shared" si="179"/>
        <v>2977.1000000000022</v>
      </c>
      <c r="I284" s="34">
        <f t="shared" si="179"/>
        <v>3308.7000000000039</v>
      </c>
      <c r="J284" s="34">
        <f t="shared" si="179"/>
        <v>2824.0000000000032</v>
      </c>
      <c r="K284" s="34">
        <f>+K187+K188+K193</f>
        <v>4419.2000000000035</v>
      </c>
      <c r="L284" s="34">
        <f t="shared" si="179"/>
        <v>4838.2000000000062</v>
      </c>
      <c r="M284" s="35">
        <f t="shared" si="179"/>
        <v>4838.2000000000062</v>
      </c>
      <c r="N284" s="34">
        <f t="shared" si="179"/>
        <v>5454.4000000000096</v>
      </c>
      <c r="O284" s="34">
        <f t="shared" si="179"/>
        <v>4288.4000000000106</v>
      </c>
      <c r="P284" s="34">
        <f t="shared" si="179"/>
        <v>5192.6000000000095</v>
      </c>
      <c r="Q284" s="169">
        <f>'Earnings Model (adjusted)'!Q284-'Earnings Model'!Q284</f>
        <v>44.11367401924872</v>
      </c>
      <c r="R284" s="169">
        <f>'Earnings Model (adjusted)'!R284-'Earnings Model'!R284</f>
        <v>44.11367401924872</v>
      </c>
      <c r="S284" s="169">
        <f>'Earnings Model (adjusted)'!S284-'Earnings Model'!S284</f>
        <v>109.44611663875094</v>
      </c>
      <c r="T284" s="169">
        <f>'Earnings Model (adjusted)'!T284-'Earnings Model'!T284</f>
        <v>187.05471946183206</v>
      </c>
      <c r="U284" s="169">
        <f>'Earnings Model (adjusted)'!U284-'Earnings Model'!U284</f>
        <v>278.90107550385937</v>
      </c>
      <c r="V284" s="169">
        <f>'Earnings Model (adjusted)'!V284-'Earnings Model'!V284</f>
        <v>318.25723644996879</v>
      </c>
      <c r="W284" s="169">
        <f>'Earnings Model (adjusted)'!W284-'Earnings Model'!W284</f>
        <v>318.25723644996879</v>
      </c>
      <c r="X284" s="169">
        <f>'Earnings Model (adjusted)'!X284-'Earnings Model'!X284</f>
        <v>396.03487441079142</v>
      </c>
      <c r="Y284" s="169">
        <f>'Earnings Model (adjusted)'!Y284-'Earnings Model'!Y284</f>
        <v>475.64718451069029</v>
      </c>
      <c r="Z284" s="169">
        <f>'Earnings Model (adjusted)'!Z284-'Earnings Model'!Z284</f>
        <v>553.70622765418375</v>
      </c>
      <c r="AA284" s="169">
        <f>'Earnings Model (adjusted)'!AA284-'Earnings Model'!AA284</f>
        <v>652.23146819642125</v>
      </c>
      <c r="AB284" s="169">
        <f>'Earnings Model (adjusted)'!AB284-'Earnings Model'!AB284</f>
        <v>652.23146819642125</v>
      </c>
      <c r="AC284" s="169">
        <f>'Earnings Model (adjusted)'!AC284-'Earnings Model'!AC284</f>
        <v>722.95659848486594</v>
      </c>
      <c r="AD284" s="169">
        <f>'Earnings Model (adjusted)'!AD284-'Earnings Model'!AD284</f>
        <v>804.78503287287185</v>
      </c>
      <c r="AE284" s="169">
        <f>'Earnings Model (adjusted)'!AE284-'Earnings Model'!AE284</f>
        <v>880.98633071511995</v>
      </c>
      <c r="AF284" s="169">
        <f>'Earnings Model (adjusted)'!AF284-'Earnings Model'!AF284</f>
        <v>967.6127161415252</v>
      </c>
      <c r="AG284" s="169">
        <f>'Earnings Model (adjusted)'!AG284-'Earnings Model'!AG284</f>
        <v>967.6127161415252</v>
      </c>
      <c r="AH284" s="169">
        <f>'Earnings Model (adjusted)'!AH284-'Earnings Model'!AH284</f>
        <v>1068.9973428593794</v>
      </c>
      <c r="AI284" s="169">
        <f>'Earnings Model (adjusted)'!AI284-'Earnings Model'!AI284</f>
        <v>1168.7528371573862</v>
      </c>
      <c r="AJ284" s="169">
        <f>'Earnings Model (adjusted)'!AJ284-'Earnings Model'!AJ284</f>
        <v>1257.7382420390222</v>
      </c>
      <c r="AK284" s="169">
        <f>'Earnings Model (adjusted)'!AK284-'Earnings Model'!AK284</f>
        <v>1354.5761202151016</v>
      </c>
      <c r="AL284" s="169">
        <f>'Earnings Model (adjusted)'!AL284-'Earnings Model'!AL284</f>
        <v>1354.5761202151016</v>
      </c>
      <c r="AM284" s="169">
        <f>'Earnings Model (adjusted)'!AM284-'Earnings Model'!AM284</f>
        <v>1462.8084197538737</v>
      </c>
      <c r="AN284" s="169">
        <f>'Earnings Model (adjusted)'!AN284-'Earnings Model'!AN284</f>
        <v>1566.9482979891309</v>
      </c>
      <c r="AO284" s="169">
        <f>'Earnings Model (adjusted)'!AO284-'Earnings Model'!AO284</f>
        <v>1650.3956646189354</v>
      </c>
      <c r="AP284" s="169">
        <f>'Earnings Model (adjusted)'!AP284-'Earnings Model'!AP284</f>
        <v>1749.7933500640174</v>
      </c>
      <c r="AQ284" s="169">
        <f>'Earnings Model (adjusted)'!AQ284-'Earnings Model'!AQ284</f>
        <v>1749.7933500640174</v>
      </c>
    </row>
    <row r="285" spans="1:43" outlineLevel="1" x14ac:dyDescent="0.25">
      <c r="A285" s="254"/>
      <c r="B285" s="539" t="s">
        <v>73</v>
      </c>
      <c r="C285" s="540"/>
      <c r="D285" s="34">
        <f t="shared" ref="D285:P285" si="180">D209+D212</f>
        <v>9130.7000000000007</v>
      </c>
      <c r="E285" s="34">
        <f t="shared" si="180"/>
        <v>9216.5</v>
      </c>
      <c r="F285" s="34">
        <f t="shared" si="180"/>
        <v>11159.1</v>
      </c>
      <c r="G285" s="34">
        <f t="shared" si="180"/>
        <v>11167</v>
      </c>
      <c r="H285" s="35">
        <f t="shared" si="180"/>
        <v>11167</v>
      </c>
      <c r="I285" s="34">
        <f t="shared" si="180"/>
        <v>11649.800000000001</v>
      </c>
      <c r="J285" s="34">
        <f t="shared" si="180"/>
        <v>14015.2</v>
      </c>
      <c r="K285" s="34">
        <f>K209+K212</f>
        <v>16831.7</v>
      </c>
      <c r="L285" s="34">
        <f t="shared" si="180"/>
        <v>16348.300000000001</v>
      </c>
      <c r="M285" s="35">
        <f t="shared" si="180"/>
        <v>16348.300000000001</v>
      </c>
      <c r="N285" s="34">
        <f t="shared" si="180"/>
        <v>15916.1</v>
      </c>
      <c r="O285" s="34">
        <f t="shared" si="180"/>
        <v>14648.599999999999</v>
      </c>
      <c r="P285" s="34">
        <f t="shared" si="180"/>
        <v>14618.1</v>
      </c>
      <c r="Q285" s="169">
        <f>'Earnings Model (adjusted)'!Q285-'Earnings Model'!Q285</f>
        <v>0</v>
      </c>
      <c r="R285" s="169">
        <f>'Earnings Model (adjusted)'!R285-'Earnings Model'!R285</f>
        <v>0</v>
      </c>
      <c r="S285" s="169">
        <f>'Earnings Model (adjusted)'!S285-'Earnings Model'!S285</f>
        <v>0</v>
      </c>
      <c r="T285" s="169">
        <f>'Earnings Model (adjusted)'!T285-'Earnings Model'!T285</f>
        <v>0</v>
      </c>
      <c r="U285" s="169">
        <f>'Earnings Model (adjusted)'!U285-'Earnings Model'!U285</f>
        <v>0</v>
      </c>
      <c r="V285" s="169">
        <f>'Earnings Model (adjusted)'!V285-'Earnings Model'!V285</f>
        <v>0</v>
      </c>
      <c r="W285" s="169">
        <f>'Earnings Model (adjusted)'!W285-'Earnings Model'!W285</f>
        <v>0</v>
      </c>
      <c r="X285" s="169">
        <f>'Earnings Model (adjusted)'!X285-'Earnings Model'!X285</f>
        <v>0</v>
      </c>
      <c r="Y285" s="169">
        <f>'Earnings Model (adjusted)'!Y285-'Earnings Model'!Y285</f>
        <v>0</v>
      </c>
      <c r="Z285" s="169">
        <f>'Earnings Model (adjusted)'!Z285-'Earnings Model'!Z285</f>
        <v>0</v>
      </c>
      <c r="AA285" s="169">
        <f>'Earnings Model (adjusted)'!AA285-'Earnings Model'!AA285</f>
        <v>0</v>
      </c>
      <c r="AB285" s="169">
        <f>'Earnings Model (adjusted)'!AB285-'Earnings Model'!AB285</f>
        <v>0</v>
      </c>
      <c r="AC285" s="169">
        <f>'Earnings Model (adjusted)'!AC285-'Earnings Model'!AC285</f>
        <v>0</v>
      </c>
      <c r="AD285" s="169">
        <f>'Earnings Model (adjusted)'!AD285-'Earnings Model'!AD285</f>
        <v>0</v>
      </c>
      <c r="AE285" s="169">
        <f>'Earnings Model (adjusted)'!AE285-'Earnings Model'!AE285</f>
        <v>0</v>
      </c>
      <c r="AF285" s="169">
        <f>'Earnings Model (adjusted)'!AF285-'Earnings Model'!AF285</f>
        <v>0</v>
      </c>
      <c r="AG285" s="169">
        <f>'Earnings Model (adjusted)'!AG285-'Earnings Model'!AG285</f>
        <v>0</v>
      </c>
      <c r="AH285" s="169">
        <f>'Earnings Model (adjusted)'!AH285-'Earnings Model'!AH285</f>
        <v>0</v>
      </c>
      <c r="AI285" s="169">
        <f>'Earnings Model (adjusted)'!AI285-'Earnings Model'!AI285</f>
        <v>0</v>
      </c>
      <c r="AJ285" s="169">
        <f>'Earnings Model (adjusted)'!AJ285-'Earnings Model'!AJ285</f>
        <v>0</v>
      </c>
      <c r="AK285" s="169">
        <f>'Earnings Model (adjusted)'!AK285-'Earnings Model'!AK285</f>
        <v>0</v>
      </c>
      <c r="AL285" s="169">
        <f>'Earnings Model (adjusted)'!AL285-'Earnings Model'!AL285</f>
        <v>0</v>
      </c>
      <c r="AM285" s="169">
        <f>'Earnings Model (adjusted)'!AM285-'Earnings Model'!AM285</f>
        <v>0</v>
      </c>
      <c r="AN285" s="169">
        <f>'Earnings Model (adjusted)'!AN285-'Earnings Model'!AN285</f>
        <v>0</v>
      </c>
      <c r="AO285" s="169">
        <f>'Earnings Model (adjusted)'!AO285-'Earnings Model'!AO285</f>
        <v>0</v>
      </c>
      <c r="AP285" s="169">
        <f>'Earnings Model (adjusted)'!AP285-'Earnings Model'!AP285</f>
        <v>0</v>
      </c>
      <c r="AQ285" s="169">
        <f>'Earnings Model (adjusted)'!AQ285-'Earnings Model'!AQ285</f>
        <v>0</v>
      </c>
    </row>
    <row r="286" spans="1:43" outlineLevel="1" x14ac:dyDescent="0.25">
      <c r="A286" s="254"/>
      <c r="B286" s="634" t="s">
        <v>74</v>
      </c>
      <c r="C286" s="635"/>
      <c r="D286" s="71">
        <f t="shared" ref="D286:P286" si="181">(D284-D285)/D39</f>
        <v>-3.0907132599329823</v>
      </c>
      <c r="E286" s="71">
        <f t="shared" si="181"/>
        <v>-5.4632605740785154</v>
      </c>
      <c r="F286" s="71">
        <f t="shared" si="181"/>
        <v>-4.9885527391659839</v>
      </c>
      <c r="G286" s="71">
        <f t="shared" si="181"/>
        <v>-6.6975821179389685</v>
      </c>
      <c r="H286" s="72">
        <f t="shared" si="181"/>
        <v>-6.6411774245864397</v>
      </c>
      <c r="I286" s="71">
        <f t="shared" si="181"/>
        <v>-7.0034424853064623</v>
      </c>
      <c r="J286" s="71">
        <f t="shared" si="181"/>
        <v>-9.4784449902600123</v>
      </c>
      <c r="K286" s="71">
        <f t="shared" si="181"/>
        <v>-10.62259306803594</v>
      </c>
      <c r="L286" s="71">
        <f t="shared" si="181"/>
        <v>-9.7625954198473242</v>
      </c>
      <c r="M286" s="72">
        <f t="shared" si="181"/>
        <v>-9.6019593007244595</v>
      </c>
      <c r="N286" s="71">
        <f t="shared" si="181"/>
        <v>-8.8433643279797032</v>
      </c>
      <c r="O286" s="71">
        <f t="shared" si="181"/>
        <v>-8.7442606347062704</v>
      </c>
      <c r="P286" s="71">
        <f t="shared" si="181"/>
        <v>-7.9459618951272892</v>
      </c>
      <c r="Q286" s="169">
        <f>'Earnings Model (adjusted)'!Q286-'Earnings Model'!Q286</f>
        <v>3.7145177307547073E-2</v>
      </c>
      <c r="R286" s="169">
        <f>'Earnings Model (adjusted)'!R286-'Earnings Model'!R286</f>
        <v>3.7321136842859204E-2</v>
      </c>
      <c r="S286" s="169">
        <f>'Earnings Model (adjusted)'!S286-'Earnings Model'!S286</f>
        <v>9.2372196956787889E-2</v>
      </c>
      <c r="T286" s="169">
        <f>'Earnings Model (adjusted)'!T286-'Earnings Model'!T286</f>
        <v>0.1582431278430585</v>
      </c>
      <c r="U286" s="169">
        <f>'Earnings Model (adjusted)'!U286-'Earnings Model'!U286</f>
        <v>0.23649678035706767</v>
      </c>
      <c r="V286" s="169">
        <f>'Earnings Model (adjusted)'!V286-'Earnings Model'!V286</f>
        <v>0.27050530715804211</v>
      </c>
      <c r="W286" s="169">
        <f>'Earnings Model (adjusted)'!W286-'Earnings Model'!W286</f>
        <v>0.26987922970005229</v>
      </c>
      <c r="X286" s="169">
        <f>'Earnings Model (adjusted)'!X286-'Earnings Model'!X286</f>
        <v>0.337409276338418</v>
      </c>
      <c r="Y286" s="169">
        <f>'Earnings Model (adjusted)'!Y286-'Earnings Model'!Y286</f>
        <v>0.40619843789056365</v>
      </c>
      <c r="Z286" s="169">
        <f>'Earnings Model (adjusted)'!Z286-'Earnings Model'!Z286</f>
        <v>0.47398666810672996</v>
      </c>
      <c r="AA286" s="169">
        <f>'Earnings Model (adjusted)'!AA286-'Earnings Model'!AA286</f>
        <v>0.55966166042234278</v>
      </c>
      <c r="AB286" s="169">
        <f>'Earnings Model (adjusted)'!AB286-'Earnings Model'!AB286</f>
        <v>0.55785130645378356</v>
      </c>
      <c r="AC286" s="169">
        <f>'Earnings Model (adjusted)'!AC286-'Earnings Model'!AC286</f>
        <v>0.62072509478567373</v>
      </c>
      <c r="AD286" s="169">
        <f>'Earnings Model (adjusted)'!AD286-'Earnings Model'!AD286</f>
        <v>0.69140212317406124</v>
      </c>
      <c r="AE286" s="169">
        <f>'Earnings Model (adjusted)'!AE286-'Earnings Model'!AE286</f>
        <v>0.75732832538971895</v>
      </c>
      <c r="AF286" s="169">
        <f>'Earnings Model (adjusted)'!AF286-'Earnings Model'!AF286</f>
        <v>0.83230266170130474</v>
      </c>
      <c r="AG286" s="169">
        <f>'Earnings Model (adjusted)'!AG286-'Earnings Model'!AG286</f>
        <v>0.83160664772299686</v>
      </c>
      <c r="AH286" s="169">
        <f>'Earnings Model (adjusted)'!AH286-'Earnings Model'!AH286</f>
        <v>0.92007133936777219</v>
      </c>
      <c r="AI286" s="169">
        <f>'Earnings Model (adjusted)'!AI286-'Earnings Model'!AI286</f>
        <v>1.0065449883987294</v>
      </c>
      <c r="AJ286" s="169">
        <f>'Earnings Model (adjusted)'!AJ286-'Earnings Model'!AJ286</f>
        <v>1.0838442836301914</v>
      </c>
      <c r="AK286" s="169">
        <f>'Earnings Model (adjusted)'!AK286-'Earnings Model'!AK286</f>
        <v>1.1680101886175795</v>
      </c>
      <c r="AL286" s="169">
        <f>'Earnings Model (adjusted)'!AL286-'Earnings Model'!AL286</f>
        <v>1.1670011639989983</v>
      </c>
      <c r="AM286" s="169">
        <f>'Earnings Model (adjusted)'!AM286-'Earnings Model'!AM286</f>
        <v>1.262111538200454</v>
      </c>
      <c r="AN286" s="169">
        <f>'Earnings Model (adjusted)'!AN286-'Earnings Model'!AN286</f>
        <v>1.3527965982364125</v>
      </c>
      <c r="AO286" s="169">
        <f>'Earnings Model (adjusted)'!AO286-'Earnings Model'!AO286</f>
        <v>1.4257190116176457</v>
      </c>
      <c r="AP286" s="169">
        <f>'Earnings Model (adjusted)'!AP286-'Earnings Model'!AP286</f>
        <v>1.5125200562528953</v>
      </c>
      <c r="AQ286" s="169">
        <f>'Earnings Model (adjusted)'!AQ286-'Earnings Model'!AQ286</f>
        <v>1.5111786855010303</v>
      </c>
    </row>
    <row r="287" spans="1:43" x14ac:dyDescent="0.25">
      <c r="A287" s="254"/>
      <c r="B287" s="636"/>
      <c r="C287" s="636"/>
      <c r="D287" s="27"/>
      <c r="E287" s="27"/>
      <c r="F287" s="27"/>
      <c r="G287" s="27"/>
      <c r="H287" s="27"/>
      <c r="I287" s="27"/>
      <c r="J287" s="27"/>
      <c r="K287" s="27"/>
      <c r="L287" s="27"/>
      <c r="M287" s="27"/>
      <c r="N287" s="27"/>
      <c r="O287" s="27"/>
      <c r="P287" s="27"/>
      <c r="Q287" s="169">
        <f>'Earnings Model (adjusted)'!Q287-'Earnings Model'!Q287</f>
        <v>0</v>
      </c>
      <c r="R287" s="169">
        <f>'Earnings Model (adjusted)'!R287-'Earnings Model'!R287</f>
        <v>0</v>
      </c>
      <c r="S287" s="169">
        <f>'Earnings Model (adjusted)'!S287-'Earnings Model'!S287</f>
        <v>0</v>
      </c>
      <c r="T287" s="169">
        <f>'Earnings Model (adjusted)'!T287-'Earnings Model'!T287</f>
        <v>0</v>
      </c>
      <c r="U287" s="169">
        <f>'Earnings Model (adjusted)'!U287-'Earnings Model'!U287</f>
        <v>0</v>
      </c>
      <c r="V287" s="169">
        <f>'Earnings Model (adjusted)'!V287-'Earnings Model'!V287</f>
        <v>0</v>
      </c>
      <c r="W287" s="169">
        <f>'Earnings Model (adjusted)'!W287-'Earnings Model'!W287</f>
        <v>0</v>
      </c>
      <c r="X287" s="169">
        <f>'Earnings Model (adjusted)'!X287-'Earnings Model'!X287</f>
        <v>0</v>
      </c>
      <c r="Y287" s="169">
        <f>'Earnings Model (adjusted)'!Y287-'Earnings Model'!Y287</f>
        <v>0</v>
      </c>
      <c r="Z287" s="169">
        <f>'Earnings Model (adjusted)'!Z287-'Earnings Model'!Z287</f>
        <v>0</v>
      </c>
      <c r="AA287" s="169">
        <f>'Earnings Model (adjusted)'!AA287-'Earnings Model'!AA287</f>
        <v>0</v>
      </c>
      <c r="AB287" s="169">
        <f>'Earnings Model (adjusted)'!AB287-'Earnings Model'!AB287</f>
        <v>0</v>
      </c>
      <c r="AC287" s="169">
        <f>'Earnings Model (adjusted)'!AC287-'Earnings Model'!AC287</f>
        <v>0</v>
      </c>
      <c r="AD287" s="169">
        <f>'Earnings Model (adjusted)'!AD287-'Earnings Model'!AD287</f>
        <v>0</v>
      </c>
      <c r="AE287" s="169">
        <f>'Earnings Model (adjusted)'!AE287-'Earnings Model'!AE287</f>
        <v>0</v>
      </c>
      <c r="AF287" s="169">
        <f>'Earnings Model (adjusted)'!AF287-'Earnings Model'!AF287</f>
        <v>0</v>
      </c>
      <c r="AG287" s="169">
        <f>'Earnings Model (adjusted)'!AG287-'Earnings Model'!AG287</f>
        <v>0</v>
      </c>
      <c r="AH287" s="169">
        <f>'Earnings Model (adjusted)'!AH287-'Earnings Model'!AH287</f>
        <v>0</v>
      </c>
      <c r="AI287" s="169">
        <f>'Earnings Model (adjusted)'!AI287-'Earnings Model'!AI287</f>
        <v>0</v>
      </c>
      <c r="AJ287" s="169">
        <f>'Earnings Model (adjusted)'!AJ287-'Earnings Model'!AJ287</f>
        <v>0</v>
      </c>
      <c r="AK287" s="169">
        <f>'Earnings Model (adjusted)'!AK287-'Earnings Model'!AK287</f>
        <v>0</v>
      </c>
      <c r="AL287" s="169">
        <f>'Earnings Model (adjusted)'!AL287-'Earnings Model'!AL287</f>
        <v>0</v>
      </c>
      <c r="AM287" s="169">
        <f>'Earnings Model (adjusted)'!AM287-'Earnings Model'!AM287</f>
        <v>0</v>
      </c>
      <c r="AN287" s="169">
        <f>'Earnings Model (adjusted)'!AN287-'Earnings Model'!AN287</f>
        <v>0</v>
      </c>
      <c r="AO287" s="169">
        <f>'Earnings Model (adjusted)'!AO287-'Earnings Model'!AO287</f>
        <v>0</v>
      </c>
      <c r="AP287" s="169">
        <f>'Earnings Model (adjusted)'!AP287-'Earnings Model'!AP287</f>
        <v>0</v>
      </c>
      <c r="AQ287" s="169">
        <f>'Earnings Model (adjusted)'!AQ287-'Earnings Model'!AQ287</f>
        <v>0</v>
      </c>
    </row>
    <row r="288" spans="1:43" ht="15.75" x14ac:dyDescent="0.25">
      <c r="A288" s="254"/>
      <c r="B288" s="565" t="s">
        <v>23</v>
      </c>
      <c r="C288" s="566"/>
      <c r="D288" s="31" t="s">
        <v>106</v>
      </c>
      <c r="E288" s="31" t="s">
        <v>244</v>
      </c>
      <c r="F288" s="31" t="s">
        <v>246</v>
      </c>
      <c r="G288" s="31" t="s">
        <v>337</v>
      </c>
      <c r="H288" s="85" t="s">
        <v>337</v>
      </c>
      <c r="I288" s="31" t="s">
        <v>336</v>
      </c>
      <c r="J288" s="31" t="s">
        <v>335</v>
      </c>
      <c r="K288" s="31" t="s">
        <v>334</v>
      </c>
      <c r="L288" s="31" t="s">
        <v>321</v>
      </c>
      <c r="M288" s="85" t="s">
        <v>321</v>
      </c>
      <c r="N288" s="31" t="s">
        <v>338</v>
      </c>
      <c r="O288" s="31" t="s">
        <v>346</v>
      </c>
      <c r="P288" s="31" t="s">
        <v>348</v>
      </c>
      <c r="Q288" s="169" t="e">
        <f>'Earnings Model (adjusted)'!Q288-'Earnings Model'!Q288</f>
        <v>#VALUE!</v>
      </c>
      <c r="R288" s="169" t="e">
        <f>'Earnings Model (adjusted)'!R288-'Earnings Model'!R288</f>
        <v>#VALUE!</v>
      </c>
      <c r="S288" s="169" t="e">
        <f>'Earnings Model (adjusted)'!S288-'Earnings Model'!S288</f>
        <v>#VALUE!</v>
      </c>
      <c r="T288" s="169" t="e">
        <f>'Earnings Model (adjusted)'!T288-'Earnings Model'!T288</f>
        <v>#VALUE!</v>
      </c>
      <c r="U288" s="169" t="e">
        <f>'Earnings Model (adjusted)'!U288-'Earnings Model'!U288</f>
        <v>#VALUE!</v>
      </c>
      <c r="V288" s="169" t="e">
        <f>'Earnings Model (adjusted)'!V288-'Earnings Model'!V288</f>
        <v>#VALUE!</v>
      </c>
      <c r="W288" s="169" t="e">
        <f>'Earnings Model (adjusted)'!W288-'Earnings Model'!W288</f>
        <v>#VALUE!</v>
      </c>
      <c r="X288" s="169" t="e">
        <f>'Earnings Model (adjusted)'!X288-'Earnings Model'!X288</f>
        <v>#VALUE!</v>
      </c>
      <c r="Y288" s="169" t="e">
        <f>'Earnings Model (adjusted)'!Y288-'Earnings Model'!Y288</f>
        <v>#VALUE!</v>
      </c>
      <c r="Z288" s="169" t="e">
        <f>'Earnings Model (adjusted)'!Z288-'Earnings Model'!Z288</f>
        <v>#VALUE!</v>
      </c>
      <c r="AA288" s="169" t="e">
        <f>'Earnings Model (adjusted)'!AA288-'Earnings Model'!AA288</f>
        <v>#VALUE!</v>
      </c>
      <c r="AB288" s="169" t="e">
        <f>'Earnings Model (adjusted)'!AB288-'Earnings Model'!AB288</f>
        <v>#VALUE!</v>
      </c>
      <c r="AC288" s="169" t="e">
        <f>'Earnings Model (adjusted)'!AC288-'Earnings Model'!AC288</f>
        <v>#VALUE!</v>
      </c>
      <c r="AD288" s="169" t="e">
        <f>'Earnings Model (adjusted)'!AD288-'Earnings Model'!AD288</f>
        <v>#VALUE!</v>
      </c>
      <c r="AE288" s="169" t="e">
        <f>'Earnings Model (adjusted)'!AE288-'Earnings Model'!AE288</f>
        <v>#VALUE!</v>
      </c>
      <c r="AF288" s="169" t="e">
        <f>'Earnings Model (adjusted)'!AF288-'Earnings Model'!AF288</f>
        <v>#VALUE!</v>
      </c>
      <c r="AG288" s="169" t="e">
        <f>'Earnings Model (adjusted)'!AG288-'Earnings Model'!AG288</f>
        <v>#VALUE!</v>
      </c>
      <c r="AH288" s="169" t="e">
        <f>'Earnings Model (adjusted)'!AH288-'Earnings Model'!AH288</f>
        <v>#VALUE!</v>
      </c>
      <c r="AI288" s="169" t="e">
        <f>'Earnings Model (adjusted)'!AI288-'Earnings Model'!AI288</f>
        <v>#VALUE!</v>
      </c>
      <c r="AJ288" s="169" t="e">
        <f>'Earnings Model (adjusted)'!AJ288-'Earnings Model'!AJ288</f>
        <v>#VALUE!</v>
      </c>
      <c r="AK288" s="169" t="e">
        <f>'Earnings Model (adjusted)'!AK288-'Earnings Model'!AK288</f>
        <v>#VALUE!</v>
      </c>
      <c r="AL288" s="169" t="e">
        <f>'Earnings Model (adjusted)'!AL288-'Earnings Model'!AL288</f>
        <v>#VALUE!</v>
      </c>
      <c r="AM288" s="169" t="e">
        <f>'Earnings Model (adjusted)'!AM288-'Earnings Model'!AM288</f>
        <v>#VALUE!</v>
      </c>
      <c r="AN288" s="169" t="e">
        <f>'Earnings Model (adjusted)'!AN288-'Earnings Model'!AN288</f>
        <v>#VALUE!</v>
      </c>
      <c r="AO288" s="169" t="e">
        <f>'Earnings Model (adjusted)'!AO288-'Earnings Model'!AO288</f>
        <v>#VALUE!</v>
      </c>
      <c r="AP288" s="169" t="e">
        <f>'Earnings Model (adjusted)'!AP288-'Earnings Model'!AP288</f>
        <v>#VALUE!</v>
      </c>
      <c r="AQ288" s="169" t="e">
        <f>'Earnings Model (adjusted)'!AQ288-'Earnings Model'!AQ288</f>
        <v>#VALUE!</v>
      </c>
    </row>
    <row r="289" spans="1:43" ht="17.25" x14ac:dyDescent="0.4">
      <c r="A289" s="254"/>
      <c r="B289" s="567"/>
      <c r="C289" s="568"/>
      <c r="D289" s="32" t="s">
        <v>119</v>
      </c>
      <c r="E289" s="32" t="s">
        <v>243</v>
      </c>
      <c r="F289" s="32" t="s">
        <v>247</v>
      </c>
      <c r="G289" s="32" t="s">
        <v>257</v>
      </c>
      <c r="H289" s="86" t="s">
        <v>258</v>
      </c>
      <c r="I289" s="32" t="s">
        <v>259</v>
      </c>
      <c r="J289" s="32" t="s">
        <v>260</v>
      </c>
      <c r="K289" s="32" t="s">
        <v>261</v>
      </c>
      <c r="L289" s="32" t="s">
        <v>322</v>
      </c>
      <c r="M289" s="86" t="s">
        <v>333</v>
      </c>
      <c r="N289" s="32" t="s">
        <v>339</v>
      </c>
      <c r="O289" s="32" t="s">
        <v>347</v>
      </c>
      <c r="P289" s="32" t="s">
        <v>349</v>
      </c>
      <c r="Q289" s="169" t="e">
        <f>'Earnings Model (adjusted)'!Q289-'Earnings Model'!Q289</f>
        <v>#VALUE!</v>
      </c>
      <c r="R289" s="169" t="e">
        <f>'Earnings Model (adjusted)'!R289-'Earnings Model'!R289</f>
        <v>#VALUE!</v>
      </c>
      <c r="S289" s="169" t="e">
        <f>'Earnings Model (adjusted)'!S289-'Earnings Model'!S289</f>
        <v>#VALUE!</v>
      </c>
      <c r="T289" s="169" t="e">
        <f>'Earnings Model (adjusted)'!T289-'Earnings Model'!T289</f>
        <v>#VALUE!</v>
      </c>
      <c r="U289" s="169" t="e">
        <f>'Earnings Model (adjusted)'!U289-'Earnings Model'!U289</f>
        <v>#VALUE!</v>
      </c>
      <c r="V289" s="169" t="e">
        <f>'Earnings Model (adjusted)'!V289-'Earnings Model'!V289</f>
        <v>#VALUE!</v>
      </c>
      <c r="W289" s="169" t="e">
        <f>'Earnings Model (adjusted)'!W289-'Earnings Model'!W289</f>
        <v>#VALUE!</v>
      </c>
      <c r="X289" s="169" t="e">
        <f>'Earnings Model (adjusted)'!X289-'Earnings Model'!X289</f>
        <v>#VALUE!</v>
      </c>
      <c r="Y289" s="169" t="e">
        <f>'Earnings Model (adjusted)'!Y289-'Earnings Model'!Y289</f>
        <v>#VALUE!</v>
      </c>
      <c r="Z289" s="169" t="e">
        <f>'Earnings Model (adjusted)'!Z289-'Earnings Model'!Z289</f>
        <v>#VALUE!</v>
      </c>
      <c r="AA289" s="169" t="e">
        <f>'Earnings Model (adjusted)'!AA289-'Earnings Model'!AA289</f>
        <v>#VALUE!</v>
      </c>
      <c r="AB289" s="169" t="e">
        <f>'Earnings Model (adjusted)'!AB289-'Earnings Model'!AB289</f>
        <v>#VALUE!</v>
      </c>
      <c r="AC289" s="169" t="e">
        <f>'Earnings Model (adjusted)'!AC289-'Earnings Model'!AC289</f>
        <v>#VALUE!</v>
      </c>
      <c r="AD289" s="169" t="e">
        <f>'Earnings Model (adjusted)'!AD289-'Earnings Model'!AD289</f>
        <v>#VALUE!</v>
      </c>
      <c r="AE289" s="169" t="e">
        <f>'Earnings Model (adjusted)'!AE289-'Earnings Model'!AE289</f>
        <v>#VALUE!</v>
      </c>
      <c r="AF289" s="169" t="e">
        <f>'Earnings Model (adjusted)'!AF289-'Earnings Model'!AF289</f>
        <v>#VALUE!</v>
      </c>
      <c r="AG289" s="169" t="e">
        <f>'Earnings Model (adjusted)'!AG289-'Earnings Model'!AG289</f>
        <v>#VALUE!</v>
      </c>
      <c r="AH289" s="169" t="e">
        <f>'Earnings Model (adjusted)'!AH289-'Earnings Model'!AH289</f>
        <v>#VALUE!</v>
      </c>
      <c r="AI289" s="169" t="e">
        <f>'Earnings Model (adjusted)'!AI289-'Earnings Model'!AI289</f>
        <v>#VALUE!</v>
      </c>
      <c r="AJ289" s="169" t="e">
        <f>'Earnings Model (adjusted)'!AJ289-'Earnings Model'!AJ289</f>
        <v>#VALUE!</v>
      </c>
      <c r="AK289" s="169" t="e">
        <f>'Earnings Model (adjusted)'!AK289-'Earnings Model'!AK289</f>
        <v>#VALUE!</v>
      </c>
      <c r="AL289" s="169" t="e">
        <f>'Earnings Model (adjusted)'!AL289-'Earnings Model'!AL289</f>
        <v>#VALUE!</v>
      </c>
      <c r="AM289" s="169" t="e">
        <f>'Earnings Model (adjusted)'!AM289-'Earnings Model'!AM289</f>
        <v>#VALUE!</v>
      </c>
      <c r="AN289" s="169" t="e">
        <f>'Earnings Model (adjusted)'!AN289-'Earnings Model'!AN289</f>
        <v>#VALUE!</v>
      </c>
      <c r="AO289" s="169" t="e">
        <f>'Earnings Model (adjusted)'!AO289-'Earnings Model'!AO289</f>
        <v>#VALUE!</v>
      </c>
      <c r="AP289" s="169" t="e">
        <f>'Earnings Model (adjusted)'!AP289-'Earnings Model'!AP289</f>
        <v>#VALUE!</v>
      </c>
      <c r="AQ289" s="169" t="e">
        <f>'Earnings Model (adjusted)'!AQ289-'Earnings Model'!AQ289</f>
        <v>#VALUE!</v>
      </c>
    </row>
    <row r="290" spans="1:43" ht="17.25" outlineLevel="1" x14ac:dyDescent="0.4">
      <c r="A290" s="254"/>
      <c r="B290" s="589" t="s">
        <v>76</v>
      </c>
      <c r="C290" s="590"/>
      <c r="D290" s="16"/>
      <c r="E290" s="16"/>
      <c r="F290" s="16"/>
      <c r="G290" s="16"/>
      <c r="H290" s="17"/>
      <c r="I290" s="16"/>
      <c r="J290" s="16"/>
      <c r="K290" s="16"/>
      <c r="L290" s="16"/>
      <c r="M290" s="17"/>
      <c r="N290" s="16"/>
      <c r="O290" s="16"/>
      <c r="P290" s="16"/>
      <c r="Q290" s="169">
        <f>'Earnings Model (adjusted)'!Q290-'Earnings Model'!Q290</f>
        <v>0</v>
      </c>
      <c r="R290" s="169">
        <f>'Earnings Model (adjusted)'!R290-'Earnings Model'!R290</f>
        <v>0</v>
      </c>
      <c r="S290" s="169">
        <f>'Earnings Model (adjusted)'!S290-'Earnings Model'!S290</f>
        <v>0</v>
      </c>
      <c r="T290" s="169">
        <f>'Earnings Model (adjusted)'!T290-'Earnings Model'!T290</f>
        <v>0</v>
      </c>
      <c r="U290" s="169">
        <f>'Earnings Model (adjusted)'!U290-'Earnings Model'!U290</f>
        <v>0</v>
      </c>
      <c r="V290" s="169">
        <f>'Earnings Model (adjusted)'!V290-'Earnings Model'!V290</f>
        <v>0</v>
      </c>
      <c r="W290" s="169">
        <f>'Earnings Model (adjusted)'!W290-'Earnings Model'!W290</f>
        <v>0</v>
      </c>
      <c r="X290" s="169">
        <f>'Earnings Model (adjusted)'!X290-'Earnings Model'!X290</f>
        <v>0</v>
      </c>
      <c r="Y290" s="169">
        <f>'Earnings Model (adjusted)'!Y290-'Earnings Model'!Y290</f>
        <v>0</v>
      </c>
      <c r="Z290" s="169">
        <f>'Earnings Model (adjusted)'!Z290-'Earnings Model'!Z290</f>
        <v>0</v>
      </c>
      <c r="AA290" s="169">
        <f>'Earnings Model (adjusted)'!AA290-'Earnings Model'!AA290</f>
        <v>0</v>
      </c>
      <c r="AB290" s="169">
        <f>'Earnings Model (adjusted)'!AB290-'Earnings Model'!AB290</f>
        <v>0</v>
      </c>
      <c r="AC290" s="169">
        <f>'Earnings Model (adjusted)'!AC290-'Earnings Model'!AC290</f>
        <v>0</v>
      </c>
      <c r="AD290" s="169">
        <f>'Earnings Model (adjusted)'!AD290-'Earnings Model'!AD290</f>
        <v>0</v>
      </c>
      <c r="AE290" s="169">
        <f>'Earnings Model (adjusted)'!AE290-'Earnings Model'!AE290</f>
        <v>0</v>
      </c>
      <c r="AF290" s="169">
        <f>'Earnings Model (adjusted)'!AF290-'Earnings Model'!AF290</f>
        <v>0</v>
      </c>
      <c r="AG290" s="169">
        <f>'Earnings Model (adjusted)'!AG290-'Earnings Model'!AG290</f>
        <v>0</v>
      </c>
      <c r="AH290" s="169">
        <f>'Earnings Model (adjusted)'!AH290-'Earnings Model'!AH290</f>
        <v>0</v>
      </c>
      <c r="AI290" s="169">
        <f>'Earnings Model (adjusted)'!AI290-'Earnings Model'!AI290</f>
        <v>0</v>
      </c>
      <c r="AJ290" s="169">
        <f>'Earnings Model (adjusted)'!AJ290-'Earnings Model'!AJ290</f>
        <v>0</v>
      </c>
      <c r="AK290" s="169">
        <f>'Earnings Model (adjusted)'!AK290-'Earnings Model'!AK290</f>
        <v>0</v>
      </c>
      <c r="AL290" s="169">
        <f>'Earnings Model (adjusted)'!AL290-'Earnings Model'!AL290</f>
        <v>0</v>
      </c>
      <c r="AM290" s="169">
        <f>'Earnings Model (adjusted)'!AM290-'Earnings Model'!AM290</f>
        <v>0</v>
      </c>
      <c r="AN290" s="169">
        <f>'Earnings Model (adjusted)'!AN290-'Earnings Model'!AN290</f>
        <v>0</v>
      </c>
      <c r="AO290" s="169">
        <f>'Earnings Model (adjusted)'!AO290-'Earnings Model'!AO290</f>
        <v>0</v>
      </c>
      <c r="AP290" s="169">
        <f>'Earnings Model (adjusted)'!AP290-'Earnings Model'!AP290</f>
        <v>0</v>
      </c>
      <c r="AQ290" s="169">
        <f>'Earnings Model (adjusted)'!AQ290-'Earnings Model'!AQ290</f>
        <v>0</v>
      </c>
    </row>
    <row r="291" spans="1:43" s="43" customFormat="1" outlineLevel="1" x14ac:dyDescent="0.25">
      <c r="A291" s="307"/>
      <c r="B291" s="539" t="s">
        <v>82</v>
      </c>
      <c r="C291" s="540"/>
      <c r="D291" s="49">
        <f t="shared" ref="D291:L291" si="182">D250/D16</f>
        <v>1.4669742337208073E-2</v>
      </c>
      <c r="E291" s="305">
        <f t="shared" si="182"/>
        <v>1.5033540018078308E-2</v>
      </c>
      <c r="F291" s="277">
        <f t="shared" si="182"/>
        <v>9.2774439396160081E-3</v>
      </c>
      <c r="G291" s="277">
        <f t="shared" si="182"/>
        <v>7.7960575070401619E-3</v>
      </c>
      <c r="H291" s="306">
        <f t="shared" si="182"/>
        <v>1.1618870857004896E-2</v>
      </c>
      <c r="I291" s="277">
        <f t="shared" si="182"/>
        <v>1.2723506784461259E-2</v>
      </c>
      <c r="J291" s="277">
        <f t="shared" si="182"/>
        <v>9.3900628783961833E-3</v>
      </c>
      <c r="K291" s="277">
        <f t="shared" si="182"/>
        <v>9.8055470026763899E-3</v>
      </c>
      <c r="L291" s="277">
        <f t="shared" si="182"/>
        <v>9.7693088939401224E-3</v>
      </c>
      <c r="M291" s="79"/>
      <c r="N291" s="277">
        <f>N250/N16</f>
        <v>1.4712418881678371E-2</v>
      </c>
      <c r="O291" s="277">
        <f t="shared" ref="O291:P291" si="183">O250/O16</f>
        <v>1.1397720455908821E-2</v>
      </c>
      <c r="P291" s="277">
        <f t="shared" si="183"/>
        <v>1.0671646768491964E-2</v>
      </c>
      <c r="Q291" s="169">
        <f>'Earnings Model (adjusted)'!Q291-'Earnings Model'!Q291</f>
        <v>0</v>
      </c>
      <c r="R291" s="169">
        <f>'Earnings Model (adjusted)'!R291-'Earnings Model'!R291</f>
        <v>0</v>
      </c>
      <c r="S291" s="169">
        <f>'Earnings Model (adjusted)'!S291-'Earnings Model'!S291</f>
        <v>0</v>
      </c>
      <c r="T291" s="169">
        <f>'Earnings Model (adjusted)'!T291-'Earnings Model'!T291</f>
        <v>0</v>
      </c>
      <c r="U291" s="169">
        <f>'Earnings Model (adjusted)'!U291-'Earnings Model'!U291</f>
        <v>0</v>
      </c>
      <c r="V291" s="169">
        <f>'Earnings Model (adjusted)'!V291-'Earnings Model'!V291</f>
        <v>0</v>
      </c>
      <c r="W291" s="169">
        <f>'Earnings Model (adjusted)'!W291-'Earnings Model'!W291</f>
        <v>0</v>
      </c>
      <c r="X291" s="169">
        <f>'Earnings Model (adjusted)'!X291-'Earnings Model'!X291</f>
        <v>0</v>
      </c>
      <c r="Y291" s="169">
        <f>'Earnings Model (adjusted)'!Y291-'Earnings Model'!Y291</f>
        <v>0</v>
      </c>
      <c r="Z291" s="169">
        <f>'Earnings Model (adjusted)'!Z291-'Earnings Model'!Z291</f>
        <v>0</v>
      </c>
      <c r="AA291" s="169">
        <f>'Earnings Model (adjusted)'!AA291-'Earnings Model'!AA291</f>
        <v>0</v>
      </c>
      <c r="AB291" s="169">
        <f>'Earnings Model (adjusted)'!AB291-'Earnings Model'!AB291</f>
        <v>0</v>
      </c>
      <c r="AC291" s="169">
        <f>'Earnings Model (adjusted)'!AC291-'Earnings Model'!AC291</f>
        <v>0</v>
      </c>
      <c r="AD291" s="169">
        <f>'Earnings Model (adjusted)'!AD291-'Earnings Model'!AD291</f>
        <v>0</v>
      </c>
      <c r="AE291" s="169">
        <f>'Earnings Model (adjusted)'!AE291-'Earnings Model'!AE291</f>
        <v>0</v>
      </c>
      <c r="AF291" s="169">
        <f>'Earnings Model (adjusted)'!AF291-'Earnings Model'!AF291</f>
        <v>0</v>
      </c>
      <c r="AG291" s="169">
        <f>'Earnings Model (adjusted)'!AG291-'Earnings Model'!AG291</f>
        <v>0</v>
      </c>
      <c r="AH291" s="169">
        <f>'Earnings Model (adjusted)'!AH291-'Earnings Model'!AH291</f>
        <v>0</v>
      </c>
      <c r="AI291" s="169">
        <f>'Earnings Model (adjusted)'!AI291-'Earnings Model'!AI291</f>
        <v>0</v>
      </c>
      <c r="AJ291" s="169">
        <f>'Earnings Model (adjusted)'!AJ291-'Earnings Model'!AJ291</f>
        <v>0</v>
      </c>
      <c r="AK291" s="169">
        <f>'Earnings Model (adjusted)'!AK291-'Earnings Model'!AK291</f>
        <v>0</v>
      </c>
      <c r="AL291" s="169">
        <f>'Earnings Model (adjusted)'!AL291-'Earnings Model'!AL291</f>
        <v>0</v>
      </c>
      <c r="AM291" s="169">
        <f>'Earnings Model (adjusted)'!AM291-'Earnings Model'!AM291</f>
        <v>0</v>
      </c>
      <c r="AN291" s="169">
        <f>'Earnings Model (adjusted)'!AN291-'Earnings Model'!AN291</f>
        <v>0</v>
      </c>
      <c r="AO291" s="169">
        <f>'Earnings Model (adjusted)'!AO291-'Earnings Model'!AO291</f>
        <v>0</v>
      </c>
      <c r="AP291" s="169">
        <f>'Earnings Model (adjusted)'!AP291-'Earnings Model'!AP291</f>
        <v>0</v>
      </c>
      <c r="AQ291" s="169">
        <f>'Earnings Model (adjusted)'!AQ291-'Earnings Model'!AQ291</f>
        <v>0</v>
      </c>
    </row>
    <row r="292" spans="1:43" s="43" customFormat="1" outlineLevel="1" x14ac:dyDescent="0.25">
      <c r="A292" s="307"/>
      <c r="B292" s="539" t="s">
        <v>231</v>
      </c>
      <c r="C292" s="540"/>
      <c r="D292" s="49">
        <f>+D248/-D247</f>
        <v>1.1581818181818182</v>
      </c>
      <c r="E292" s="49">
        <f>+E248/-E247</f>
        <v>0.55639097744360888</v>
      </c>
      <c r="F292" s="277">
        <f t="shared" ref="F292:L292" si="184">+F248/-F247</f>
        <v>1.0682852807283763</v>
      </c>
      <c r="G292" s="277">
        <f t="shared" si="184"/>
        <v>0.69411764705882406</v>
      </c>
      <c r="H292" s="306">
        <f t="shared" si="184"/>
        <v>0.86512370311252995</v>
      </c>
      <c r="I292" s="277">
        <f t="shared" si="184"/>
        <v>1.0222575516693164</v>
      </c>
      <c r="J292" s="277">
        <f t="shared" si="184"/>
        <v>0.63295880149812733</v>
      </c>
      <c r="K292" s="277">
        <f t="shared" si="184"/>
        <v>1.0227272727272729</v>
      </c>
      <c r="L292" s="277">
        <f t="shared" si="184"/>
        <v>0.63109756097560987</v>
      </c>
      <c r="M292" s="79"/>
      <c r="N292" s="277">
        <f t="shared" ref="N292:P292" si="185">+N248/-N247</f>
        <v>1.1188405797101451</v>
      </c>
      <c r="O292" s="277">
        <f t="shared" si="185"/>
        <v>0.85072231139646837</v>
      </c>
      <c r="P292" s="277">
        <f t="shared" si="185"/>
        <v>0.9018691588785045</v>
      </c>
      <c r="Q292" s="169">
        <f>'Earnings Model (adjusted)'!Q292-'Earnings Model'!Q292</f>
        <v>0</v>
      </c>
      <c r="R292" s="169">
        <f>'Earnings Model (adjusted)'!R292-'Earnings Model'!R292</f>
        <v>0</v>
      </c>
      <c r="S292" s="169">
        <f>'Earnings Model (adjusted)'!S292-'Earnings Model'!S292</f>
        <v>0</v>
      </c>
      <c r="T292" s="169">
        <f>'Earnings Model (adjusted)'!T292-'Earnings Model'!T292</f>
        <v>0</v>
      </c>
      <c r="U292" s="169">
        <f>'Earnings Model (adjusted)'!U292-'Earnings Model'!U292</f>
        <v>0</v>
      </c>
      <c r="V292" s="169">
        <f>'Earnings Model (adjusted)'!V292-'Earnings Model'!V292</f>
        <v>0</v>
      </c>
      <c r="W292" s="169">
        <f>'Earnings Model (adjusted)'!W292-'Earnings Model'!W292</f>
        <v>0</v>
      </c>
      <c r="X292" s="169">
        <f>'Earnings Model (adjusted)'!X292-'Earnings Model'!X292</f>
        <v>0</v>
      </c>
      <c r="Y292" s="169">
        <f>'Earnings Model (adjusted)'!Y292-'Earnings Model'!Y292</f>
        <v>0</v>
      </c>
      <c r="Z292" s="169">
        <f>'Earnings Model (adjusted)'!Z292-'Earnings Model'!Z292</f>
        <v>0</v>
      </c>
      <c r="AA292" s="169">
        <f>'Earnings Model (adjusted)'!AA292-'Earnings Model'!AA292</f>
        <v>0</v>
      </c>
      <c r="AB292" s="169">
        <f>'Earnings Model (adjusted)'!AB292-'Earnings Model'!AB292</f>
        <v>0</v>
      </c>
      <c r="AC292" s="169">
        <f>'Earnings Model (adjusted)'!AC292-'Earnings Model'!AC292</f>
        <v>0</v>
      </c>
      <c r="AD292" s="169">
        <f>'Earnings Model (adjusted)'!AD292-'Earnings Model'!AD292</f>
        <v>0</v>
      </c>
      <c r="AE292" s="169">
        <f>'Earnings Model (adjusted)'!AE292-'Earnings Model'!AE292</f>
        <v>0</v>
      </c>
      <c r="AF292" s="169">
        <f>'Earnings Model (adjusted)'!AF292-'Earnings Model'!AF292</f>
        <v>0</v>
      </c>
      <c r="AG292" s="169">
        <f>'Earnings Model (adjusted)'!AG292-'Earnings Model'!AG292</f>
        <v>0</v>
      </c>
      <c r="AH292" s="169">
        <f>'Earnings Model (adjusted)'!AH292-'Earnings Model'!AH292</f>
        <v>0</v>
      </c>
      <c r="AI292" s="169">
        <f>'Earnings Model (adjusted)'!AI292-'Earnings Model'!AI292</f>
        <v>0</v>
      </c>
      <c r="AJ292" s="169">
        <f>'Earnings Model (adjusted)'!AJ292-'Earnings Model'!AJ292</f>
        <v>0</v>
      </c>
      <c r="AK292" s="169">
        <f>'Earnings Model (adjusted)'!AK292-'Earnings Model'!AK292</f>
        <v>0</v>
      </c>
      <c r="AL292" s="169">
        <f>'Earnings Model (adjusted)'!AL292-'Earnings Model'!AL292</f>
        <v>0</v>
      </c>
      <c r="AM292" s="169">
        <f>'Earnings Model (adjusted)'!AM292-'Earnings Model'!AM292</f>
        <v>0</v>
      </c>
      <c r="AN292" s="169">
        <f>'Earnings Model (adjusted)'!AN292-'Earnings Model'!AN292</f>
        <v>0</v>
      </c>
      <c r="AO292" s="169">
        <f>'Earnings Model (adjusted)'!AO292-'Earnings Model'!AO292</f>
        <v>0</v>
      </c>
      <c r="AP292" s="169">
        <f>'Earnings Model (adjusted)'!AP292-'Earnings Model'!AP292</f>
        <v>0</v>
      </c>
      <c r="AQ292" s="169">
        <f>'Earnings Model (adjusted)'!AQ292-'Earnings Model'!AQ292</f>
        <v>0</v>
      </c>
    </row>
    <row r="293" spans="1:43" s="43" customFormat="1" outlineLevel="1" x14ac:dyDescent="0.25">
      <c r="A293" s="307"/>
      <c r="B293" s="595" t="s">
        <v>59</v>
      </c>
      <c r="C293" s="596"/>
      <c r="D293" s="52"/>
      <c r="E293" s="52"/>
      <c r="F293" s="52"/>
      <c r="G293" s="52"/>
      <c r="H293" s="62"/>
      <c r="I293" s="52">
        <f t="shared" ref="I293:P293" si="186">I260/D260-1</f>
        <v>-0.22820512820512895</v>
      </c>
      <c r="J293" s="52">
        <f t="shared" si="186"/>
        <v>-4.4869364754098413</v>
      </c>
      <c r="K293" s="52">
        <f t="shared" si="186"/>
        <v>-1.314434752864716</v>
      </c>
      <c r="L293" s="52">
        <f t="shared" si="186"/>
        <v>0.34527569713924766</v>
      </c>
      <c r="M293" s="62">
        <f t="shared" si="186"/>
        <v>-0.68340961778517451</v>
      </c>
      <c r="N293" s="52">
        <f t="shared" si="186"/>
        <v>-2.1785305811139466E-4</v>
      </c>
      <c r="O293" s="52">
        <f t="shared" si="186"/>
        <v>-1.649232351428781</v>
      </c>
      <c r="P293" s="52">
        <f t="shared" si="186"/>
        <v>-5.7565950503127619</v>
      </c>
      <c r="Q293" s="169">
        <f>'Earnings Model (adjusted)'!Q293-'Earnings Model'!Q293</f>
        <v>2.9950809983343318E-2</v>
      </c>
      <c r="R293" s="169">
        <f>'Earnings Model (adjusted)'!R293-'Earnings Model'!R293</f>
        <v>2.79432172000047E-2</v>
      </c>
      <c r="S293" s="169">
        <f>'Earnings Model (adjusted)'!S293-'Earnings Model'!S293</f>
        <v>3.9396715899197465E-2</v>
      </c>
      <c r="T293" s="169">
        <f>'Earnings Model (adjusted)'!T293-'Earnings Model'!T293</f>
        <v>9.5507881751700996E-2</v>
      </c>
      <c r="U293" s="169">
        <f>'Earnings Model (adjusted)'!U293-'Earnings Model'!U293</f>
        <v>5.5137359562028365E-2</v>
      </c>
      <c r="V293" s="169">
        <f>'Earnings Model (adjusted)'!V293-'Earnings Model'!V293</f>
        <v>-1.3225532956790964E-3</v>
      </c>
      <c r="W293" s="169">
        <f>'Earnings Model (adjusted)'!W293-'Earnings Model'!W293</f>
        <v>4.3801323500451073E-2</v>
      </c>
      <c r="X293" s="169">
        <f>'Earnings Model (adjusted)'!X293-'Earnings Model'!X293</f>
        <v>5.4188880109236059E-3</v>
      </c>
      <c r="Y293" s="169">
        <f>'Earnings Model (adjusted)'!Y293-'Earnings Model'!Y293</f>
        <v>-9.9497886387880374E-3</v>
      </c>
      <c r="Z293" s="169">
        <f>'Earnings Model (adjusted)'!Z293-'Earnings Model'!Z293</f>
        <v>-9.3375313926258308E-3</v>
      </c>
      <c r="AA293" s="169">
        <f>'Earnings Model (adjusted)'!AA293-'Earnings Model'!AA293</f>
        <v>5.7110645566485041E-2</v>
      </c>
      <c r="AB293" s="169">
        <f>'Earnings Model (adjusted)'!AB293-'Earnings Model'!AB293</f>
        <v>8.2953932945928344E-3</v>
      </c>
      <c r="AC293" s="169">
        <f>'Earnings Model (adjusted)'!AC293-'Earnings Model'!AC293</f>
        <v>-6.2270690558170472E-3</v>
      </c>
      <c r="AD293" s="169">
        <f>'Earnings Model (adjusted)'!AD293-'Earnings Model'!AD293</f>
        <v>-5.9491875317823073E-3</v>
      </c>
      <c r="AE293" s="169">
        <f>'Earnings Model (adjusted)'!AE293-'Earnings Model'!AE293</f>
        <v>-6.421408555860042E-3</v>
      </c>
      <c r="AF293" s="169">
        <f>'Earnings Model (adjusted)'!AF293-'Earnings Model'!AF293</f>
        <v>-1.2829181326370676E-2</v>
      </c>
      <c r="AG293" s="169">
        <f>'Earnings Model (adjusted)'!AG293-'Earnings Model'!AG293</f>
        <v>-8.2038873491445674E-3</v>
      </c>
      <c r="AH293" s="169">
        <f>'Earnings Model (adjusted)'!AH293-'Earnings Model'!AH293</f>
        <v>8.9090457608176354E-3</v>
      </c>
      <c r="AI293" s="169">
        <f>'Earnings Model (adjusted)'!AI293-'Earnings Model'!AI293</f>
        <v>7.7018359480829357E-3</v>
      </c>
      <c r="AJ293" s="169">
        <f>'Earnings Model (adjusted)'!AJ293-'Earnings Model'!AJ293</f>
        <v>2.6911693533662184E-3</v>
      </c>
      <c r="AK293" s="169">
        <f>'Earnings Model (adjusted)'!AK293-'Earnings Model'!AK293</f>
        <v>-9.6672888749349539E-4</v>
      </c>
      <c r="AL293" s="169">
        <f>'Earnings Model (adjusted)'!AL293-'Earnings Model'!AL293</f>
        <v>5.7723525086283978E-3</v>
      </c>
      <c r="AM293" s="169">
        <f>'Earnings Model (adjusted)'!AM293-'Earnings Model'!AM293</f>
        <v>-3.7951803997415823E-4</v>
      </c>
      <c r="AN293" s="169">
        <f>'Earnings Model (adjusted)'!AN293-'Earnings Model'!AN293</f>
        <v>-3.7178743886738808E-3</v>
      </c>
      <c r="AO293" s="169">
        <f>'Earnings Model (adjusted)'!AO293-'Earnings Model'!AO293</f>
        <v>-5.6492444848028622E-3</v>
      </c>
      <c r="AP293" s="169">
        <f>'Earnings Model (adjusted)'!AP293-'Earnings Model'!AP293</f>
        <v>-5.4026689028241481E-3</v>
      </c>
      <c r="AQ293" s="169">
        <f>'Earnings Model (adjusted)'!AQ293-'Earnings Model'!AQ293</f>
        <v>-3.166702241726993E-3</v>
      </c>
    </row>
    <row r="294" spans="1:43" outlineLevel="1" x14ac:dyDescent="0.25">
      <c r="A294" s="254"/>
      <c r="B294" s="543" t="s">
        <v>77</v>
      </c>
      <c r="C294" s="237"/>
      <c r="D294" s="49">
        <f t="shared" ref="D294:P294" si="187">-D263/D16</f>
        <v>6.5041385860961587E-2</v>
      </c>
      <c r="E294" s="49">
        <f t="shared" si="187"/>
        <v>6.5684517673924428E-2</v>
      </c>
      <c r="F294" s="277">
        <f t="shared" si="187"/>
        <v>6.3769602814011436E-2</v>
      </c>
      <c r="G294" s="277">
        <f t="shared" si="187"/>
        <v>7.7945753668297008E-2</v>
      </c>
      <c r="H294" s="303">
        <f t="shared" si="187"/>
        <v>6.8151467825535855E-2</v>
      </c>
      <c r="I294" s="304">
        <f t="shared" si="187"/>
        <v>5.555790393259219E-2</v>
      </c>
      <c r="J294" s="285">
        <f t="shared" si="187"/>
        <v>6.0710175625865198E-2</v>
      </c>
      <c r="K294" s="285">
        <f t="shared" si="187"/>
        <v>9.0026290234717338E-2</v>
      </c>
      <c r="L294" s="277">
        <f t="shared" si="187"/>
        <v>5.5649594557559891E-2</v>
      </c>
      <c r="M294" s="87">
        <f t="shared" si="187"/>
        <v>6.3083595543838744E-2</v>
      </c>
      <c r="N294" s="304">
        <f t="shared" si="187"/>
        <v>4.8033899309568251E-2</v>
      </c>
      <c r="O294" s="285">
        <f t="shared" si="187"/>
        <v>4.8545290941811634E-2</v>
      </c>
      <c r="P294" s="285">
        <f t="shared" si="187"/>
        <v>4.5061028479957313E-2</v>
      </c>
      <c r="Q294" s="169">
        <f>'Earnings Model (adjusted)'!Q294-'Earnings Model'!Q294</f>
        <v>0</v>
      </c>
      <c r="R294" s="169">
        <f>'Earnings Model (adjusted)'!R294-'Earnings Model'!R294</f>
        <v>0</v>
      </c>
      <c r="S294" s="169">
        <f>'Earnings Model (adjusted)'!S294-'Earnings Model'!S294</f>
        <v>0</v>
      </c>
      <c r="T294" s="169">
        <f>'Earnings Model (adjusted)'!T294-'Earnings Model'!T294</f>
        <v>0</v>
      </c>
      <c r="U294" s="169">
        <f>'Earnings Model (adjusted)'!U294-'Earnings Model'!U294</f>
        <v>0</v>
      </c>
      <c r="V294" s="169">
        <f>'Earnings Model (adjusted)'!V294-'Earnings Model'!V294</f>
        <v>0</v>
      </c>
      <c r="W294" s="169">
        <f>'Earnings Model (adjusted)'!W294-'Earnings Model'!W294</f>
        <v>1.4793400537616019E-6</v>
      </c>
      <c r="X294" s="169">
        <f>'Earnings Model (adjusted)'!X294-'Earnings Model'!X294</f>
        <v>0</v>
      </c>
      <c r="Y294" s="169">
        <f>'Earnings Model (adjusted)'!Y294-'Earnings Model'!Y294</f>
        <v>0</v>
      </c>
      <c r="Z294" s="169">
        <f>'Earnings Model (adjusted)'!Z294-'Earnings Model'!Z294</f>
        <v>0</v>
      </c>
      <c r="AA294" s="169">
        <f>'Earnings Model (adjusted)'!AA294-'Earnings Model'!AA294</f>
        <v>0</v>
      </c>
      <c r="AB294" s="169">
        <f>'Earnings Model (adjusted)'!AB294-'Earnings Model'!AB294</f>
        <v>2.2998703216731142E-6</v>
      </c>
      <c r="AC294" s="169">
        <f>'Earnings Model (adjusted)'!AC294-'Earnings Model'!AC294</f>
        <v>0</v>
      </c>
      <c r="AD294" s="169">
        <f>'Earnings Model (adjusted)'!AD294-'Earnings Model'!AD294</f>
        <v>0</v>
      </c>
      <c r="AE294" s="169">
        <f>'Earnings Model (adjusted)'!AE294-'Earnings Model'!AE294</f>
        <v>0</v>
      </c>
      <c r="AF294" s="169">
        <f>'Earnings Model (adjusted)'!AF294-'Earnings Model'!AF294</f>
        <v>0</v>
      </c>
      <c r="AG294" s="169">
        <f>'Earnings Model (adjusted)'!AG294-'Earnings Model'!AG294</f>
        <v>-1.159693632554748E-6</v>
      </c>
      <c r="AH294" s="169">
        <f>'Earnings Model (adjusted)'!AH294-'Earnings Model'!AH294</f>
        <v>0</v>
      </c>
      <c r="AI294" s="169">
        <f>'Earnings Model (adjusted)'!AI294-'Earnings Model'!AI294</f>
        <v>0</v>
      </c>
      <c r="AJ294" s="169">
        <f>'Earnings Model (adjusted)'!AJ294-'Earnings Model'!AJ294</f>
        <v>0</v>
      </c>
      <c r="AK294" s="169">
        <f>'Earnings Model (adjusted)'!AK294-'Earnings Model'!AK294</f>
        <v>0</v>
      </c>
      <c r="AL294" s="169">
        <f>'Earnings Model (adjusted)'!AL294-'Earnings Model'!AL294</f>
        <v>-3.7847723172168557E-7</v>
      </c>
      <c r="AM294" s="169">
        <f>'Earnings Model (adjusted)'!AM294-'Earnings Model'!AM294</f>
        <v>0</v>
      </c>
      <c r="AN294" s="169">
        <f>'Earnings Model (adjusted)'!AN294-'Earnings Model'!AN294</f>
        <v>0</v>
      </c>
      <c r="AO294" s="169">
        <f>'Earnings Model (adjusted)'!AO294-'Earnings Model'!AO294</f>
        <v>0</v>
      </c>
      <c r="AP294" s="169">
        <f>'Earnings Model (adjusted)'!AP294-'Earnings Model'!AP294</f>
        <v>0</v>
      </c>
      <c r="AQ294" s="169">
        <f>'Earnings Model (adjusted)'!AQ294-'Earnings Model'!AQ294</f>
        <v>-7.7771454394526263E-8</v>
      </c>
    </row>
    <row r="295" spans="1:43" s="186" customFormat="1" x14ac:dyDescent="0.25">
      <c r="A295" s="272"/>
      <c r="B295" s="501" t="s">
        <v>363</v>
      </c>
      <c r="C295" s="501"/>
      <c r="D295" s="522"/>
      <c r="E295" s="522"/>
      <c r="F295" s="522"/>
      <c r="G295" s="522"/>
      <c r="H295" s="523">
        <f t="shared" ref="H295:M295" si="188">(H209+H212)/(H25+H245)</f>
        <v>2.0203719785786638</v>
      </c>
      <c r="I295" s="521"/>
      <c r="J295" s="521"/>
      <c r="K295" s="521"/>
      <c r="L295" s="521"/>
      <c r="M295" s="523">
        <f t="shared" si="188"/>
        <v>5.3342143043591674</v>
      </c>
      <c r="N295" s="521"/>
      <c r="O295" s="521"/>
      <c r="P295" s="521"/>
      <c r="Q295" s="169">
        <f>'Earnings Model (adjusted)'!Q295-'Earnings Model'!Q295</f>
        <v>0</v>
      </c>
      <c r="R295" s="169">
        <f>'Earnings Model (adjusted)'!R295-'Earnings Model'!R295</f>
        <v>-1.5675537072762147E-2</v>
      </c>
      <c r="S295" s="169">
        <f>'Earnings Model (adjusted)'!S295-'Earnings Model'!S295</f>
        <v>0</v>
      </c>
      <c r="T295" s="169">
        <f>'Earnings Model (adjusted)'!T295-'Earnings Model'!T295</f>
        <v>0</v>
      </c>
      <c r="U295" s="169">
        <f>'Earnings Model (adjusted)'!U295-'Earnings Model'!U295</f>
        <v>0</v>
      </c>
      <c r="V295" s="169">
        <f>'Earnings Model (adjusted)'!V295-'Earnings Model'!V295</f>
        <v>0</v>
      </c>
      <c r="W295" s="169">
        <f>'Earnings Model (adjusted)'!W295-'Earnings Model'!W295</f>
        <v>-9.3843340159071698E-2</v>
      </c>
      <c r="X295" s="169">
        <f>'Earnings Model (adjusted)'!X295-'Earnings Model'!X295</f>
        <v>0</v>
      </c>
      <c r="Y295" s="169">
        <f>'Earnings Model (adjusted)'!Y295-'Earnings Model'!Y295</f>
        <v>0</v>
      </c>
      <c r="Z295" s="169">
        <f>'Earnings Model (adjusted)'!Z295-'Earnings Model'!Z295</f>
        <v>0</v>
      </c>
      <c r="AA295" s="169">
        <f>'Earnings Model (adjusted)'!AA295-'Earnings Model'!AA295</f>
        <v>0</v>
      </c>
      <c r="AB295" s="169">
        <f>'Earnings Model (adjusted)'!AB295-'Earnings Model'!AB295</f>
        <v>-7.4714841072258675E-2</v>
      </c>
      <c r="AC295" s="169">
        <f>'Earnings Model (adjusted)'!AC295-'Earnings Model'!AC295</f>
        <v>0</v>
      </c>
      <c r="AD295" s="169">
        <f>'Earnings Model (adjusted)'!AD295-'Earnings Model'!AD295</f>
        <v>0</v>
      </c>
      <c r="AE295" s="169">
        <f>'Earnings Model (adjusted)'!AE295-'Earnings Model'!AE295</f>
        <v>0</v>
      </c>
      <c r="AF295" s="169">
        <f>'Earnings Model (adjusted)'!AF295-'Earnings Model'!AF295</f>
        <v>0</v>
      </c>
      <c r="AG295" s="169">
        <f>'Earnings Model (adjusted)'!AG295-'Earnings Model'!AG295</f>
        <v>-5.503406254320331E-2</v>
      </c>
      <c r="AH295" s="169">
        <f>'Earnings Model (adjusted)'!AH295-'Earnings Model'!AH295</f>
        <v>0</v>
      </c>
      <c r="AI295" s="169">
        <f>'Earnings Model (adjusted)'!AI295-'Earnings Model'!AI295</f>
        <v>0</v>
      </c>
      <c r="AJ295" s="169">
        <f>'Earnings Model (adjusted)'!AJ295-'Earnings Model'!AJ295</f>
        <v>0</v>
      </c>
      <c r="AK295" s="169">
        <f>'Earnings Model (adjusted)'!AK295-'Earnings Model'!AK295</f>
        <v>0</v>
      </c>
      <c r="AL295" s="169">
        <f>'Earnings Model (adjusted)'!AL295-'Earnings Model'!AL295</f>
        <v>-4.8991187305298278E-2</v>
      </c>
      <c r="AM295" s="169">
        <f>'Earnings Model (adjusted)'!AM295-'Earnings Model'!AM295</f>
        <v>0</v>
      </c>
      <c r="AN295" s="169">
        <f>'Earnings Model (adjusted)'!AN295-'Earnings Model'!AN295</f>
        <v>0</v>
      </c>
      <c r="AO295" s="169">
        <f>'Earnings Model (adjusted)'!AO295-'Earnings Model'!AO295</f>
        <v>0</v>
      </c>
      <c r="AP295" s="169">
        <f>'Earnings Model (adjusted)'!AP295-'Earnings Model'!AP295</f>
        <v>0</v>
      </c>
      <c r="AQ295" s="169">
        <f>'Earnings Model (adjusted)'!AQ295-'Earnings Model'!AQ295</f>
        <v>-3.6997027925216974E-2</v>
      </c>
    </row>
    <row r="296" spans="1:43" ht="15.75" x14ac:dyDescent="0.25">
      <c r="A296" s="254"/>
      <c r="B296" s="565" t="s">
        <v>19</v>
      </c>
      <c r="C296" s="627"/>
      <c r="D296" s="22"/>
      <c r="E296" s="22"/>
      <c r="F296" s="22"/>
      <c r="G296" s="22"/>
      <c r="H296" s="22"/>
      <c r="I296" s="22"/>
      <c r="J296" s="22"/>
      <c r="K296" s="22"/>
      <c r="L296" s="22"/>
      <c r="M296" s="22"/>
      <c r="N296" s="22"/>
      <c r="O296" s="22"/>
      <c r="P296" s="22"/>
      <c r="Q296" s="169">
        <f>'Earnings Model (adjusted)'!Q296-'Earnings Model'!Q296</f>
        <v>0</v>
      </c>
      <c r="R296" s="169">
        <f>'Earnings Model (adjusted)'!R296-'Earnings Model'!R296</f>
        <v>0</v>
      </c>
      <c r="S296" s="169">
        <f>'Earnings Model (adjusted)'!S296-'Earnings Model'!S296</f>
        <v>0</v>
      </c>
      <c r="T296" s="169">
        <f>'Earnings Model (adjusted)'!T296-'Earnings Model'!T296</f>
        <v>0</v>
      </c>
      <c r="U296" s="169">
        <f>'Earnings Model (adjusted)'!U296-'Earnings Model'!U296</f>
        <v>0</v>
      </c>
      <c r="V296" s="169">
        <f>'Earnings Model (adjusted)'!V296-'Earnings Model'!V296</f>
        <v>0</v>
      </c>
      <c r="W296" s="169">
        <f>'Earnings Model (adjusted)'!W296-'Earnings Model'!W296</f>
        <v>0</v>
      </c>
      <c r="X296" s="169">
        <f>'Earnings Model (adjusted)'!X296-'Earnings Model'!X296</f>
        <v>0</v>
      </c>
      <c r="Y296" s="169">
        <f>'Earnings Model (adjusted)'!Y296-'Earnings Model'!Y296</f>
        <v>0</v>
      </c>
      <c r="Z296" s="169">
        <f>'Earnings Model (adjusted)'!Z296-'Earnings Model'!Z296</f>
        <v>0</v>
      </c>
      <c r="AA296" s="169" t="e">
        <f>'Earnings Model (adjusted)'!AA296-'Earnings Model'!AA296</f>
        <v>#VALUE!</v>
      </c>
      <c r="AB296" s="169">
        <f>'Earnings Model (adjusted)'!AB296-'Earnings Model'!AB296</f>
        <v>427.07722973222553</v>
      </c>
      <c r="AC296" s="169">
        <f>'Earnings Model (adjusted)'!AC296-'Earnings Model'!AC296</f>
        <v>0</v>
      </c>
      <c r="AD296" s="169">
        <f>'Earnings Model (adjusted)'!AD296-'Earnings Model'!AD296</f>
        <v>0</v>
      </c>
      <c r="AE296" s="169">
        <f>'Earnings Model (adjusted)'!AE296-'Earnings Model'!AE296</f>
        <v>0</v>
      </c>
      <c r="AF296" s="169">
        <f>'Earnings Model (adjusted)'!AF296-'Earnings Model'!AF296</f>
        <v>0</v>
      </c>
      <c r="AG296" s="169">
        <f>'Earnings Model (adjusted)'!AG296-'Earnings Model'!AG296</f>
        <v>0</v>
      </c>
      <c r="AH296" s="169">
        <f>'Earnings Model (adjusted)'!AH296-'Earnings Model'!AH296</f>
        <v>0</v>
      </c>
      <c r="AI296" s="169">
        <f>'Earnings Model (adjusted)'!AI296-'Earnings Model'!AI296</f>
        <v>0</v>
      </c>
      <c r="AJ296" s="169">
        <f>'Earnings Model (adjusted)'!AJ296-'Earnings Model'!AJ296</f>
        <v>0</v>
      </c>
      <c r="AK296" s="169">
        <f>'Earnings Model (adjusted)'!AK296-'Earnings Model'!AK296</f>
        <v>0</v>
      </c>
      <c r="AL296" s="169">
        <f>'Earnings Model (adjusted)'!AL296-'Earnings Model'!AL296</f>
        <v>0</v>
      </c>
      <c r="AM296" s="169">
        <f>'Earnings Model (adjusted)'!AM296-'Earnings Model'!AM296</f>
        <v>0</v>
      </c>
      <c r="AN296" s="169">
        <f>'Earnings Model (adjusted)'!AN296-'Earnings Model'!AN296</f>
        <v>0</v>
      </c>
      <c r="AO296" s="169">
        <f>'Earnings Model (adjusted)'!AO296-'Earnings Model'!AO296</f>
        <v>0</v>
      </c>
      <c r="AP296" s="169">
        <f>'Earnings Model (adjusted)'!AP296-'Earnings Model'!AP296</f>
        <v>0</v>
      </c>
      <c r="AQ296" s="169">
        <f>'Earnings Model (adjusted)'!AQ296-'Earnings Model'!AQ296</f>
        <v>0</v>
      </c>
    </row>
    <row r="297" spans="1:43" outlineLevel="1" x14ac:dyDescent="0.25">
      <c r="A297" s="254"/>
      <c r="B297" s="57" t="s">
        <v>364</v>
      </c>
      <c r="C297" s="377">
        <v>31.4</v>
      </c>
      <c r="D297" s="379"/>
      <c r="E297" s="14"/>
      <c r="F297" s="14"/>
      <c r="G297" s="14"/>
      <c r="H297" s="14"/>
      <c r="I297" s="14"/>
      <c r="J297" s="14"/>
      <c r="K297" s="14"/>
      <c r="L297" s="14"/>
      <c r="M297" s="14"/>
      <c r="N297" s="14"/>
      <c r="O297" s="14"/>
      <c r="P297" s="14"/>
      <c r="Q297" s="169">
        <f>'Earnings Model (adjusted)'!Q297-'Earnings Model'!Q297</f>
        <v>0</v>
      </c>
      <c r="R297" s="169">
        <f>'Earnings Model (adjusted)'!R297-'Earnings Model'!R297</f>
        <v>0</v>
      </c>
      <c r="S297" s="169">
        <f>'Earnings Model (adjusted)'!S297-'Earnings Model'!S297</f>
        <v>0</v>
      </c>
      <c r="T297" s="169">
        <f>'Earnings Model (adjusted)'!T297-'Earnings Model'!T297</f>
        <v>0</v>
      </c>
      <c r="U297" s="169">
        <f>'Earnings Model (adjusted)'!U297-'Earnings Model'!U297</f>
        <v>0</v>
      </c>
      <c r="V297" s="169">
        <f>'Earnings Model (adjusted)'!V297-'Earnings Model'!V297</f>
        <v>0</v>
      </c>
      <c r="W297" s="169">
        <f>'Earnings Model (adjusted)'!W297-'Earnings Model'!W297</f>
        <v>0</v>
      </c>
      <c r="X297" s="169">
        <f>'Earnings Model (adjusted)'!X297-'Earnings Model'!X297</f>
        <v>0</v>
      </c>
      <c r="Y297" s="169">
        <f>'Earnings Model (adjusted)'!Y297-'Earnings Model'!Y297</f>
        <v>0</v>
      </c>
      <c r="Z297" s="169">
        <f>'Earnings Model (adjusted)'!Z297-'Earnings Model'!Z297</f>
        <v>0</v>
      </c>
      <c r="AA297" s="169" t="e">
        <f>'Earnings Model (adjusted)'!AA297-'Earnings Model'!AA297</f>
        <v>#VALUE!</v>
      </c>
      <c r="AB297" s="169">
        <f>'Earnings Model (adjusted)'!AB297-'Earnings Model'!AB297</f>
        <v>0</v>
      </c>
      <c r="AC297" s="169">
        <f>'Earnings Model (adjusted)'!AC297-'Earnings Model'!AC297</f>
        <v>0</v>
      </c>
      <c r="AD297" s="169">
        <f>'Earnings Model (adjusted)'!AD297-'Earnings Model'!AD297</f>
        <v>0</v>
      </c>
      <c r="AE297" s="169">
        <f>'Earnings Model (adjusted)'!AE297-'Earnings Model'!AE297</f>
        <v>0</v>
      </c>
      <c r="AF297" s="169">
        <f>'Earnings Model (adjusted)'!AF297-'Earnings Model'!AF297</f>
        <v>0</v>
      </c>
      <c r="AG297" s="169">
        <f>'Earnings Model (adjusted)'!AG297-'Earnings Model'!AG297</f>
        <v>0</v>
      </c>
      <c r="AH297" s="169">
        <f>'Earnings Model (adjusted)'!AH297-'Earnings Model'!AH297</f>
        <v>0</v>
      </c>
      <c r="AI297" s="169">
        <f>'Earnings Model (adjusted)'!AI297-'Earnings Model'!AI297</f>
        <v>0</v>
      </c>
      <c r="AJ297" s="169">
        <f>'Earnings Model (adjusted)'!AJ297-'Earnings Model'!AJ297</f>
        <v>0</v>
      </c>
      <c r="AK297" s="169">
        <f>'Earnings Model (adjusted)'!AK297-'Earnings Model'!AK297</f>
        <v>0</v>
      </c>
      <c r="AL297" s="169">
        <f>'Earnings Model (adjusted)'!AL297-'Earnings Model'!AL297</f>
        <v>0</v>
      </c>
      <c r="AM297" s="169">
        <f>'Earnings Model (adjusted)'!AM297-'Earnings Model'!AM297</f>
        <v>0</v>
      </c>
      <c r="AN297" s="169">
        <f>'Earnings Model (adjusted)'!AN297-'Earnings Model'!AN297</f>
        <v>0</v>
      </c>
      <c r="AO297" s="169">
        <f>'Earnings Model (adjusted)'!AO297-'Earnings Model'!AO297</f>
        <v>0</v>
      </c>
      <c r="AP297" s="169">
        <f>'Earnings Model (adjusted)'!AP297-'Earnings Model'!AP297</f>
        <v>0</v>
      </c>
      <c r="AQ297" s="169">
        <f>'Earnings Model (adjusted)'!AQ297-'Earnings Model'!AQ297</f>
        <v>0</v>
      </c>
    </row>
    <row r="298" spans="1:43" outlineLevel="1" x14ac:dyDescent="0.25">
      <c r="A298" s="254"/>
      <c r="B298" s="57" t="s">
        <v>365</v>
      </c>
      <c r="C298" s="378">
        <v>33.700000000000003</v>
      </c>
      <c r="D298" s="380"/>
      <c r="Q298" s="169">
        <f>'Earnings Model (adjusted)'!Q298-'Earnings Model'!Q298</f>
        <v>0</v>
      </c>
      <c r="R298" s="169">
        <f>'Earnings Model (adjusted)'!R298-'Earnings Model'!R298</f>
        <v>0</v>
      </c>
      <c r="S298" s="169">
        <f>'Earnings Model (adjusted)'!S298-'Earnings Model'!S298</f>
        <v>0</v>
      </c>
      <c r="T298" s="169">
        <f>'Earnings Model (adjusted)'!T298-'Earnings Model'!T298</f>
        <v>0</v>
      </c>
      <c r="U298" s="169">
        <f>'Earnings Model (adjusted)'!U298-'Earnings Model'!U298</f>
        <v>0</v>
      </c>
      <c r="V298" s="169">
        <f>'Earnings Model (adjusted)'!V298-'Earnings Model'!V298</f>
        <v>0</v>
      </c>
      <c r="W298" s="169">
        <f>'Earnings Model (adjusted)'!W298-'Earnings Model'!W298</f>
        <v>0</v>
      </c>
      <c r="X298" s="169">
        <f>'Earnings Model (adjusted)'!X298-'Earnings Model'!X298</f>
        <v>0</v>
      </c>
      <c r="Y298" s="169">
        <f>'Earnings Model (adjusted)'!Y298-'Earnings Model'!Y298</f>
        <v>0</v>
      </c>
      <c r="Z298" s="169">
        <f>'Earnings Model (adjusted)'!Z298-'Earnings Model'!Z298</f>
        <v>0</v>
      </c>
      <c r="AA298" s="169" t="e">
        <f>'Earnings Model (adjusted)'!AA298-'Earnings Model'!AA298</f>
        <v>#VALUE!</v>
      </c>
      <c r="AB298" s="169">
        <f>'Earnings Model (adjusted)'!AB298-'Earnings Model'!AB298</f>
        <v>652.23146819642125</v>
      </c>
      <c r="AC298" s="169">
        <f>'Earnings Model (adjusted)'!AC298-'Earnings Model'!AC298</f>
        <v>0</v>
      </c>
      <c r="AD298" s="169">
        <f>'Earnings Model (adjusted)'!AD298-'Earnings Model'!AD298</f>
        <v>0</v>
      </c>
      <c r="AE298" s="169">
        <f>'Earnings Model (adjusted)'!AE298-'Earnings Model'!AE298</f>
        <v>0</v>
      </c>
      <c r="AF298" s="169">
        <f>'Earnings Model (adjusted)'!AF298-'Earnings Model'!AF298</f>
        <v>0</v>
      </c>
      <c r="AG298" s="169">
        <f>'Earnings Model (adjusted)'!AG298-'Earnings Model'!AG298</f>
        <v>0</v>
      </c>
      <c r="AH298" s="169">
        <f>'Earnings Model (adjusted)'!AH298-'Earnings Model'!AH298</f>
        <v>0</v>
      </c>
      <c r="AI298" s="169">
        <f>'Earnings Model (adjusted)'!AI298-'Earnings Model'!AI298</f>
        <v>0</v>
      </c>
      <c r="AJ298" s="169">
        <f>'Earnings Model (adjusted)'!AJ298-'Earnings Model'!AJ298</f>
        <v>0</v>
      </c>
      <c r="AK298" s="169">
        <f>'Earnings Model (adjusted)'!AK298-'Earnings Model'!AK298</f>
        <v>0</v>
      </c>
      <c r="AL298" s="169">
        <f>'Earnings Model (adjusted)'!AL298-'Earnings Model'!AL298</f>
        <v>0</v>
      </c>
      <c r="AM298" s="169">
        <f>'Earnings Model (adjusted)'!AM298-'Earnings Model'!AM298</f>
        <v>0</v>
      </c>
      <c r="AN298" s="169">
        <f>'Earnings Model (adjusted)'!AN298-'Earnings Model'!AN298</f>
        <v>0</v>
      </c>
      <c r="AO298" s="169">
        <f>'Earnings Model (adjusted)'!AO298-'Earnings Model'!AO298</f>
        <v>0</v>
      </c>
      <c r="AP298" s="169">
        <f>'Earnings Model (adjusted)'!AP298-'Earnings Model'!AP298</f>
        <v>0</v>
      </c>
      <c r="AQ298" s="169">
        <f>'Earnings Model (adjusted)'!AQ298-'Earnings Model'!AQ298</f>
        <v>0</v>
      </c>
    </row>
    <row r="299" spans="1:43" outlineLevel="1" x14ac:dyDescent="0.25">
      <c r="A299" s="254"/>
      <c r="B299" s="57" t="s">
        <v>366</v>
      </c>
      <c r="C299" s="378">
        <v>29.6</v>
      </c>
      <c r="D299" s="380"/>
      <c r="Q299" s="169">
        <f>'Earnings Model (adjusted)'!Q299-'Earnings Model'!Q299</f>
        <v>0</v>
      </c>
      <c r="R299" s="169">
        <f>'Earnings Model (adjusted)'!R299-'Earnings Model'!R299</f>
        <v>0</v>
      </c>
      <c r="S299" s="169">
        <f>'Earnings Model (adjusted)'!S299-'Earnings Model'!S299</f>
        <v>0</v>
      </c>
      <c r="T299" s="169">
        <f>'Earnings Model (adjusted)'!T299-'Earnings Model'!T299</f>
        <v>0</v>
      </c>
      <c r="U299" s="169">
        <f>'Earnings Model (adjusted)'!U299-'Earnings Model'!U299</f>
        <v>0</v>
      </c>
      <c r="V299" s="169">
        <f>'Earnings Model (adjusted)'!V299-'Earnings Model'!V299</f>
        <v>0</v>
      </c>
      <c r="W299" s="169">
        <f>'Earnings Model (adjusted)'!W299-'Earnings Model'!W299</f>
        <v>0</v>
      </c>
      <c r="X299" s="169">
        <f>'Earnings Model (adjusted)'!X299-'Earnings Model'!X299</f>
        <v>0</v>
      </c>
      <c r="Y299" s="169">
        <f>'Earnings Model (adjusted)'!Y299-'Earnings Model'!Y299</f>
        <v>0</v>
      </c>
      <c r="Z299" s="169">
        <f>'Earnings Model (adjusted)'!Z299-'Earnings Model'!Z299</f>
        <v>0</v>
      </c>
      <c r="AA299" s="169">
        <f>'Earnings Model (adjusted)'!AA299-'Earnings Model'!AA299</f>
        <v>0</v>
      </c>
      <c r="AB299" s="169">
        <f>'Earnings Model (adjusted)'!AB299-'Earnings Model'!AB299</f>
        <v>0</v>
      </c>
      <c r="AC299" s="169">
        <f>'Earnings Model (adjusted)'!AC299-'Earnings Model'!AC299</f>
        <v>0</v>
      </c>
      <c r="AD299" s="169">
        <f>'Earnings Model (adjusted)'!AD299-'Earnings Model'!AD299</f>
        <v>0</v>
      </c>
      <c r="AE299" s="169">
        <f>'Earnings Model (adjusted)'!AE299-'Earnings Model'!AE299</f>
        <v>0</v>
      </c>
      <c r="AF299" s="169">
        <f>'Earnings Model (adjusted)'!AF299-'Earnings Model'!AF299</f>
        <v>0</v>
      </c>
      <c r="AG299" s="169">
        <f>'Earnings Model (adjusted)'!AG299-'Earnings Model'!AG299</f>
        <v>0</v>
      </c>
      <c r="AH299" s="169">
        <f>'Earnings Model (adjusted)'!AH299-'Earnings Model'!AH299</f>
        <v>0</v>
      </c>
      <c r="AI299" s="169">
        <f>'Earnings Model (adjusted)'!AI299-'Earnings Model'!AI299</f>
        <v>0</v>
      </c>
      <c r="AJ299" s="169">
        <f>'Earnings Model (adjusted)'!AJ299-'Earnings Model'!AJ299</f>
        <v>0</v>
      </c>
      <c r="AK299" s="169">
        <f>'Earnings Model (adjusted)'!AK299-'Earnings Model'!AK299</f>
        <v>0</v>
      </c>
      <c r="AL299" s="169">
        <f>'Earnings Model (adjusted)'!AL299-'Earnings Model'!AL299</f>
        <v>0</v>
      </c>
      <c r="AM299" s="169">
        <f>'Earnings Model (adjusted)'!AM299-'Earnings Model'!AM299</f>
        <v>0</v>
      </c>
      <c r="AN299" s="169">
        <f>'Earnings Model (adjusted)'!AN299-'Earnings Model'!AN299</f>
        <v>0</v>
      </c>
      <c r="AO299" s="169">
        <f>'Earnings Model (adjusted)'!AO299-'Earnings Model'!AO299</f>
        <v>0</v>
      </c>
      <c r="AP299" s="169">
        <f>'Earnings Model (adjusted)'!AP299-'Earnings Model'!AP299</f>
        <v>0</v>
      </c>
      <c r="AQ299" s="169">
        <f>'Earnings Model (adjusted)'!AQ299-'Earnings Model'!AQ299</f>
        <v>0</v>
      </c>
    </row>
    <row r="300" spans="1:43" outlineLevel="1" x14ac:dyDescent="0.25">
      <c r="A300" s="254"/>
      <c r="B300" s="550" t="s">
        <v>367</v>
      </c>
      <c r="C300" s="387">
        <v>31.4</v>
      </c>
      <c r="D300" s="380"/>
      <c r="Q300" s="169">
        <f>'Earnings Model (adjusted)'!Q300-'Earnings Model'!Q300</f>
        <v>0</v>
      </c>
      <c r="R300" s="169">
        <f>'Earnings Model (adjusted)'!R300-'Earnings Model'!R300</f>
        <v>0</v>
      </c>
      <c r="S300" s="169">
        <f>'Earnings Model (adjusted)'!S300-'Earnings Model'!S300</f>
        <v>0</v>
      </c>
      <c r="T300" s="169">
        <f>'Earnings Model (adjusted)'!T300-'Earnings Model'!T300</f>
        <v>0</v>
      </c>
      <c r="U300" s="169">
        <f>'Earnings Model (adjusted)'!U300-'Earnings Model'!U300</f>
        <v>0</v>
      </c>
      <c r="V300" s="169">
        <f>'Earnings Model (adjusted)'!V300-'Earnings Model'!V300</f>
        <v>0</v>
      </c>
      <c r="W300" s="169">
        <f>'Earnings Model (adjusted)'!W300-'Earnings Model'!W300</f>
        <v>0</v>
      </c>
      <c r="X300" s="169">
        <f>'Earnings Model (adjusted)'!X300-'Earnings Model'!X300</f>
        <v>0</v>
      </c>
      <c r="Y300" s="169">
        <f>'Earnings Model (adjusted)'!Y300-'Earnings Model'!Y300</f>
        <v>0</v>
      </c>
      <c r="Z300" s="169">
        <f>'Earnings Model (adjusted)'!Z300-'Earnings Model'!Z300</f>
        <v>0</v>
      </c>
      <c r="AA300" s="169">
        <f>'Earnings Model (adjusted)'!AA300-'Earnings Model'!AA300</f>
        <v>0</v>
      </c>
      <c r="AB300" s="169">
        <f>'Earnings Model (adjusted)'!AB300-'Earnings Model'!AB300</f>
        <v>0</v>
      </c>
      <c r="AC300" s="169">
        <f>'Earnings Model (adjusted)'!AC300-'Earnings Model'!AC300</f>
        <v>0</v>
      </c>
      <c r="AD300" s="169">
        <f>'Earnings Model (adjusted)'!AD300-'Earnings Model'!AD300</f>
        <v>0</v>
      </c>
      <c r="AE300" s="169">
        <f>'Earnings Model (adjusted)'!AE300-'Earnings Model'!AE300</f>
        <v>0</v>
      </c>
      <c r="AF300" s="169">
        <f>'Earnings Model (adjusted)'!AF300-'Earnings Model'!AF300</f>
        <v>0</v>
      </c>
      <c r="AG300" s="169">
        <f>'Earnings Model (adjusted)'!AG300-'Earnings Model'!AG300</f>
        <v>0</v>
      </c>
      <c r="AH300" s="169">
        <f>'Earnings Model (adjusted)'!AH300-'Earnings Model'!AH300</f>
        <v>0</v>
      </c>
      <c r="AI300" s="169">
        <f>'Earnings Model (adjusted)'!AI300-'Earnings Model'!AI300</f>
        <v>0</v>
      </c>
      <c r="AJ300" s="169">
        <f>'Earnings Model (adjusted)'!AJ300-'Earnings Model'!AJ300</f>
        <v>0</v>
      </c>
      <c r="AK300" s="169">
        <f>'Earnings Model (adjusted)'!AK300-'Earnings Model'!AK300</f>
        <v>0</v>
      </c>
      <c r="AL300" s="169">
        <f>'Earnings Model (adjusted)'!AL300-'Earnings Model'!AL300</f>
        <v>0</v>
      </c>
      <c r="AM300" s="169">
        <f>'Earnings Model (adjusted)'!AM300-'Earnings Model'!AM300</f>
        <v>0</v>
      </c>
      <c r="AN300" s="169">
        <f>'Earnings Model (adjusted)'!AN300-'Earnings Model'!AN300</f>
        <v>0</v>
      </c>
      <c r="AO300" s="169">
        <f>'Earnings Model (adjusted)'!AO300-'Earnings Model'!AO300</f>
        <v>0</v>
      </c>
      <c r="AP300" s="169">
        <f>'Earnings Model (adjusted)'!AP300-'Earnings Model'!AP300</f>
        <v>0</v>
      </c>
      <c r="AQ300" s="169">
        <f>'Earnings Model (adjusted)'!AQ300-'Earnings Model'!AQ300</f>
        <v>0</v>
      </c>
    </row>
    <row r="301" spans="1:43" ht="17.25" outlineLevel="1" x14ac:dyDescent="0.4">
      <c r="A301" s="254"/>
      <c r="B301" s="550" t="s">
        <v>100</v>
      </c>
      <c r="C301" s="141">
        <v>0</v>
      </c>
      <c r="D301" s="23"/>
      <c r="E301" s="23"/>
      <c r="F301" s="23"/>
      <c r="G301" s="23"/>
      <c r="H301" s="23"/>
      <c r="I301" s="23"/>
      <c r="J301" s="23"/>
      <c r="K301" s="23"/>
      <c r="L301" s="23"/>
      <c r="M301" s="23"/>
      <c r="N301" s="23"/>
      <c r="O301" s="23"/>
      <c r="P301" s="23"/>
      <c r="Q301" s="169">
        <f>'Earnings Model (adjusted)'!Q301-'Earnings Model'!Q301</f>
        <v>0</v>
      </c>
      <c r="R301" s="169">
        <f>'Earnings Model (adjusted)'!R301-'Earnings Model'!R301</f>
        <v>0</v>
      </c>
      <c r="S301" s="169">
        <f>'Earnings Model (adjusted)'!S301-'Earnings Model'!S301</f>
        <v>0</v>
      </c>
      <c r="T301" s="169">
        <f>'Earnings Model (adjusted)'!T301-'Earnings Model'!T301</f>
        <v>0</v>
      </c>
      <c r="U301" s="169">
        <f>'Earnings Model (adjusted)'!U301-'Earnings Model'!U301</f>
        <v>0</v>
      </c>
      <c r="V301" s="169">
        <f>'Earnings Model (adjusted)'!V301-'Earnings Model'!V301</f>
        <v>0</v>
      </c>
      <c r="W301" s="169">
        <f>'Earnings Model (adjusted)'!W301-'Earnings Model'!W301</f>
        <v>0</v>
      </c>
      <c r="X301" s="169">
        <f>'Earnings Model (adjusted)'!X301-'Earnings Model'!X301</f>
        <v>0</v>
      </c>
      <c r="Y301" s="169">
        <f>'Earnings Model (adjusted)'!Y301-'Earnings Model'!Y301</f>
        <v>0</v>
      </c>
      <c r="Z301" s="169">
        <f>'Earnings Model (adjusted)'!Z301-'Earnings Model'!Z301</f>
        <v>0</v>
      </c>
      <c r="AA301" s="169">
        <f>'Earnings Model (adjusted)'!AA301-'Earnings Model'!AA301</f>
        <v>0</v>
      </c>
      <c r="AB301" s="169">
        <f>'Earnings Model (adjusted)'!AB301-'Earnings Model'!AB301</f>
        <v>0</v>
      </c>
      <c r="AC301" s="169">
        <f>'Earnings Model (adjusted)'!AC301-'Earnings Model'!AC301</f>
        <v>0</v>
      </c>
      <c r="AD301" s="169">
        <f>'Earnings Model (adjusted)'!AD301-'Earnings Model'!AD301</f>
        <v>0</v>
      </c>
      <c r="AE301" s="169">
        <f>'Earnings Model (adjusted)'!AE301-'Earnings Model'!AE301</f>
        <v>0</v>
      </c>
      <c r="AF301" s="169">
        <f>'Earnings Model (adjusted)'!AF301-'Earnings Model'!AF301</f>
        <v>0</v>
      </c>
      <c r="AG301" s="169">
        <f>'Earnings Model (adjusted)'!AG301-'Earnings Model'!AG301</f>
        <v>0</v>
      </c>
      <c r="AH301" s="169">
        <f>'Earnings Model (adjusted)'!AH301-'Earnings Model'!AH301</f>
        <v>0</v>
      </c>
      <c r="AI301" s="169">
        <f>'Earnings Model (adjusted)'!AI301-'Earnings Model'!AI301</f>
        <v>0</v>
      </c>
      <c r="AJ301" s="169">
        <f>'Earnings Model (adjusted)'!AJ301-'Earnings Model'!AJ301</f>
        <v>0</v>
      </c>
      <c r="AK301" s="169">
        <f>'Earnings Model (adjusted)'!AK301-'Earnings Model'!AK301</f>
        <v>0</v>
      </c>
      <c r="AL301" s="169">
        <f>'Earnings Model (adjusted)'!AL301-'Earnings Model'!AL301</f>
        <v>0</v>
      </c>
      <c r="AM301" s="169">
        <f>'Earnings Model (adjusted)'!AM301-'Earnings Model'!AM301</f>
        <v>0</v>
      </c>
      <c r="AN301" s="169">
        <f>'Earnings Model (adjusted)'!AN301-'Earnings Model'!AN301</f>
        <v>0</v>
      </c>
      <c r="AO301" s="169">
        <f>'Earnings Model (adjusted)'!AO301-'Earnings Model'!AO301</f>
        <v>0</v>
      </c>
      <c r="AP301" s="169">
        <f>'Earnings Model (adjusted)'!AP301-'Earnings Model'!AP301</f>
        <v>0</v>
      </c>
      <c r="AQ301" s="169">
        <f>'Earnings Model (adjusted)'!AQ301-'Earnings Model'!AQ301</f>
        <v>0</v>
      </c>
    </row>
    <row r="302" spans="1:43" outlineLevel="1" x14ac:dyDescent="0.25">
      <c r="A302" s="254"/>
      <c r="B302" s="140" t="s">
        <v>48</v>
      </c>
      <c r="C302" s="153">
        <f>(C300*(Q42+S42+T42+U42))</f>
        <v>7.8214126101864574</v>
      </c>
      <c r="Q302" s="169">
        <f>'Earnings Model (adjusted)'!Q302-'Earnings Model'!Q302</f>
        <v>0</v>
      </c>
      <c r="R302" s="169">
        <f>'Earnings Model (adjusted)'!R302-'Earnings Model'!R302</f>
        <v>0</v>
      </c>
      <c r="S302" s="169">
        <f>'Earnings Model (adjusted)'!S302-'Earnings Model'!S302</f>
        <v>0</v>
      </c>
      <c r="T302" s="169">
        <f>'Earnings Model (adjusted)'!T302-'Earnings Model'!T302</f>
        <v>0</v>
      </c>
      <c r="U302" s="169">
        <f>'Earnings Model (adjusted)'!U302-'Earnings Model'!U302</f>
        <v>0</v>
      </c>
      <c r="V302" s="169">
        <f>'Earnings Model (adjusted)'!V302-'Earnings Model'!V302</f>
        <v>0</v>
      </c>
      <c r="W302" s="169">
        <f>'Earnings Model (adjusted)'!W302-'Earnings Model'!W302</f>
        <v>0</v>
      </c>
      <c r="X302" s="169">
        <f>'Earnings Model (adjusted)'!X302-'Earnings Model'!X302</f>
        <v>0</v>
      </c>
      <c r="Y302" s="169">
        <f>'Earnings Model (adjusted)'!Y302-'Earnings Model'!Y302</f>
        <v>0</v>
      </c>
      <c r="Z302" s="169">
        <f>'Earnings Model (adjusted)'!Z302-'Earnings Model'!Z302</f>
        <v>0</v>
      </c>
      <c r="AA302" s="169">
        <f>'Earnings Model (adjusted)'!AA302-'Earnings Model'!AA302</f>
        <v>0</v>
      </c>
      <c r="AB302" s="169">
        <f>'Earnings Model (adjusted)'!AB302-'Earnings Model'!AB302</f>
        <v>0</v>
      </c>
      <c r="AC302" s="169">
        <f>'Earnings Model (adjusted)'!AC302-'Earnings Model'!AC302</f>
        <v>0</v>
      </c>
      <c r="AD302" s="169">
        <f>'Earnings Model (adjusted)'!AD302-'Earnings Model'!AD302</f>
        <v>0</v>
      </c>
      <c r="AE302" s="169">
        <f>'Earnings Model (adjusted)'!AE302-'Earnings Model'!AE302</f>
        <v>0</v>
      </c>
      <c r="AF302" s="169">
        <f>'Earnings Model (adjusted)'!AF302-'Earnings Model'!AF302</f>
        <v>0</v>
      </c>
      <c r="AG302" s="169">
        <f>'Earnings Model (adjusted)'!AG302-'Earnings Model'!AG302</f>
        <v>0</v>
      </c>
      <c r="AH302" s="169">
        <f>'Earnings Model (adjusted)'!AH302-'Earnings Model'!AH302</f>
        <v>0</v>
      </c>
      <c r="AI302" s="169">
        <f>'Earnings Model (adjusted)'!AI302-'Earnings Model'!AI302</f>
        <v>0</v>
      </c>
      <c r="AJ302" s="169">
        <f>'Earnings Model (adjusted)'!AJ302-'Earnings Model'!AJ302</f>
        <v>0</v>
      </c>
      <c r="AK302" s="169">
        <f>'Earnings Model (adjusted)'!AK302-'Earnings Model'!AK302</f>
        <v>0</v>
      </c>
      <c r="AL302" s="169">
        <f>'Earnings Model (adjusted)'!AL302-'Earnings Model'!AL302</f>
        <v>0</v>
      </c>
      <c r="AM302" s="169">
        <f>'Earnings Model (adjusted)'!AM302-'Earnings Model'!AM302</f>
        <v>0</v>
      </c>
      <c r="AN302" s="169">
        <f>'Earnings Model (adjusted)'!AN302-'Earnings Model'!AN302</f>
        <v>0</v>
      </c>
      <c r="AO302" s="169">
        <f>'Earnings Model (adjusted)'!AO302-'Earnings Model'!AO302</f>
        <v>0</v>
      </c>
      <c r="AP302" s="169">
        <f>'Earnings Model (adjusted)'!AP302-'Earnings Model'!AP302</f>
        <v>0</v>
      </c>
      <c r="AQ302" s="169">
        <f>'Earnings Model (adjusted)'!AQ302-'Earnings Model'!AQ302</f>
        <v>0</v>
      </c>
    </row>
    <row r="303" spans="1:43" ht="15" customHeight="1" x14ac:dyDescent="0.25">
      <c r="A303" s="254"/>
      <c r="B303" s="135" t="s">
        <v>96</v>
      </c>
      <c r="C303" s="162">
        <f>C306-C329</f>
        <v>113.88637299174738</v>
      </c>
      <c r="Q303" s="169">
        <f>'Earnings Model (adjusted)'!Q303-'Earnings Model'!Q303</f>
        <v>0</v>
      </c>
      <c r="R303" s="169">
        <f>'Earnings Model (adjusted)'!R303-'Earnings Model'!R303</f>
        <v>0</v>
      </c>
      <c r="S303" s="169">
        <f>'Earnings Model (adjusted)'!S303-'Earnings Model'!S303</f>
        <v>0</v>
      </c>
      <c r="T303" s="169">
        <f>'Earnings Model (adjusted)'!T303-'Earnings Model'!T303</f>
        <v>0</v>
      </c>
      <c r="U303" s="169">
        <f>'Earnings Model (adjusted)'!U303-'Earnings Model'!U303</f>
        <v>0</v>
      </c>
      <c r="V303" s="169">
        <f>'Earnings Model (adjusted)'!V303-'Earnings Model'!V303</f>
        <v>0</v>
      </c>
      <c r="W303" s="169">
        <f>'Earnings Model (adjusted)'!W303-'Earnings Model'!W303</f>
        <v>0</v>
      </c>
      <c r="X303" s="169">
        <f>'Earnings Model (adjusted)'!X303-'Earnings Model'!X303</f>
        <v>0</v>
      </c>
      <c r="Y303" s="169">
        <f>'Earnings Model (adjusted)'!Y303-'Earnings Model'!Y303</f>
        <v>0</v>
      </c>
      <c r="Z303" s="169">
        <f>'Earnings Model (adjusted)'!Z303-'Earnings Model'!Z303</f>
        <v>0</v>
      </c>
      <c r="AA303" s="169">
        <f>'Earnings Model (adjusted)'!AA303-'Earnings Model'!AA303</f>
        <v>0</v>
      </c>
      <c r="AB303" s="169">
        <f>'Earnings Model (adjusted)'!AB303-'Earnings Model'!AB303</f>
        <v>0</v>
      </c>
      <c r="AC303" s="169">
        <f>'Earnings Model (adjusted)'!AC303-'Earnings Model'!AC303</f>
        <v>0</v>
      </c>
      <c r="AD303" s="169">
        <f>'Earnings Model (adjusted)'!AD303-'Earnings Model'!AD303</f>
        <v>0</v>
      </c>
      <c r="AE303" s="169">
        <f>'Earnings Model (adjusted)'!AE303-'Earnings Model'!AE303</f>
        <v>0</v>
      </c>
      <c r="AF303" s="169">
        <f>'Earnings Model (adjusted)'!AF303-'Earnings Model'!AF303</f>
        <v>0</v>
      </c>
      <c r="AG303" s="169">
        <f>'Earnings Model (adjusted)'!AG303-'Earnings Model'!AG303</f>
        <v>0</v>
      </c>
      <c r="AH303" s="169">
        <f>'Earnings Model (adjusted)'!AH303-'Earnings Model'!AH303</f>
        <v>0</v>
      </c>
      <c r="AI303" s="169">
        <f>'Earnings Model (adjusted)'!AI303-'Earnings Model'!AI303</f>
        <v>0</v>
      </c>
      <c r="AJ303" s="169">
        <f>'Earnings Model (adjusted)'!AJ303-'Earnings Model'!AJ303</f>
        <v>0</v>
      </c>
      <c r="AK303" s="169">
        <f>'Earnings Model (adjusted)'!AK303-'Earnings Model'!AK303</f>
        <v>0</v>
      </c>
      <c r="AL303" s="169">
        <f>'Earnings Model (adjusted)'!AL303-'Earnings Model'!AL303</f>
        <v>0</v>
      </c>
      <c r="AM303" s="169">
        <f>'Earnings Model (adjusted)'!AM303-'Earnings Model'!AM303</f>
        <v>0</v>
      </c>
      <c r="AN303" s="169">
        <f>'Earnings Model (adjusted)'!AN303-'Earnings Model'!AN303</f>
        <v>0</v>
      </c>
      <c r="AO303" s="169">
        <f>'Earnings Model (adjusted)'!AO303-'Earnings Model'!AO303</f>
        <v>0</v>
      </c>
      <c r="AP303" s="169">
        <f>'Earnings Model (adjusted)'!AP303-'Earnings Model'!AP303</f>
        <v>0</v>
      </c>
      <c r="AQ303" s="169">
        <f>'Earnings Model (adjusted)'!AQ303-'Earnings Model'!AQ303</f>
        <v>0</v>
      </c>
    </row>
    <row r="304" spans="1:43" ht="15.75" x14ac:dyDescent="0.25">
      <c r="A304" s="254"/>
      <c r="B304" s="565" t="s">
        <v>26</v>
      </c>
      <c r="C304" s="627"/>
      <c r="Q304" s="169">
        <f>'Earnings Model (adjusted)'!Q304-'Earnings Model'!Q304</f>
        <v>0</v>
      </c>
      <c r="R304" s="169">
        <f>'Earnings Model (adjusted)'!R304-'Earnings Model'!R304</f>
        <v>0</v>
      </c>
      <c r="S304" s="169">
        <f>'Earnings Model (adjusted)'!S304-'Earnings Model'!S304</f>
        <v>0</v>
      </c>
      <c r="T304" s="169">
        <f>'Earnings Model (adjusted)'!T304-'Earnings Model'!T304</f>
        <v>0</v>
      </c>
      <c r="U304" s="169">
        <f>'Earnings Model (adjusted)'!U304-'Earnings Model'!U304</f>
        <v>0</v>
      </c>
      <c r="V304" s="169">
        <f>'Earnings Model (adjusted)'!V304-'Earnings Model'!V304</f>
        <v>0</v>
      </c>
      <c r="W304" s="169">
        <f>'Earnings Model (adjusted)'!W304-'Earnings Model'!W304</f>
        <v>0</v>
      </c>
      <c r="X304" s="169">
        <f>'Earnings Model (adjusted)'!X304-'Earnings Model'!X304</f>
        <v>0</v>
      </c>
      <c r="Y304" s="169">
        <f>'Earnings Model (adjusted)'!Y304-'Earnings Model'!Y304</f>
        <v>0</v>
      </c>
      <c r="Z304" s="169">
        <f>'Earnings Model (adjusted)'!Z304-'Earnings Model'!Z304</f>
        <v>0</v>
      </c>
      <c r="AA304" s="169">
        <f>'Earnings Model (adjusted)'!AA304-'Earnings Model'!AA304</f>
        <v>0</v>
      </c>
      <c r="AB304" s="169">
        <f>'Earnings Model (adjusted)'!AB304-'Earnings Model'!AB304</f>
        <v>0</v>
      </c>
      <c r="AC304" s="169">
        <f>'Earnings Model (adjusted)'!AC304-'Earnings Model'!AC304</f>
        <v>0</v>
      </c>
      <c r="AD304" s="169">
        <f>'Earnings Model (adjusted)'!AD304-'Earnings Model'!AD304</f>
        <v>0</v>
      </c>
      <c r="AE304" s="169">
        <f>'Earnings Model (adjusted)'!AE304-'Earnings Model'!AE304</f>
        <v>0</v>
      </c>
      <c r="AF304" s="169">
        <f>'Earnings Model (adjusted)'!AF304-'Earnings Model'!AF304</f>
        <v>0</v>
      </c>
      <c r="AG304" s="169">
        <f>'Earnings Model (adjusted)'!AG304-'Earnings Model'!AG304</f>
        <v>0</v>
      </c>
      <c r="AH304" s="169">
        <f>'Earnings Model (adjusted)'!AH304-'Earnings Model'!AH304</f>
        <v>0</v>
      </c>
      <c r="AI304" s="169">
        <f>'Earnings Model (adjusted)'!AI304-'Earnings Model'!AI304</f>
        <v>0</v>
      </c>
      <c r="AJ304" s="169">
        <f>'Earnings Model (adjusted)'!AJ304-'Earnings Model'!AJ304</f>
        <v>0</v>
      </c>
      <c r="AK304" s="169">
        <f>'Earnings Model (adjusted)'!AK304-'Earnings Model'!AK304</f>
        <v>0</v>
      </c>
      <c r="AL304" s="169">
        <f>'Earnings Model (adjusted)'!AL304-'Earnings Model'!AL304</f>
        <v>0</v>
      </c>
      <c r="AM304" s="169">
        <f>'Earnings Model (adjusted)'!AM304-'Earnings Model'!AM304</f>
        <v>0</v>
      </c>
      <c r="AN304" s="169">
        <f>'Earnings Model (adjusted)'!AN304-'Earnings Model'!AN304</f>
        <v>0</v>
      </c>
      <c r="AO304" s="169">
        <f>'Earnings Model (adjusted)'!AO304-'Earnings Model'!AO304</f>
        <v>0</v>
      </c>
      <c r="AP304" s="169">
        <f>'Earnings Model (adjusted)'!AP304-'Earnings Model'!AP304</f>
        <v>0</v>
      </c>
      <c r="AQ304" s="169">
        <f>'Earnings Model (adjusted)'!AQ304-'Earnings Model'!AQ304</f>
        <v>0</v>
      </c>
    </row>
    <row r="305" spans="1:43" outlineLevel="1" x14ac:dyDescent="0.25">
      <c r="A305" s="254"/>
      <c r="B305" s="90" t="s">
        <v>80</v>
      </c>
      <c r="C305" s="28"/>
      <c r="D305" s="379"/>
      <c r="Q305" s="169">
        <f>'Earnings Model (adjusted)'!Q305-'Earnings Model'!Q305</f>
        <v>0</v>
      </c>
      <c r="R305" s="169">
        <f>'Earnings Model (adjusted)'!R305-'Earnings Model'!R305</f>
        <v>0</v>
      </c>
      <c r="S305" s="169">
        <f>'Earnings Model (adjusted)'!S305-'Earnings Model'!S305</f>
        <v>0</v>
      </c>
      <c r="T305" s="169">
        <f>'Earnings Model (adjusted)'!T305-'Earnings Model'!T305</f>
        <v>0</v>
      </c>
      <c r="U305" s="169">
        <f>'Earnings Model (adjusted)'!U305-'Earnings Model'!U305</f>
        <v>0</v>
      </c>
      <c r="V305" s="169">
        <f>'Earnings Model (adjusted)'!V305-'Earnings Model'!V305</f>
        <v>0</v>
      </c>
      <c r="W305" s="169">
        <f>'Earnings Model (adjusted)'!W305-'Earnings Model'!W305</f>
        <v>0</v>
      </c>
      <c r="X305" s="169">
        <f>'Earnings Model (adjusted)'!X305-'Earnings Model'!X305</f>
        <v>0</v>
      </c>
      <c r="Y305" s="169">
        <f>'Earnings Model (adjusted)'!Y305-'Earnings Model'!Y305</f>
        <v>0</v>
      </c>
      <c r="Z305" s="169">
        <f>'Earnings Model (adjusted)'!Z305-'Earnings Model'!Z305</f>
        <v>0</v>
      </c>
      <c r="AA305" s="169">
        <f>'Earnings Model (adjusted)'!AA305-'Earnings Model'!AA305</f>
        <v>0</v>
      </c>
      <c r="AB305" s="169">
        <f>'Earnings Model (adjusted)'!AB305-'Earnings Model'!AB305</f>
        <v>0</v>
      </c>
      <c r="AC305" s="169">
        <f>'Earnings Model (adjusted)'!AC305-'Earnings Model'!AC305</f>
        <v>0</v>
      </c>
      <c r="AD305" s="169">
        <f>'Earnings Model (adjusted)'!AD305-'Earnings Model'!AD305</f>
        <v>0</v>
      </c>
      <c r="AE305" s="169">
        <f>'Earnings Model (adjusted)'!AE305-'Earnings Model'!AE305</f>
        <v>0</v>
      </c>
      <c r="AF305" s="169">
        <f>'Earnings Model (adjusted)'!AF305-'Earnings Model'!AF305</f>
        <v>0</v>
      </c>
      <c r="AG305" s="169">
        <f>'Earnings Model (adjusted)'!AG305-'Earnings Model'!AG305</f>
        <v>0</v>
      </c>
      <c r="AH305" s="169">
        <f>'Earnings Model (adjusted)'!AH305-'Earnings Model'!AH305</f>
        <v>0</v>
      </c>
      <c r="AI305" s="169">
        <f>'Earnings Model (adjusted)'!AI305-'Earnings Model'!AI305</f>
        <v>0</v>
      </c>
      <c r="AJ305" s="169">
        <f>'Earnings Model (adjusted)'!AJ305-'Earnings Model'!AJ305</f>
        <v>0</v>
      </c>
      <c r="AK305" s="169">
        <f>'Earnings Model (adjusted)'!AK305-'Earnings Model'!AK305</f>
        <v>0</v>
      </c>
      <c r="AL305" s="169">
        <f>'Earnings Model (adjusted)'!AL305-'Earnings Model'!AL305</f>
        <v>0</v>
      </c>
      <c r="AM305" s="169">
        <f>'Earnings Model (adjusted)'!AM305-'Earnings Model'!AM305</f>
        <v>0</v>
      </c>
      <c r="AN305" s="169">
        <f>'Earnings Model (adjusted)'!AN305-'Earnings Model'!AN305</f>
        <v>0</v>
      </c>
      <c r="AO305" s="169">
        <f>'Earnings Model (adjusted)'!AO305-'Earnings Model'!AO305</f>
        <v>0</v>
      </c>
      <c r="AP305" s="169">
        <f>'Earnings Model (adjusted)'!AP305-'Earnings Model'!AP305</f>
        <v>0</v>
      </c>
      <c r="AQ305" s="169">
        <f>'Earnings Model (adjusted)'!AQ305-'Earnings Model'!AQ305</f>
        <v>0</v>
      </c>
    </row>
    <row r="306" spans="1:43" outlineLevel="1" x14ac:dyDescent="0.25">
      <c r="A306" s="254"/>
      <c r="B306" s="91" t="s">
        <v>95</v>
      </c>
      <c r="C306" s="154">
        <v>113.22599910930981</v>
      </c>
      <c r="D306" s="380"/>
      <c r="Q306" s="169">
        <f>'Earnings Model (adjusted)'!Q306-'Earnings Model'!Q306</f>
        <v>0</v>
      </c>
      <c r="R306" s="169">
        <f>'Earnings Model (adjusted)'!R306-'Earnings Model'!R306</f>
        <v>0</v>
      </c>
      <c r="S306" s="169">
        <f>'Earnings Model (adjusted)'!S306-'Earnings Model'!S306</f>
        <v>0</v>
      </c>
      <c r="T306" s="169">
        <f>'Earnings Model (adjusted)'!T306-'Earnings Model'!T306</f>
        <v>0</v>
      </c>
      <c r="U306" s="169">
        <f>'Earnings Model (adjusted)'!U306-'Earnings Model'!U306</f>
        <v>0</v>
      </c>
      <c r="V306" s="169">
        <f>'Earnings Model (adjusted)'!V306-'Earnings Model'!V306</f>
        <v>0</v>
      </c>
      <c r="W306" s="169">
        <f>'Earnings Model (adjusted)'!W306-'Earnings Model'!W306</f>
        <v>0</v>
      </c>
      <c r="X306" s="169">
        <f>'Earnings Model (adjusted)'!X306-'Earnings Model'!X306</f>
        <v>0</v>
      </c>
      <c r="Y306" s="169">
        <f>'Earnings Model (adjusted)'!Y306-'Earnings Model'!Y306</f>
        <v>0</v>
      </c>
      <c r="Z306" s="169">
        <f>'Earnings Model (adjusted)'!Z306-'Earnings Model'!Z306</f>
        <v>0</v>
      </c>
      <c r="AA306" s="169">
        <f>'Earnings Model (adjusted)'!AA306-'Earnings Model'!AA306</f>
        <v>0</v>
      </c>
      <c r="AB306" s="169">
        <f>'Earnings Model (adjusted)'!AB306-'Earnings Model'!AB306</f>
        <v>0</v>
      </c>
      <c r="AC306" s="169">
        <f>'Earnings Model (adjusted)'!AC306-'Earnings Model'!AC306</f>
        <v>0</v>
      </c>
      <c r="AD306" s="169">
        <f>'Earnings Model (adjusted)'!AD306-'Earnings Model'!AD306</f>
        <v>0</v>
      </c>
      <c r="AE306" s="169">
        <f>'Earnings Model (adjusted)'!AE306-'Earnings Model'!AE306</f>
        <v>0</v>
      </c>
      <c r="AF306" s="169">
        <f>'Earnings Model (adjusted)'!AF306-'Earnings Model'!AF306</f>
        <v>0</v>
      </c>
      <c r="AG306" s="169">
        <f>'Earnings Model (adjusted)'!AG306-'Earnings Model'!AG306</f>
        <v>0</v>
      </c>
      <c r="AH306" s="169">
        <f>'Earnings Model (adjusted)'!AH306-'Earnings Model'!AH306</f>
        <v>0</v>
      </c>
      <c r="AI306" s="169">
        <f>'Earnings Model (adjusted)'!AI306-'Earnings Model'!AI306</f>
        <v>0</v>
      </c>
      <c r="AJ306" s="169">
        <f>'Earnings Model (adjusted)'!AJ306-'Earnings Model'!AJ306</f>
        <v>0</v>
      </c>
      <c r="AK306" s="169">
        <f>'Earnings Model (adjusted)'!AK306-'Earnings Model'!AK306</f>
        <v>0</v>
      </c>
      <c r="AL306" s="169">
        <f>'Earnings Model (adjusted)'!AL306-'Earnings Model'!AL306</f>
        <v>0</v>
      </c>
      <c r="AM306" s="169">
        <f>'Earnings Model (adjusted)'!AM306-'Earnings Model'!AM306</f>
        <v>0</v>
      </c>
      <c r="AN306" s="169">
        <f>'Earnings Model (adjusted)'!AN306-'Earnings Model'!AN306</f>
        <v>0</v>
      </c>
      <c r="AO306" s="169">
        <f>'Earnings Model (adjusted)'!AO306-'Earnings Model'!AO306</f>
        <v>0</v>
      </c>
      <c r="AP306" s="169">
        <f>'Earnings Model (adjusted)'!AP306-'Earnings Model'!AP306</f>
        <v>0</v>
      </c>
      <c r="AQ306" s="169">
        <f>'Earnings Model (adjusted)'!AQ306-'Earnings Model'!AQ306</f>
        <v>0</v>
      </c>
    </row>
    <row r="307" spans="1:43" ht="17.25" outlineLevel="1" x14ac:dyDescent="0.4">
      <c r="A307" s="254"/>
      <c r="B307" s="91" t="s">
        <v>27</v>
      </c>
      <c r="C307" s="155">
        <f>P39</f>
        <v>1186.2</v>
      </c>
      <c r="D307" s="380"/>
      <c r="Q307" s="169">
        <f>'Earnings Model (adjusted)'!Q307-'Earnings Model'!Q307</f>
        <v>0</v>
      </c>
      <c r="R307" s="169">
        <f>'Earnings Model (adjusted)'!R307-'Earnings Model'!R307</f>
        <v>0</v>
      </c>
      <c r="S307" s="169">
        <f>'Earnings Model (adjusted)'!S307-'Earnings Model'!S307</f>
        <v>0</v>
      </c>
      <c r="T307" s="169">
        <f>'Earnings Model (adjusted)'!T307-'Earnings Model'!T307</f>
        <v>0</v>
      </c>
      <c r="U307" s="169">
        <f>'Earnings Model (adjusted)'!U307-'Earnings Model'!U307</f>
        <v>0</v>
      </c>
      <c r="V307" s="169">
        <f>'Earnings Model (adjusted)'!V307-'Earnings Model'!V307</f>
        <v>0</v>
      </c>
      <c r="W307" s="169">
        <f>'Earnings Model (adjusted)'!W307-'Earnings Model'!W307</f>
        <v>0</v>
      </c>
      <c r="X307" s="169">
        <f>'Earnings Model (adjusted)'!X307-'Earnings Model'!X307</f>
        <v>0</v>
      </c>
      <c r="Y307" s="169">
        <f>'Earnings Model (adjusted)'!Y307-'Earnings Model'!Y307</f>
        <v>0</v>
      </c>
      <c r="Z307" s="169">
        <f>'Earnings Model (adjusted)'!Z307-'Earnings Model'!Z307</f>
        <v>0</v>
      </c>
      <c r="AA307" s="169">
        <f>'Earnings Model (adjusted)'!AA307-'Earnings Model'!AA307</f>
        <v>0</v>
      </c>
      <c r="AB307" s="169">
        <f>'Earnings Model (adjusted)'!AB307-'Earnings Model'!AB307</f>
        <v>0</v>
      </c>
      <c r="AC307" s="169">
        <f>'Earnings Model (adjusted)'!AC307-'Earnings Model'!AC307</f>
        <v>0</v>
      </c>
      <c r="AD307" s="169">
        <f>'Earnings Model (adjusted)'!AD307-'Earnings Model'!AD307</f>
        <v>0</v>
      </c>
      <c r="AE307" s="169">
        <f>'Earnings Model (adjusted)'!AE307-'Earnings Model'!AE307</f>
        <v>0</v>
      </c>
      <c r="AF307" s="169">
        <f>'Earnings Model (adjusted)'!AF307-'Earnings Model'!AF307</f>
        <v>0</v>
      </c>
      <c r="AG307" s="169">
        <f>'Earnings Model (adjusted)'!AG307-'Earnings Model'!AG307</f>
        <v>0</v>
      </c>
      <c r="AH307" s="169">
        <f>'Earnings Model (adjusted)'!AH307-'Earnings Model'!AH307</f>
        <v>0</v>
      </c>
      <c r="AI307" s="169">
        <f>'Earnings Model (adjusted)'!AI307-'Earnings Model'!AI307</f>
        <v>0</v>
      </c>
      <c r="AJ307" s="169">
        <f>'Earnings Model (adjusted)'!AJ307-'Earnings Model'!AJ307</f>
        <v>0</v>
      </c>
      <c r="AK307" s="169">
        <f>'Earnings Model (adjusted)'!AK307-'Earnings Model'!AK307</f>
        <v>0</v>
      </c>
      <c r="AL307" s="169">
        <f>'Earnings Model (adjusted)'!AL307-'Earnings Model'!AL307</f>
        <v>0</v>
      </c>
      <c r="AM307" s="169">
        <f>'Earnings Model (adjusted)'!AM307-'Earnings Model'!AM307</f>
        <v>0</v>
      </c>
      <c r="AN307" s="169">
        <f>'Earnings Model (adjusted)'!AN307-'Earnings Model'!AN307</f>
        <v>0</v>
      </c>
      <c r="AO307" s="169">
        <f>'Earnings Model (adjusted)'!AO307-'Earnings Model'!AO307</f>
        <v>0</v>
      </c>
      <c r="AP307" s="169">
        <f>'Earnings Model (adjusted)'!AP307-'Earnings Model'!AP307</f>
        <v>0</v>
      </c>
      <c r="AQ307" s="169">
        <f>'Earnings Model (adjusted)'!AQ307-'Earnings Model'!AQ307</f>
        <v>0</v>
      </c>
    </row>
    <row r="308" spans="1:43" outlineLevel="1" x14ac:dyDescent="0.25">
      <c r="A308" s="254"/>
      <c r="B308" s="99" t="s">
        <v>28</v>
      </c>
      <c r="C308" s="92">
        <f>C307*C306</f>
        <v>134308.68014346331</v>
      </c>
      <c r="D308" s="380"/>
      <c r="Q308" s="169">
        <f>'Earnings Model (adjusted)'!Q308-'Earnings Model'!Q308</f>
        <v>0</v>
      </c>
      <c r="R308" s="169">
        <f>'Earnings Model (adjusted)'!R308-'Earnings Model'!R308</f>
        <v>0</v>
      </c>
      <c r="S308" s="169">
        <f>'Earnings Model (adjusted)'!S308-'Earnings Model'!S308</f>
        <v>0</v>
      </c>
      <c r="T308" s="169">
        <f>'Earnings Model (adjusted)'!T308-'Earnings Model'!T308</f>
        <v>0</v>
      </c>
      <c r="U308" s="169">
        <f>'Earnings Model (adjusted)'!U308-'Earnings Model'!U308</f>
        <v>0</v>
      </c>
      <c r="V308" s="169">
        <f>'Earnings Model (adjusted)'!V308-'Earnings Model'!V308</f>
        <v>0</v>
      </c>
      <c r="W308" s="169">
        <f>'Earnings Model (adjusted)'!W308-'Earnings Model'!W308</f>
        <v>0</v>
      </c>
      <c r="X308" s="169">
        <f>'Earnings Model (adjusted)'!X308-'Earnings Model'!X308</f>
        <v>0</v>
      </c>
      <c r="Y308" s="169">
        <f>'Earnings Model (adjusted)'!Y308-'Earnings Model'!Y308</f>
        <v>0</v>
      </c>
      <c r="Z308" s="169">
        <f>'Earnings Model (adjusted)'!Z308-'Earnings Model'!Z308</f>
        <v>0</v>
      </c>
      <c r="AA308" s="169">
        <f>'Earnings Model (adjusted)'!AA308-'Earnings Model'!AA308</f>
        <v>0</v>
      </c>
      <c r="AB308" s="169">
        <f>'Earnings Model (adjusted)'!AB308-'Earnings Model'!AB308</f>
        <v>0</v>
      </c>
      <c r="AC308" s="169">
        <f>'Earnings Model (adjusted)'!AC308-'Earnings Model'!AC308</f>
        <v>0</v>
      </c>
      <c r="AD308" s="169">
        <f>'Earnings Model (adjusted)'!AD308-'Earnings Model'!AD308</f>
        <v>0</v>
      </c>
      <c r="AE308" s="169">
        <f>'Earnings Model (adjusted)'!AE308-'Earnings Model'!AE308</f>
        <v>0</v>
      </c>
      <c r="AF308" s="169">
        <f>'Earnings Model (adjusted)'!AF308-'Earnings Model'!AF308</f>
        <v>0</v>
      </c>
      <c r="AG308" s="169">
        <f>'Earnings Model (adjusted)'!AG308-'Earnings Model'!AG308</f>
        <v>0</v>
      </c>
      <c r="AH308" s="169">
        <f>'Earnings Model (adjusted)'!AH308-'Earnings Model'!AH308</f>
        <v>0</v>
      </c>
      <c r="AI308" s="169">
        <f>'Earnings Model (adjusted)'!AI308-'Earnings Model'!AI308</f>
        <v>0</v>
      </c>
      <c r="AJ308" s="169">
        <f>'Earnings Model (adjusted)'!AJ308-'Earnings Model'!AJ308</f>
        <v>0</v>
      </c>
      <c r="AK308" s="169">
        <f>'Earnings Model (adjusted)'!AK308-'Earnings Model'!AK308</f>
        <v>0</v>
      </c>
      <c r="AL308" s="169">
        <f>'Earnings Model (adjusted)'!AL308-'Earnings Model'!AL308</f>
        <v>0</v>
      </c>
      <c r="AM308" s="169">
        <f>'Earnings Model (adjusted)'!AM308-'Earnings Model'!AM308</f>
        <v>0</v>
      </c>
      <c r="AN308" s="169">
        <f>'Earnings Model (adjusted)'!AN308-'Earnings Model'!AN308</f>
        <v>0</v>
      </c>
      <c r="AO308" s="169">
        <f>'Earnings Model (adjusted)'!AO308-'Earnings Model'!AO308</f>
        <v>0</v>
      </c>
      <c r="AP308" s="169">
        <f>'Earnings Model (adjusted)'!AP308-'Earnings Model'!AP308</f>
        <v>0</v>
      </c>
      <c r="AQ308" s="169">
        <f>'Earnings Model (adjusted)'!AQ308-'Earnings Model'!AQ308</f>
        <v>0</v>
      </c>
    </row>
    <row r="309" spans="1:43" outlineLevel="1" x14ac:dyDescent="0.25">
      <c r="A309" s="254"/>
      <c r="B309" s="91" t="s">
        <v>40</v>
      </c>
      <c r="C309" s="132">
        <v>0.95</v>
      </c>
      <c r="D309" s="380"/>
      <c r="Q309" s="169">
        <f>'Earnings Model (adjusted)'!Q309-'Earnings Model'!Q309</f>
        <v>0</v>
      </c>
      <c r="R309" s="169">
        <f>'Earnings Model (adjusted)'!R309-'Earnings Model'!R309</f>
        <v>0</v>
      </c>
      <c r="S309" s="169">
        <f>'Earnings Model (adjusted)'!S309-'Earnings Model'!S309</f>
        <v>0</v>
      </c>
      <c r="T309" s="169">
        <f>'Earnings Model (adjusted)'!T309-'Earnings Model'!T309</f>
        <v>0</v>
      </c>
      <c r="U309" s="169">
        <f>'Earnings Model (adjusted)'!U309-'Earnings Model'!U309</f>
        <v>0</v>
      </c>
      <c r="V309" s="169">
        <f>'Earnings Model (adjusted)'!V309-'Earnings Model'!V309</f>
        <v>0</v>
      </c>
      <c r="W309" s="169">
        <f>'Earnings Model (adjusted)'!W309-'Earnings Model'!W309</f>
        <v>0</v>
      </c>
      <c r="X309" s="169">
        <f>'Earnings Model (adjusted)'!X309-'Earnings Model'!X309</f>
        <v>0</v>
      </c>
      <c r="Y309" s="169">
        <f>'Earnings Model (adjusted)'!Y309-'Earnings Model'!Y309</f>
        <v>0</v>
      </c>
      <c r="Z309" s="169">
        <f>'Earnings Model (adjusted)'!Z309-'Earnings Model'!Z309</f>
        <v>0</v>
      </c>
      <c r="AA309" s="169">
        <f>'Earnings Model (adjusted)'!AA309-'Earnings Model'!AA309</f>
        <v>0</v>
      </c>
      <c r="AB309" s="169">
        <f>'Earnings Model (adjusted)'!AB309-'Earnings Model'!AB309</f>
        <v>0</v>
      </c>
      <c r="AC309" s="169">
        <f>'Earnings Model (adjusted)'!AC309-'Earnings Model'!AC309</f>
        <v>0</v>
      </c>
      <c r="AD309" s="169">
        <f>'Earnings Model (adjusted)'!AD309-'Earnings Model'!AD309</f>
        <v>0</v>
      </c>
      <c r="AE309" s="169">
        <f>'Earnings Model (adjusted)'!AE309-'Earnings Model'!AE309</f>
        <v>0</v>
      </c>
      <c r="AF309" s="169">
        <f>'Earnings Model (adjusted)'!AF309-'Earnings Model'!AF309</f>
        <v>0</v>
      </c>
      <c r="AG309" s="169">
        <f>'Earnings Model (adjusted)'!AG309-'Earnings Model'!AG309</f>
        <v>0</v>
      </c>
      <c r="AH309" s="169">
        <f>'Earnings Model (adjusted)'!AH309-'Earnings Model'!AH309</f>
        <v>0</v>
      </c>
      <c r="AI309" s="169">
        <f>'Earnings Model (adjusted)'!AI309-'Earnings Model'!AI309</f>
        <v>0</v>
      </c>
      <c r="AJ309" s="169">
        <f>'Earnings Model (adjusted)'!AJ309-'Earnings Model'!AJ309</f>
        <v>0</v>
      </c>
      <c r="AK309" s="169">
        <f>'Earnings Model (adjusted)'!AK309-'Earnings Model'!AK309</f>
        <v>0</v>
      </c>
      <c r="AL309" s="169">
        <f>'Earnings Model (adjusted)'!AL309-'Earnings Model'!AL309</f>
        <v>0</v>
      </c>
      <c r="AM309" s="169">
        <f>'Earnings Model (adjusted)'!AM309-'Earnings Model'!AM309</f>
        <v>0</v>
      </c>
      <c r="AN309" s="169">
        <f>'Earnings Model (adjusted)'!AN309-'Earnings Model'!AN309</f>
        <v>0</v>
      </c>
      <c r="AO309" s="169">
        <f>'Earnings Model (adjusted)'!AO309-'Earnings Model'!AO309</f>
        <v>0</v>
      </c>
      <c r="AP309" s="169">
        <f>'Earnings Model (adjusted)'!AP309-'Earnings Model'!AP309</f>
        <v>0</v>
      </c>
      <c r="AQ309" s="169">
        <f>'Earnings Model (adjusted)'!AQ309-'Earnings Model'!AQ309</f>
        <v>0</v>
      </c>
    </row>
    <row r="310" spans="1:43" outlineLevel="1" x14ac:dyDescent="0.25">
      <c r="A310" s="254"/>
      <c r="B310" s="91" t="s">
        <v>101</v>
      </c>
      <c r="C310" s="93">
        <v>0.376</v>
      </c>
      <c r="D310" s="380"/>
      <c r="Q310" s="169">
        <f>'Earnings Model (adjusted)'!Q310-'Earnings Model'!Q310</f>
        <v>0</v>
      </c>
      <c r="R310" s="169">
        <f>'Earnings Model (adjusted)'!R310-'Earnings Model'!R310</f>
        <v>0</v>
      </c>
      <c r="S310" s="169">
        <f>'Earnings Model (adjusted)'!S310-'Earnings Model'!S310</f>
        <v>0</v>
      </c>
      <c r="T310" s="169">
        <f>'Earnings Model (adjusted)'!T310-'Earnings Model'!T310</f>
        <v>0</v>
      </c>
      <c r="U310" s="169">
        <f>'Earnings Model (adjusted)'!U310-'Earnings Model'!U310</f>
        <v>0</v>
      </c>
      <c r="V310" s="169">
        <f>'Earnings Model (adjusted)'!V310-'Earnings Model'!V310</f>
        <v>0</v>
      </c>
      <c r="W310" s="169">
        <f>'Earnings Model (adjusted)'!W310-'Earnings Model'!W310</f>
        <v>0</v>
      </c>
      <c r="X310" s="169">
        <f>'Earnings Model (adjusted)'!X310-'Earnings Model'!X310</f>
        <v>0</v>
      </c>
      <c r="Y310" s="169">
        <f>'Earnings Model (adjusted)'!Y310-'Earnings Model'!Y310</f>
        <v>0</v>
      </c>
      <c r="Z310" s="169">
        <f>'Earnings Model (adjusted)'!Z310-'Earnings Model'!Z310</f>
        <v>0</v>
      </c>
      <c r="AA310" s="169">
        <f>'Earnings Model (adjusted)'!AA310-'Earnings Model'!AA310</f>
        <v>0</v>
      </c>
      <c r="AB310" s="169">
        <f>'Earnings Model (adjusted)'!AB310-'Earnings Model'!AB310</f>
        <v>0</v>
      </c>
      <c r="AC310" s="169">
        <f>'Earnings Model (adjusted)'!AC310-'Earnings Model'!AC310</f>
        <v>0</v>
      </c>
      <c r="AD310" s="169">
        <f>'Earnings Model (adjusted)'!AD310-'Earnings Model'!AD310</f>
        <v>0</v>
      </c>
      <c r="AE310" s="169">
        <f>'Earnings Model (adjusted)'!AE310-'Earnings Model'!AE310</f>
        <v>0</v>
      </c>
      <c r="AF310" s="169">
        <f>'Earnings Model (adjusted)'!AF310-'Earnings Model'!AF310</f>
        <v>0</v>
      </c>
      <c r="AG310" s="169">
        <f>'Earnings Model (adjusted)'!AG310-'Earnings Model'!AG310</f>
        <v>0</v>
      </c>
      <c r="AH310" s="169">
        <f>'Earnings Model (adjusted)'!AH310-'Earnings Model'!AH310</f>
        <v>0</v>
      </c>
      <c r="AI310" s="169">
        <f>'Earnings Model (adjusted)'!AI310-'Earnings Model'!AI310</f>
        <v>0</v>
      </c>
      <c r="AJ310" s="169">
        <f>'Earnings Model (adjusted)'!AJ310-'Earnings Model'!AJ310</f>
        <v>0</v>
      </c>
      <c r="AK310" s="169">
        <f>'Earnings Model (adjusted)'!AK310-'Earnings Model'!AK310</f>
        <v>0</v>
      </c>
      <c r="AL310" s="169">
        <f>'Earnings Model (adjusted)'!AL310-'Earnings Model'!AL310</f>
        <v>0</v>
      </c>
      <c r="AM310" s="169">
        <f>'Earnings Model (adjusted)'!AM310-'Earnings Model'!AM310</f>
        <v>0</v>
      </c>
      <c r="AN310" s="169">
        <f>'Earnings Model (adjusted)'!AN310-'Earnings Model'!AN310</f>
        <v>0</v>
      </c>
      <c r="AO310" s="169">
        <f>'Earnings Model (adjusted)'!AO310-'Earnings Model'!AO310</f>
        <v>0</v>
      </c>
      <c r="AP310" s="169">
        <f>'Earnings Model (adjusted)'!AP310-'Earnings Model'!AP310</f>
        <v>0</v>
      </c>
      <c r="AQ310" s="169">
        <f>'Earnings Model (adjusted)'!AQ310-'Earnings Model'!AQ310</f>
        <v>0</v>
      </c>
    </row>
    <row r="311" spans="1:43" outlineLevel="1" x14ac:dyDescent="0.25">
      <c r="A311" s="254"/>
      <c r="B311" s="91" t="s">
        <v>102</v>
      </c>
      <c r="C311" s="94">
        <v>0.18049999999999999</v>
      </c>
      <c r="D311" s="380"/>
      <c r="Q311" s="169">
        <f>'Earnings Model (adjusted)'!Q311-'Earnings Model'!Q311</f>
        <v>0</v>
      </c>
      <c r="R311" s="169">
        <f>'Earnings Model (adjusted)'!R311-'Earnings Model'!R311</f>
        <v>0</v>
      </c>
      <c r="S311" s="169">
        <f>'Earnings Model (adjusted)'!S311-'Earnings Model'!S311</f>
        <v>0</v>
      </c>
      <c r="T311" s="169">
        <f>'Earnings Model (adjusted)'!T311-'Earnings Model'!T311</f>
        <v>0</v>
      </c>
      <c r="U311" s="169">
        <f>'Earnings Model (adjusted)'!U311-'Earnings Model'!U311</f>
        <v>0</v>
      </c>
      <c r="V311" s="169">
        <f>'Earnings Model (adjusted)'!V311-'Earnings Model'!V311</f>
        <v>0</v>
      </c>
      <c r="W311" s="169">
        <f>'Earnings Model (adjusted)'!W311-'Earnings Model'!W311</f>
        <v>0</v>
      </c>
      <c r="X311" s="169">
        <f>'Earnings Model (adjusted)'!X311-'Earnings Model'!X311</f>
        <v>0</v>
      </c>
      <c r="Y311" s="169">
        <f>'Earnings Model (adjusted)'!Y311-'Earnings Model'!Y311</f>
        <v>0</v>
      </c>
      <c r="Z311" s="169">
        <f>'Earnings Model (adjusted)'!Z311-'Earnings Model'!Z311</f>
        <v>0</v>
      </c>
      <c r="AA311" s="169">
        <f>'Earnings Model (adjusted)'!AA311-'Earnings Model'!AA311</f>
        <v>0</v>
      </c>
      <c r="AB311" s="169">
        <f>'Earnings Model (adjusted)'!AB311-'Earnings Model'!AB311</f>
        <v>0</v>
      </c>
      <c r="AC311" s="169">
        <f>'Earnings Model (adjusted)'!AC311-'Earnings Model'!AC311</f>
        <v>0</v>
      </c>
      <c r="AD311" s="169">
        <f>'Earnings Model (adjusted)'!AD311-'Earnings Model'!AD311</f>
        <v>0</v>
      </c>
      <c r="AE311" s="169">
        <f>'Earnings Model (adjusted)'!AE311-'Earnings Model'!AE311</f>
        <v>0</v>
      </c>
      <c r="AF311" s="169">
        <f>'Earnings Model (adjusted)'!AF311-'Earnings Model'!AF311</f>
        <v>0</v>
      </c>
      <c r="AG311" s="169">
        <f>'Earnings Model (adjusted)'!AG311-'Earnings Model'!AG311</f>
        <v>0</v>
      </c>
      <c r="AH311" s="169">
        <f>'Earnings Model (adjusted)'!AH311-'Earnings Model'!AH311</f>
        <v>0</v>
      </c>
      <c r="AI311" s="169">
        <f>'Earnings Model (adjusted)'!AI311-'Earnings Model'!AI311</f>
        <v>0</v>
      </c>
      <c r="AJ311" s="169">
        <f>'Earnings Model (adjusted)'!AJ311-'Earnings Model'!AJ311</f>
        <v>0</v>
      </c>
      <c r="AK311" s="169">
        <f>'Earnings Model (adjusted)'!AK311-'Earnings Model'!AK311</f>
        <v>0</v>
      </c>
      <c r="AL311" s="169">
        <f>'Earnings Model (adjusted)'!AL311-'Earnings Model'!AL311</f>
        <v>0</v>
      </c>
      <c r="AM311" s="169">
        <f>'Earnings Model (adjusted)'!AM311-'Earnings Model'!AM311</f>
        <v>0</v>
      </c>
      <c r="AN311" s="169">
        <f>'Earnings Model (adjusted)'!AN311-'Earnings Model'!AN311</f>
        <v>0</v>
      </c>
      <c r="AO311" s="169">
        <f>'Earnings Model (adjusted)'!AO311-'Earnings Model'!AO311</f>
        <v>0</v>
      </c>
      <c r="AP311" s="169">
        <f>'Earnings Model (adjusted)'!AP311-'Earnings Model'!AP311</f>
        <v>0</v>
      </c>
      <c r="AQ311" s="169">
        <f>'Earnings Model (adjusted)'!AQ311-'Earnings Model'!AQ311</f>
        <v>0</v>
      </c>
    </row>
    <row r="312" spans="1:43" outlineLevel="1" x14ac:dyDescent="0.25">
      <c r="A312" s="254"/>
      <c r="B312" s="100" t="s">
        <v>29</v>
      </c>
      <c r="C312" s="95">
        <f>C310*C311</f>
        <v>6.7867999999999998E-2</v>
      </c>
      <c r="D312" s="380"/>
      <c r="Q312" s="169">
        <f>'Earnings Model (adjusted)'!Q312-'Earnings Model'!Q312</f>
        <v>0</v>
      </c>
      <c r="R312" s="169">
        <f>'Earnings Model (adjusted)'!R312-'Earnings Model'!R312</f>
        <v>0</v>
      </c>
      <c r="S312" s="169">
        <f>'Earnings Model (adjusted)'!S312-'Earnings Model'!S312</f>
        <v>0</v>
      </c>
      <c r="T312" s="169">
        <f>'Earnings Model (adjusted)'!T312-'Earnings Model'!T312</f>
        <v>0</v>
      </c>
      <c r="U312" s="169">
        <f>'Earnings Model (adjusted)'!U312-'Earnings Model'!U312</f>
        <v>0</v>
      </c>
      <c r="V312" s="169">
        <f>'Earnings Model (adjusted)'!V312-'Earnings Model'!V312</f>
        <v>0</v>
      </c>
      <c r="W312" s="169">
        <f>'Earnings Model (adjusted)'!W312-'Earnings Model'!W312</f>
        <v>0</v>
      </c>
      <c r="X312" s="169">
        <f>'Earnings Model (adjusted)'!X312-'Earnings Model'!X312</f>
        <v>0</v>
      </c>
      <c r="Y312" s="169">
        <f>'Earnings Model (adjusted)'!Y312-'Earnings Model'!Y312</f>
        <v>0</v>
      </c>
      <c r="Z312" s="169">
        <f>'Earnings Model (adjusted)'!Z312-'Earnings Model'!Z312</f>
        <v>0</v>
      </c>
      <c r="AA312" s="169">
        <f>'Earnings Model (adjusted)'!AA312-'Earnings Model'!AA312</f>
        <v>0</v>
      </c>
      <c r="AB312" s="169">
        <f>'Earnings Model (adjusted)'!AB312-'Earnings Model'!AB312</f>
        <v>0</v>
      </c>
      <c r="AC312" s="169">
        <f>'Earnings Model (adjusted)'!AC312-'Earnings Model'!AC312</f>
        <v>0</v>
      </c>
      <c r="AD312" s="169">
        <f>'Earnings Model (adjusted)'!AD312-'Earnings Model'!AD312</f>
        <v>0</v>
      </c>
      <c r="AE312" s="169">
        <f>'Earnings Model (adjusted)'!AE312-'Earnings Model'!AE312</f>
        <v>0</v>
      </c>
      <c r="AF312" s="169">
        <f>'Earnings Model (adjusted)'!AF312-'Earnings Model'!AF312</f>
        <v>0</v>
      </c>
      <c r="AG312" s="169">
        <f>'Earnings Model (adjusted)'!AG312-'Earnings Model'!AG312</f>
        <v>0</v>
      </c>
      <c r="AH312" s="169">
        <f>'Earnings Model (adjusted)'!AH312-'Earnings Model'!AH312</f>
        <v>0</v>
      </c>
      <c r="AI312" s="169">
        <f>'Earnings Model (adjusted)'!AI312-'Earnings Model'!AI312</f>
        <v>0</v>
      </c>
      <c r="AJ312" s="169">
        <f>'Earnings Model (adjusted)'!AJ312-'Earnings Model'!AJ312</f>
        <v>0</v>
      </c>
      <c r="AK312" s="169">
        <f>'Earnings Model (adjusted)'!AK312-'Earnings Model'!AK312</f>
        <v>0</v>
      </c>
      <c r="AL312" s="169">
        <f>'Earnings Model (adjusted)'!AL312-'Earnings Model'!AL312</f>
        <v>0</v>
      </c>
      <c r="AM312" s="169">
        <f>'Earnings Model (adjusted)'!AM312-'Earnings Model'!AM312</f>
        <v>0</v>
      </c>
      <c r="AN312" s="169">
        <f>'Earnings Model (adjusted)'!AN312-'Earnings Model'!AN312</f>
        <v>0</v>
      </c>
      <c r="AO312" s="169">
        <f>'Earnings Model (adjusted)'!AO312-'Earnings Model'!AO312</f>
        <v>0</v>
      </c>
      <c r="AP312" s="169">
        <f>'Earnings Model (adjusted)'!AP312-'Earnings Model'!AP312</f>
        <v>0</v>
      </c>
      <c r="AQ312" s="169">
        <f>'Earnings Model (adjusted)'!AQ312-'Earnings Model'!AQ312</f>
        <v>0</v>
      </c>
    </row>
    <row r="313" spans="1:43" outlineLevel="1" x14ac:dyDescent="0.25">
      <c r="A313" s="254"/>
      <c r="B313" s="91" t="s">
        <v>97</v>
      </c>
      <c r="C313" s="96">
        <v>9.4999999999999998E-3</v>
      </c>
      <c r="D313" s="380"/>
      <c r="Q313" s="169">
        <f>'Earnings Model (adjusted)'!Q313-'Earnings Model'!Q313</f>
        <v>0</v>
      </c>
      <c r="R313" s="169">
        <f>'Earnings Model (adjusted)'!R313-'Earnings Model'!R313</f>
        <v>0</v>
      </c>
      <c r="S313" s="169">
        <f>'Earnings Model (adjusted)'!S313-'Earnings Model'!S313</f>
        <v>0</v>
      </c>
      <c r="T313" s="169">
        <f>'Earnings Model (adjusted)'!T313-'Earnings Model'!T313</f>
        <v>0</v>
      </c>
      <c r="U313" s="169">
        <f>'Earnings Model (adjusted)'!U313-'Earnings Model'!U313</f>
        <v>0</v>
      </c>
      <c r="V313" s="169">
        <f>'Earnings Model (adjusted)'!V313-'Earnings Model'!V313</f>
        <v>0</v>
      </c>
      <c r="W313" s="169">
        <f>'Earnings Model (adjusted)'!W313-'Earnings Model'!W313</f>
        <v>0</v>
      </c>
      <c r="X313" s="169">
        <f>'Earnings Model (adjusted)'!X313-'Earnings Model'!X313</f>
        <v>0</v>
      </c>
      <c r="Y313" s="169">
        <f>'Earnings Model (adjusted)'!Y313-'Earnings Model'!Y313</f>
        <v>0</v>
      </c>
      <c r="Z313" s="169">
        <f>'Earnings Model (adjusted)'!Z313-'Earnings Model'!Z313</f>
        <v>0</v>
      </c>
      <c r="AA313" s="169">
        <f>'Earnings Model (adjusted)'!AA313-'Earnings Model'!AA313</f>
        <v>0</v>
      </c>
      <c r="AB313" s="169">
        <f>'Earnings Model (adjusted)'!AB313-'Earnings Model'!AB313</f>
        <v>0</v>
      </c>
      <c r="AC313" s="169">
        <f>'Earnings Model (adjusted)'!AC313-'Earnings Model'!AC313</f>
        <v>0</v>
      </c>
      <c r="AD313" s="169">
        <f>'Earnings Model (adjusted)'!AD313-'Earnings Model'!AD313</f>
        <v>0</v>
      </c>
      <c r="AE313" s="169">
        <f>'Earnings Model (adjusted)'!AE313-'Earnings Model'!AE313</f>
        <v>0</v>
      </c>
      <c r="AF313" s="169">
        <f>'Earnings Model (adjusted)'!AF313-'Earnings Model'!AF313</f>
        <v>0</v>
      </c>
      <c r="AG313" s="169">
        <f>'Earnings Model (adjusted)'!AG313-'Earnings Model'!AG313</f>
        <v>0</v>
      </c>
      <c r="AH313" s="169">
        <f>'Earnings Model (adjusted)'!AH313-'Earnings Model'!AH313</f>
        <v>0</v>
      </c>
      <c r="AI313" s="169">
        <f>'Earnings Model (adjusted)'!AI313-'Earnings Model'!AI313</f>
        <v>0</v>
      </c>
      <c r="AJ313" s="169">
        <f>'Earnings Model (adjusted)'!AJ313-'Earnings Model'!AJ313</f>
        <v>0</v>
      </c>
      <c r="AK313" s="169">
        <f>'Earnings Model (adjusted)'!AK313-'Earnings Model'!AK313</f>
        <v>0</v>
      </c>
      <c r="AL313" s="169">
        <f>'Earnings Model (adjusted)'!AL313-'Earnings Model'!AL313</f>
        <v>0</v>
      </c>
      <c r="AM313" s="169">
        <f>'Earnings Model (adjusted)'!AM313-'Earnings Model'!AM313</f>
        <v>0</v>
      </c>
      <c r="AN313" s="169">
        <f>'Earnings Model (adjusted)'!AN313-'Earnings Model'!AN313</f>
        <v>0</v>
      </c>
      <c r="AO313" s="169">
        <f>'Earnings Model (adjusted)'!AO313-'Earnings Model'!AO313</f>
        <v>0</v>
      </c>
      <c r="AP313" s="169">
        <f>'Earnings Model (adjusted)'!AP313-'Earnings Model'!AP313</f>
        <v>0</v>
      </c>
      <c r="AQ313" s="169">
        <f>'Earnings Model (adjusted)'!AQ313-'Earnings Model'!AQ313</f>
        <v>0</v>
      </c>
    </row>
    <row r="314" spans="1:43" outlineLevel="1" x14ac:dyDescent="0.25">
      <c r="A314" s="254"/>
      <c r="B314" s="99" t="s">
        <v>30</v>
      </c>
      <c r="C314" s="102">
        <f>C313+(C309*C312)</f>
        <v>7.3974599999999988E-2</v>
      </c>
      <c r="D314" s="380"/>
      <c r="Q314" s="169">
        <f>'Earnings Model (adjusted)'!Q314-'Earnings Model'!Q314</f>
        <v>0</v>
      </c>
      <c r="R314" s="169">
        <f>'Earnings Model (adjusted)'!R314-'Earnings Model'!R314</f>
        <v>0</v>
      </c>
      <c r="S314" s="169">
        <f>'Earnings Model (adjusted)'!S314-'Earnings Model'!S314</f>
        <v>0</v>
      </c>
      <c r="T314" s="169">
        <f>'Earnings Model (adjusted)'!T314-'Earnings Model'!T314</f>
        <v>0</v>
      </c>
      <c r="U314" s="169">
        <f>'Earnings Model (adjusted)'!U314-'Earnings Model'!U314</f>
        <v>0</v>
      </c>
      <c r="V314" s="169">
        <f>'Earnings Model (adjusted)'!V314-'Earnings Model'!V314</f>
        <v>0</v>
      </c>
      <c r="W314" s="169">
        <f>'Earnings Model (adjusted)'!W314-'Earnings Model'!W314</f>
        <v>0</v>
      </c>
      <c r="X314" s="169">
        <f>'Earnings Model (adjusted)'!X314-'Earnings Model'!X314</f>
        <v>0</v>
      </c>
      <c r="Y314" s="169">
        <f>'Earnings Model (adjusted)'!Y314-'Earnings Model'!Y314</f>
        <v>0</v>
      </c>
      <c r="Z314" s="169">
        <f>'Earnings Model (adjusted)'!Z314-'Earnings Model'!Z314</f>
        <v>0</v>
      </c>
      <c r="AA314" s="169">
        <f>'Earnings Model (adjusted)'!AA314-'Earnings Model'!AA314</f>
        <v>0</v>
      </c>
      <c r="AB314" s="169">
        <f>'Earnings Model (adjusted)'!AB314-'Earnings Model'!AB314</f>
        <v>0</v>
      </c>
      <c r="AC314" s="169">
        <f>'Earnings Model (adjusted)'!AC314-'Earnings Model'!AC314</f>
        <v>0</v>
      </c>
      <c r="AD314" s="169">
        <f>'Earnings Model (adjusted)'!AD314-'Earnings Model'!AD314</f>
        <v>0</v>
      </c>
      <c r="AE314" s="169">
        <f>'Earnings Model (adjusted)'!AE314-'Earnings Model'!AE314</f>
        <v>0</v>
      </c>
      <c r="AF314" s="169">
        <f>'Earnings Model (adjusted)'!AF314-'Earnings Model'!AF314</f>
        <v>0</v>
      </c>
      <c r="AG314" s="169">
        <f>'Earnings Model (adjusted)'!AG314-'Earnings Model'!AG314</f>
        <v>0</v>
      </c>
      <c r="AH314" s="169">
        <f>'Earnings Model (adjusted)'!AH314-'Earnings Model'!AH314</f>
        <v>0</v>
      </c>
      <c r="AI314" s="169">
        <f>'Earnings Model (adjusted)'!AI314-'Earnings Model'!AI314</f>
        <v>0</v>
      </c>
      <c r="AJ314" s="169">
        <f>'Earnings Model (adjusted)'!AJ314-'Earnings Model'!AJ314</f>
        <v>0</v>
      </c>
      <c r="AK314" s="169">
        <f>'Earnings Model (adjusted)'!AK314-'Earnings Model'!AK314</f>
        <v>0</v>
      </c>
      <c r="AL314" s="169">
        <f>'Earnings Model (adjusted)'!AL314-'Earnings Model'!AL314</f>
        <v>0</v>
      </c>
      <c r="AM314" s="169">
        <f>'Earnings Model (adjusted)'!AM314-'Earnings Model'!AM314</f>
        <v>0</v>
      </c>
      <c r="AN314" s="169">
        <f>'Earnings Model (adjusted)'!AN314-'Earnings Model'!AN314</f>
        <v>0</v>
      </c>
      <c r="AO314" s="169">
        <f>'Earnings Model (adjusted)'!AO314-'Earnings Model'!AO314</f>
        <v>0</v>
      </c>
      <c r="AP314" s="169">
        <f>'Earnings Model (adjusted)'!AP314-'Earnings Model'!AP314</f>
        <v>0</v>
      </c>
      <c r="AQ314" s="169">
        <f>'Earnings Model (adjusted)'!AQ314-'Earnings Model'!AQ314</f>
        <v>0</v>
      </c>
    </row>
    <row r="315" spans="1:43" outlineLevel="1" x14ac:dyDescent="0.25">
      <c r="A315" s="254"/>
      <c r="B315" s="57" t="s">
        <v>31</v>
      </c>
      <c r="C315" s="97">
        <f>C308/(C308+P209+P212)</f>
        <v>0.90184371148078146</v>
      </c>
      <c r="D315" s="380"/>
      <c r="Q315" s="169">
        <f>'Earnings Model (adjusted)'!Q315-'Earnings Model'!Q315</f>
        <v>0</v>
      </c>
      <c r="R315" s="169">
        <f>'Earnings Model (adjusted)'!R315-'Earnings Model'!R315</f>
        <v>0</v>
      </c>
      <c r="S315" s="169">
        <f>'Earnings Model (adjusted)'!S315-'Earnings Model'!S315</f>
        <v>0</v>
      </c>
      <c r="T315" s="169">
        <f>'Earnings Model (adjusted)'!T315-'Earnings Model'!T315</f>
        <v>0</v>
      </c>
      <c r="U315" s="169">
        <f>'Earnings Model (adjusted)'!U315-'Earnings Model'!U315</f>
        <v>0</v>
      </c>
      <c r="V315" s="169">
        <f>'Earnings Model (adjusted)'!V315-'Earnings Model'!V315</f>
        <v>0</v>
      </c>
      <c r="W315" s="169">
        <f>'Earnings Model (adjusted)'!W315-'Earnings Model'!W315</f>
        <v>0</v>
      </c>
      <c r="X315" s="169">
        <f>'Earnings Model (adjusted)'!X315-'Earnings Model'!X315</f>
        <v>0</v>
      </c>
      <c r="Y315" s="169">
        <f>'Earnings Model (adjusted)'!Y315-'Earnings Model'!Y315</f>
        <v>0</v>
      </c>
      <c r="Z315" s="169">
        <f>'Earnings Model (adjusted)'!Z315-'Earnings Model'!Z315</f>
        <v>0</v>
      </c>
      <c r="AA315" s="169">
        <f>'Earnings Model (adjusted)'!AA315-'Earnings Model'!AA315</f>
        <v>0</v>
      </c>
      <c r="AB315" s="169">
        <f>'Earnings Model (adjusted)'!AB315-'Earnings Model'!AB315</f>
        <v>0</v>
      </c>
      <c r="AC315" s="169">
        <f>'Earnings Model (adjusted)'!AC315-'Earnings Model'!AC315</f>
        <v>0</v>
      </c>
      <c r="AD315" s="169">
        <f>'Earnings Model (adjusted)'!AD315-'Earnings Model'!AD315</f>
        <v>0</v>
      </c>
      <c r="AE315" s="169">
        <f>'Earnings Model (adjusted)'!AE315-'Earnings Model'!AE315</f>
        <v>0</v>
      </c>
      <c r="AF315" s="169">
        <f>'Earnings Model (adjusted)'!AF315-'Earnings Model'!AF315</f>
        <v>0</v>
      </c>
      <c r="AG315" s="169">
        <f>'Earnings Model (adjusted)'!AG315-'Earnings Model'!AG315</f>
        <v>0</v>
      </c>
      <c r="AH315" s="169">
        <f>'Earnings Model (adjusted)'!AH315-'Earnings Model'!AH315</f>
        <v>0</v>
      </c>
      <c r="AI315" s="169">
        <f>'Earnings Model (adjusted)'!AI315-'Earnings Model'!AI315</f>
        <v>0</v>
      </c>
      <c r="AJ315" s="169">
        <f>'Earnings Model (adjusted)'!AJ315-'Earnings Model'!AJ315</f>
        <v>0</v>
      </c>
      <c r="AK315" s="169">
        <f>'Earnings Model (adjusted)'!AK315-'Earnings Model'!AK315</f>
        <v>0</v>
      </c>
      <c r="AL315" s="169">
        <f>'Earnings Model (adjusted)'!AL315-'Earnings Model'!AL315</f>
        <v>0</v>
      </c>
      <c r="AM315" s="169">
        <f>'Earnings Model (adjusted)'!AM315-'Earnings Model'!AM315</f>
        <v>0</v>
      </c>
      <c r="AN315" s="169">
        <f>'Earnings Model (adjusted)'!AN315-'Earnings Model'!AN315</f>
        <v>0</v>
      </c>
      <c r="AO315" s="169">
        <f>'Earnings Model (adjusted)'!AO315-'Earnings Model'!AO315</f>
        <v>0</v>
      </c>
      <c r="AP315" s="169">
        <f>'Earnings Model (adjusted)'!AP315-'Earnings Model'!AP315</f>
        <v>0</v>
      </c>
      <c r="AQ315" s="169">
        <f>'Earnings Model (adjusted)'!AQ315-'Earnings Model'!AQ315</f>
        <v>0</v>
      </c>
    </row>
    <row r="316" spans="1:43" outlineLevel="1" x14ac:dyDescent="0.25">
      <c r="A316" s="254"/>
      <c r="B316" s="57" t="s">
        <v>32</v>
      </c>
      <c r="C316" s="97">
        <f>P155*4</f>
        <v>3.0997686790789538E-2</v>
      </c>
      <c r="D316" s="380"/>
      <c r="Q316" s="169">
        <f>'Earnings Model (adjusted)'!Q316-'Earnings Model'!Q316</f>
        <v>0</v>
      </c>
      <c r="R316" s="169">
        <f>'Earnings Model (adjusted)'!R316-'Earnings Model'!R316</f>
        <v>0</v>
      </c>
      <c r="S316" s="169">
        <f>'Earnings Model (adjusted)'!S316-'Earnings Model'!S316</f>
        <v>0</v>
      </c>
      <c r="T316" s="169">
        <f>'Earnings Model (adjusted)'!T316-'Earnings Model'!T316</f>
        <v>0</v>
      </c>
      <c r="U316" s="169">
        <f>'Earnings Model (adjusted)'!U316-'Earnings Model'!U316</f>
        <v>0</v>
      </c>
      <c r="V316" s="169">
        <f>'Earnings Model (adjusted)'!V316-'Earnings Model'!V316</f>
        <v>0</v>
      </c>
      <c r="W316" s="169">
        <f>'Earnings Model (adjusted)'!W316-'Earnings Model'!W316</f>
        <v>0</v>
      </c>
      <c r="X316" s="169">
        <f>'Earnings Model (adjusted)'!X316-'Earnings Model'!X316</f>
        <v>0</v>
      </c>
      <c r="Y316" s="169">
        <f>'Earnings Model (adjusted)'!Y316-'Earnings Model'!Y316</f>
        <v>0</v>
      </c>
      <c r="Z316" s="169">
        <f>'Earnings Model (adjusted)'!Z316-'Earnings Model'!Z316</f>
        <v>0</v>
      </c>
      <c r="AA316" s="169">
        <f>'Earnings Model (adjusted)'!AA316-'Earnings Model'!AA316</f>
        <v>0</v>
      </c>
      <c r="AB316" s="169">
        <f>'Earnings Model (adjusted)'!AB316-'Earnings Model'!AB316</f>
        <v>0</v>
      </c>
      <c r="AC316" s="169">
        <f>'Earnings Model (adjusted)'!AC316-'Earnings Model'!AC316</f>
        <v>0</v>
      </c>
      <c r="AD316" s="169">
        <f>'Earnings Model (adjusted)'!AD316-'Earnings Model'!AD316</f>
        <v>0</v>
      </c>
      <c r="AE316" s="169">
        <f>'Earnings Model (adjusted)'!AE316-'Earnings Model'!AE316</f>
        <v>0</v>
      </c>
      <c r="AF316" s="169">
        <f>'Earnings Model (adjusted)'!AF316-'Earnings Model'!AF316</f>
        <v>0</v>
      </c>
      <c r="AG316" s="169">
        <f>'Earnings Model (adjusted)'!AG316-'Earnings Model'!AG316</f>
        <v>0</v>
      </c>
      <c r="AH316" s="169">
        <f>'Earnings Model (adjusted)'!AH316-'Earnings Model'!AH316</f>
        <v>0</v>
      </c>
      <c r="AI316" s="169">
        <f>'Earnings Model (adjusted)'!AI316-'Earnings Model'!AI316</f>
        <v>0</v>
      </c>
      <c r="AJ316" s="169">
        <f>'Earnings Model (adjusted)'!AJ316-'Earnings Model'!AJ316</f>
        <v>0</v>
      </c>
      <c r="AK316" s="169">
        <f>'Earnings Model (adjusted)'!AK316-'Earnings Model'!AK316</f>
        <v>0</v>
      </c>
      <c r="AL316" s="169">
        <f>'Earnings Model (adjusted)'!AL316-'Earnings Model'!AL316</f>
        <v>0</v>
      </c>
      <c r="AM316" s="169">
        <f>'Earnings Model (adjusted)'!AM316-'Earnings Model'!AM316</f>
        <v>0</v>
      </c>
      <c r="AN316" s="169">
        <f>'Earnings Model (adjusted)'!AN316-'Earnings Model'!AN316</f>
        <v>0</v>
      </c>
      <c r="AO316" s="169">
        <f>'Earnings Model (adjusted)'!AO316-'Earnings Model'!AO316</f>
        <v>0</v>
      </c>
      <c r="AP316" s="169">
        <f>'Earnings Model (adjusted)'!AP316-'Earnings Model'!AP316</f>
        <v>0</v>
      </c>
      <c r="AQ316" s="169">
        <f>'Earnings Model (adjusted)'!AQ316-'Earnings Model'!AQ316</f>
        <v>0</v>
      </c>
    </row>
    <row r="317" spans="1:43" outlineLevel="1" x14ac:dyDescent="0.25">
      <c r="A317" s="254"/>
      <c r="B317" s="57" t="s">
        <v>2</v>
      </c>
      <c r="C317" s="70">
        <f>R153</f>
        <v>-6.2102593224838687E-5</v>
      </c>
      <c r="D317" s="380"/>
      <c r="Q317" s="169">
        <f>'Earnings Model (adjusted)'!Q317-'Earnings Model'!Q317</f>
        <v>0</v>
      </c>
      <c r="R317" s="169">
        <f>'Earnings Model (adjusted)'!R317-'Earnings Model'!R317</f>
        <v>0</v>
      </c>
      <c r="S317" s="169">
        <f>'Earnings Model (adjusted)'!S317-'Earnings Model'!S317</f>
        <v>0</v>
      </c>
      <c r="T317" s="169">
        <f>'Earnings Model (adjusted)'!T317-'Earnings Model'!T317</f>
        <v>0</v>
      </c>
      <c r="U317" s="169">
        <f>'Earnings Model (adjusted)'!U317-'Earnings Model'!U317</f>
        <v>0</v>
      </c>
      <c r="V317" s="169">
        <f>'Earnings Model (adjusted)'!V317-'Earnings Model'!V317</f>
        <v>0</v>
      </c>
      <c r="W317" s="169">
        <f>'Earnings Model (adjusted)'!W317-'Earnings Model'!W317</f>
        <v>0</v>
      </c>
      <c r="X317" s="169">
        <f>'Earnings Model (adjusted)'!X317-'Earnings Model'!X317</f>
        <v>0</v>
      </c>
      <c r="Y317" s="169">
        <f>'Earnings Model (adjusted)'!Y317-'Earnings Model'!Y317</f>
        <v>0</v>
      </c>
      <c r="Z317" s="169">
        <f>'Earnings Model (adjusted)'!Z317-'Earnings Model'!Z317</f>
        <v>0</v>
      </c>
      <c r="AA317" s="169">
        <f>'Earnings Model (adjusted)'!AA317-'Earnings Model'!AA317</f>
        <v>0</v>
      </c>
      <c r="AB317" s="169">
        <f>'Earnings Model (adjusted)'!AB317-'Earnings Model'!AB317</f>
        <v>0</v>
      </c>
      <c r="AC317" s="169">
        <f>'Earnings Model (adjusted)'!AC317-'Earnings Model'!AC317</f>
        <v>0</v>
      </c>
      <c r="AD317" s="169">
        <f>'Earnings Model (adjusted)'!AD317-'Earnings Model'!AD317</f>
        <v>0</v>
      </c>
      <c r="AE317" s="169">
        <f>'Earnings Model (adjusted)'!AE317-'Earnings Model'!AE317</f>
        <v>0</v>
      </c>
      <c r="AF317" s="169">
        <f>'Earnings Model (adjusted)'!AF317-'Earnings Model'!AF317</f>
        <v>0</v>
      </c>
      <c r="AG317" s="169">
        <f>'Earnings Model (adjusted)'!AG317-'Earnings Model'!AG317</f>
        <v>0</v>
      </c>
      <c r="AH317" s="169">
        <f>'Earnings Model (adjusted)'!AH317-'Earnings Model'!AH317</f>
        <v>0</v>
      </c>
      <c r="AI317" s="169">
        <f>'Earnings Model (adjusted)'!AI317-'Earnings Model'!AI317</f>
        <v>0</v>
      </c>
      <c r="AJ317" s="169">
        <f>'Earnings Model (adjusted)'!AJ317-'Earnings Model'!AJ317</f>
        <v>0</v>
      </c>
      <c r="AK317" s="169">
        <f>'Earnings Model (adjusted)'!AK317-'Earnings Model'!AK317</f>
        <v>0</v>
      </c>
      <c r="AL317" s="169">
        <f>'Earnings Model (adjusted)'!AL317-'Earnings Model'!AL317</f>
        <v>0</v>
      </c>
      <c r="AM317" s="169">
        <f>'Earnings Model (adjusted)'!AM317-'Earnings Model'!AM317</f>
        <v>0</v>
      </c>
      <c r="AN317" s="169">
        <f>'Earnings Model (adjusted)'!AN317-'Earnings Model'!AN317</f>
        <v>0</v>
      </c>
      <c r="AO317" s="169">
        <f>'Earnings Model (adjusted)'!AO317-'Earnings Model'!AO317</f>
        <v>0</v>
      </c>
      <c r="AP317" s="169">
        <f>'Earnings Model (adjusted)'!AP317-'Earnings Model'!AP317</f>
        <v>0</v>
      </c>
      <c r="AQ317" s="169">
        <f>'Earnings Model (adjusted)'!AQ317-'Earnings Model'!AQ317</f>
        <v>0</v>
      </c>
    </row>
    <row r="318" spans="1:43" outlineLevel="1" x14ac:dyDescent="0.25">
      <c r="A318" s="254"/>
      <c r="B318" s="57" t="s">
        <v>33</v>
      </c>
      <c r="C318" s="97">
        <f>C316*(1-C317)</f>
        <v>3.0999611827523216E-2</v>
      </c>
      <c r="D318" s="380"/>
      <c r="Q318" s="169">
        <f>'Earnings Model (adjusted)'!Q318-'Earnings Model'!Q318</f>
        <v>0</v>
      </c>
      <c r="R318" s="169">
        <f>'Earnings Model (adjusted)'!R318-'Earnings Model'!R318</f>
        <v>0</v>
      </c>
      <c r="S318" s="169">
        <f>'Earnings Model (adjusted)'!S318-'Earnings Model'!S318</f>
        <v>0</v>
      </c>
      <c r="T318" s="169">
        <f>'Earnings Model (adjusted)'!T318-'Earnings Model'!T318</f>
        <v>0</v>
      </c>
      <c r="U318" s="169">
        <f>'Earnings Model (adjusted)'!U318-'Earnings Model'!U318</f>
        <v>0</v>
      </c>
      <c r="V318" s="169">
        <f>'Earnings Model (adjusted)'!V318-'Earnings Model'!V318</f>
        <v>0</v>
      </c>
      <c r="W318" s="169">
        <f>'Earnings Model (adjusted)'!W318-'Earnings Model'!W318</f>
        <v>0</v>
      </c>
      <c r="X318" s="169">
        <f>'Earnings Model (adjusted)'!X318-'Earnings Model'!X318</f>
        <v>0</v>
      </c>
      <c r="Y318" s="169">
        <f>'Earnings Model (adjusted)'!Y318-'Earnings Model'!Y318</f>
        <v>0</v>
      </c>
      <c r="Z318" s="169">
        <f>'Earnings Model (adjusted)'!Z318-'Earnings Model'!Z318</f>
        <v>0</v>
      </c>
      <c r="AA318" s="169">
        <f>'Earnings Model (adjusted)'!AA318-'Earnings Model'!AA318</f>
        <v>0</v>
      </c>
      <c r="AB318" s="169">
        <f>'Earnings Model (adjusted)'!AB318-'Earnings Model'!AB318</f>
        <v>0</v>
      </c>
      <c r="AC318" s="169">
        <f>'Earnings Model (adjusted)'!AC318-'Earnings Model'!AC318</f>
        <v>0</v>
      </c>
      <c r="AD318" s="169">
        <f>'Earnings Model (adjusted)'!AD318-'Earnings Model'!AD318</f>
        <v>0</v>
      </c>
      <c r="AE318" s="169">
        <f>'Earnings Model (adjusted)'!AE318-'Earnings Model'!AE318</f>
        <v>0</v>
      </c>
      <c r="AF318" s="169">
        <f>'Earnings Model (adjusted)'!AF318-'Earnings Model'!AF318</f>
        <v>0</v>
      </c>
      <c r="AG318" s="169">
        <f>'Earnings Model (adjusted)'!AG318-'Earnings Model'!AG318</f>
        <v>0</v>
      </c>
      <c r="AH318" s="169">
        <f>'Earnings Model (adjusted)'!AH318-'Earnings Model'!AH318</f>
        <v>0</v>
      </c>
      <c r="AI318" s="169">
        <f>'Earnings Model (adjusted)'!AI318-'Earnings Model'!AI318</f>
        <v>0</v>
      </c>
      <c r="AJ318" s="169">
        <f>'Earnings Model (adjusted)'!AJ318-'Earnings Model'!AJ318</f>
        <v>0</v>
      </c>
      <c r="AK318" s="169">
        <f>'Earnings Model (adjusted)'!AK318-'Earnings Model'!AK318</f>
        <v>0</v>
      </c>
      <c r="AL318" s="169">
        <f>'Earnings Model (adjusted)'!AL318-'Earnings Model'!AL318</f>
        <v>0</v>
      </c>
      <c r="AM318" s="169">
        <f>'Earnings Model (adjusted)'!AM318-'Earnings Model'!AM318</f>
        <v>0</v>
      </c>
      <c r="AN318" s="169">
        <f>'Earnings Model (adjusted)'!AN318-'Earnings Model'!AN318</f>
        <v>0</v>
      </c>
      <c r="AO318" s="169">
        <f>'Earnings Model (adjusted)'!AO318-'Earnings Model'!AO318</f>
        <v>0</v>
      </c>
      <c r="AP318" s="169">
        <f>'Earnings Model (adjusted)'!AP318-'Earnings Model'!AP318</f>
        <v>0</v>
      </c>
      <c r="AQ318" s="169">
        <f>'Earnings Model (adjusted)'!AQ318-'Earnings Model'!AQ318</f>
        <v>0</v>
      </c>
    </row>
    <row r="319" spans="1:43" outlineLevel="1" x14ac:dyDescent="0.25">
      <c r="A319" s="254"/>
      <c r="B319" s="101" t="s">
        <v>81</v>
      </c>
      <c r="C319" s="98">
        <f>(C315*C314)+((1-C315)*C318)</f>
        <v>6.9756334661832342E-2</v>
      </c>
      <c r="D319" s="380"/>
      <c r="Q319" s="169">
        <f>'Earnings Model (adjusted)'!Q319-'Earnings Model'!Q319</f>
        <v>0</v>
      </c>
      <c r="R319" s="169">
        <f>'Earnings Model (adjusted)'!R319-'Earnings Model'!R319</f>
        <v>0</v>
      </c>
      <c r="S319" s="169">
        <f>'Earnings Model (adjusted)'!S319-'Earnings Model'!S319</f>
        <v>0</v>
      </c>
      <c r="T319" s="169">
        <f>'Earnings Model (adjusted)'!T319-'Earnings Model'!T319</f>
        <v>0</v>
      </c>
      <c r="U319" s="169">
        <f>'Earnings Model (adjusted)'!U319-'Earnings Model'!U319</f>
        <v>0</v>
      </c>
      <c r="V319" s="169">
        <f>'Earnings Model (adjusted)'!V319-'Earnings Model'!V319</f>
        <v>0</v>
      </c>
      <c r="W319" s="169">
        <f>'Earnings Model (adjusted)'!W319-'Earnings Model'!W319</f>
        <v>0</v>
      </c>
      <c r="X319" s="169">
        <f>'Earnings Model (adjusted)'!X319-'Earnings Model'!X319</f>
        <v>0</v>
      </c>
      <c r="Y319" s="169">
        <f>'Earnings Model (adjusted)'!Y319-'Earnings Model'!Y319</f>
        <v>0</v>
      </c>
      <c r="Z319" s="169">
        <f>'Earnings Model (adjusted)'!Z319-'Earnings Model'!Z319</f>
        <v>0</v>
      </c>
      <c r="AA319" s="169">
        <f>'Earnings Model (adjusted)'!AA319-'Earnings Model'!AA319</f>
        <v>0</v>
      </c>
      <c r="AB319" s="169">
        <f>'Earnings Model (adjusted)'!AB319-'Earnings Model'!AB319</f>
        <v>0</v>
      </c>
      <c r="AC319" s="169">
        <f>'Earnings Model (adjusted)'!AC319-'Earnings Model'!AC319</f>
        <v>0</v>
      </c>
      <c r="AD319" s="169">
        <f>'Earnings Model (adjusted)'!AD319-'Earnings Model'!AD319</f>
        <v>0</v>
      </c>
      <c r="AE319" s="169">
        <f>'Earnings Model (adjusted)'!AE319-'Earnings Model'!AE319</f>
        <v>0</v>
      </c>
      <c r="AF319" s="169">
        <f>'Earnings Model (adjusted)'!AF319-'Earnings Model'!AF319</f>
        <v>0</v>
      </c>
      <c r="AG319" s="169">
        <f>'Earnings Model (adjusted)'!AG319-'Earnings Model'!AG319</f>
        <v>0</v>
      </c>
      <c r="AH319" s="169">
        <f>'Earnings Model (adjusted)'!AH319-'Earnings Model'!AH319</f>
        <v>0</v>
      </c>
      <c r="AI319" s="169">
        <f>'Earnings Model (adjusted)'!AI319-'Earnings Model'!AI319</f>
        <v>0</v>
      </c>
      <c r="AJ319" s="169">
        <f>'Earnings Model (adjusted)'!AJ319-'Earnings Model'!AJ319</f>
        <v>0</v>
      </c>
      <c r="AK319" s="169">
        <f>'Earnings Model (adjusted)'!AK319-'Earnings Model'!AK319</f>
        <v>0</v>
      </c>
      <c r="AL319" s="169">
        <f>'Earnings Model (adjusted)'!AL319-'Earnings Model'!AL319</f>
        <v>0</v>
      </c>
      <c r="AM319" s="169">
        <f>'Earnings Model (adjusted)'!AM319-'Earnings Model'!AM319</f>
        <v>0</v>
      </c>
      <c r="AN319" s="169">
        <f>'Earnings Model (adjusted)'!AN319-'Earnings Model'!AN319</f>
        <v>0</v>
      </c>
      <c r="AO319" s="169">
        <f>'Earnings Model (adjusted)'!AO319-'Earnings Model'!AO319</f>
        <v>0</v>
      </c>
      <c r="AP319" s="169">
        <f>'Earnings Model (adjusted)'!AP319-'Earnings Model'!AP319</f>
        <v>0</v>
      </c>
      <c r="AQ319" s="169">
        <f>'Earnings Model (adjusted)'!AQ319-'Earnings Model'!AQ319</f>
        <v>0</v>
      </c>
    </row>
    <row r="320" spans="1:43" outlineLevel="1" x14ac:dyDescent="0.25">
      <c r="A320" s="254"/>
      <c r="B320" s="603" t="s">
        <v>103</v>
      </c>
      <c r="C320" s="604"/>
      <c r="D320" s="380"/>
      <c r="Q320" s="169">
        <f>'Earnings Model (adjusted)'!Q320-'Earnings Model'!Q320</f>
        <v>0</v>
      </c>
      <c r="R320" s="169">
        <f>'Earnings Model (adjusted)'!R320-'Earnings Model'!R320</f>
        <v>0</v>
      </c>
      <c r="S320" s="169">
        <f>'Earnings Model (adjusted)'!S320-'Earnings Model'!S320</f>
        <v>0</v>
      </c>
      <c r="T320" s="169">
        <f>'Earnings Model (adjusted)'!T320-'Earnings Model'!T320</f>
        <v>0</v>
      </c>
      <c r="U320" s="169">
        <f>'Earnings Model (adjusted)'!U320-'Earnings Model'!U320</f>
        <v>0</v>
      </c>
      <c r="V320" s="169">
        <f>'Earnings Model (adjusted)'!V320-'Earnings Model'!V320</f>
        <v>0</v>
      </c>
      <c r="W320" s="169">
        <f>'Earnings Model (adjusted)'!W320-'Earnings Model'!W320</f>
        <v>0</v>
      </c>
      <c r="X320" s="169">
        <f>'Earnings Model (adjusted)'!X320-'Earnings Model'!X320</f>
        <v>0</v>
      </c>
      <c r="Y320" s="169">
        <f>'Earnings Model (adjusted)'!Y320-'Earnings Model'!Y320</f>
        <v>0</v>
      </c>
      <c r="Z320" s="169">
        <f>'Earnings Model (adjusted)'!Z320-'Earnings Model'!Z320</f>
        <v>0</v>
      </c>
      <c r="AA320" s="169">
        <f>'Earnings Model (adjusted)'!AA320-'Earnings Model'!AA320</f>
        <v>0</v>
      </c>
      <c r="AB320" s="169">
        <f>'Earnings Model (adjusted)'!AB320-'Earnings Model'!AB320</f>
        <v>0</v>
      </c>
      <c r="AC320" s="169">
        <f>'Earnings Model (adjusted)'!AC320-'Earnings Model'!AC320</f>
        <v>0</v>
      </c>
      <c r="AD320" s="169">
        <f>'Earnings Model (adjusted)'!AD320-'Earnings Model'!AD320</f>
        <v>0</v>
      </c>
      <c r="AE320" s="169">
        <f>'Earnings Model (adjusted)'!AE320-'Earnings Model'!AE320</f>
        <v>0</v>
      </c>
      <c r="AF320" s="169">
        <f>'Earnings Model (adjusted)'!AF320-'Earnings Model'!AF320</f>
        <v>0</v>
      </c>
      <c r="AG320" s="169">
        <f>'Earnings Model (adjusted)'!AG320-'Earnings Model'!AG320</f>
        <v>0</v>
      </c>
      <c r="AH320" s="169">
        <f>'Earnings Model (adjusted)'!AH320-'Earnings Model'!AH320</f>
        <v>0</v>
      </c>
      <c r="AI320" s="169">
        <f>'Earnings Model (adjusted)'!AI320-'Earnings Model'!AI320</f>
        <v>0</v>
      </c>
      <c r="AJ320" s="169">
        <f>'Earnings Model (adjusted)'!AJ320-'Earnings Model'!AJ320</f>
        <v>0</v>
      </c>
      <c r="AK320" s="169">
        <f>'Earnings Model (adjusted)'!AK320-'Earnings Model'!AK320</f>
        <v>0</v>
      </c>
      <c r="AL320" s="169">
        <f>'Earnings Model (adjusted)'!AL320-'Earnings Model'!AL320</f>
        <v>0</v>
      </c>
      <c r="AM320" s="169">
        <f>'Earnings Model (adjusted)'!AM320-'Earnings Model'!AM320</f>
        <v>0</v>
      </c>
      <c r="AN320" s="169">
        <f>'Earnings Model (adjusted)'!AN320-'Earnings Model'!AN320</f>
        <v>0</v>
      </c>
      <c r="AO320" s="169">
        <f>'Earnings Model (adjusted)'!AO320-'Earnings Model'!AO320</f>
        <v>0</v>
      </c>
      <c r="AP320" s="169">
        <f>'Earnings Model (adjusted)'!AP320-'Earnings Model'!AP320</f>
        <v>0</v>
      </c>
      <c r="AQ320" s="169">
        <f>'Earnings Model (adjusted)'!AQ320-'Earnings Model'!AQ320</f>
        <v>0</v>
      </c>
    </row>
    <row r="321" spans="1:43" outlineLevel="1" x14ac:dyDescent="0.25">
      <c r="A321" s="254"/>
      <c r="B321" s="57" t="s">
        <v>41</v>
      </c>
      <c r="C321" s="161">
        <v>7.0000000000000007E-2</v>
      </c>
      <c r="D321" s="380"/>
      <c r="Q321" s="169">
        <f>'Earnings Model (adjusted)'!Q321-'Earnings Model'!Q321</f>
        <v>0</v>
      </c>
      <c r="R321" s="169">
        <f>'Earnings Model (adjusted)'!R321-'Earnings Model'!R321</f>
        <v>0</v>
      </c>
      <c r="S321" s="169">
        <f>'Earnings Model (adjusted)'!S321-'Earnings Model'!S321</f>
        <v>0</v>
      </c>
      <c r="T321" s="169">
        <f>'Earnings Model (adjusted)'!T321-'Earnings Model'!T321</f>
        <v>0</v>
      </c>
      <c r="U321" s="169">
        <f>'Earnings Model (adjusted)'!U321-'Earnings Model'!U321</f>
        <v>0</v>
      </c>
      <c r="V321" s="169">
        <f>'Earnings Model (adjusted)'!V321-'Earnings Model'!V321</f>
        <v>0</v>
      </c>
      <c r="W321" s="169">
        <f>'Earnings Model (adjusted)'!W321-'Earnings Model'!W321</f>
        <v>0</v>
      </c>
      <c r="X321" s="169">
        <f>'Earnings Model (adjusted)'!X321-'Earnings Model'!X321</f>
        <v>0</v>
      </c>
      <c r="Y321" s="169">
        <f>'Earnings Model (adjusted)'!Y321-'Earnings Model'!Y321</f>
        <v>0</v>
      </c>
      <c r="Z321" s="169">
        <f>'Earnings Model (adjusted)'!Z321-'Earnings Model'!Z321</f>
        <v>0</v>
      </c>
      <c r="AA321" s="169">
        <f>'Earnings Model (adjusted)'!AA321-'Earnings Model'!AA321</f>
        <v>0</v>
      </c>
      <c r="AB321" s="169">
        <f>'Earnings Model (adjusted)'!AB321-'Earnings Model'!AB321</f>
        <v>0</v>
      </c>
      <c r="AC321" s="169">
        <f>'Earnings Model (adjusted)'!AC321-'Earnings Model'!AC321</f>
        <v>0</v>
      </c>
      <c r="AD321" s="169">
        <f>'Earnings Model (adjusted)'!AD321-'Earnings Model'!AD321</f>
        <v>0</v>
      </c>
      <c r="AE321" s="169">
        <f>'Earnings Model (adjusted)'!AE321-'Earnings Model'!AE321</f>
        <v>0</v>
      </c>
      <c r="AF321" s="169">
        <f>'Earnings Model (adjusted)'!AF321-'Earnings Model'!AF321</f>
        <v>0</v>
      </c>
      <c r="AG321" s="169">
        <f>'Earnings Model (adjusted)'!AG321-'Earnings Model'!AG321</f>
        <v>0</v>
      </c>
      <c r="AH321" s="169">
        <f>'Earnings Model (adjusted)'!AH321-'Earnings Model'!AH321</f>
        <v>0</v>
      </c>
      <c r="AI321" s="169">
        <f>'Earnings Model (adjusted)'!AI321-'Earnings Model'!AI321</f>
        <v>0</v>
      </c>
      <c r="AJ321" s="169">
        <f>'Earnings Model (adjusted)'!AJ321-'Earnings Model'!AJ321</f>
        <v>0</v>
      </c>
      <c r="AK321" s="169">
        <f>'Earnings Model (adjusted)'!AK321-'Earnings Model'!AK321</f>
        <v>0</v>
      </c>
      <c r="AL321" s="169">
        <f>'Earnings Model (adjusted)'!AL321-'Earnings Model'!AL321</f>
        <v>0</v>
      </c>
      <c r="AM321" s="169">
        <f>'Earnings Model (adjusted)'!AM321-'Earnings Model'!AM321</f>
        <v>0</v>
      </c>
      <c r="AN321" s="169">
        <f>'Earnings Model (adjusted)'!AN321-'Earnings Model'!AN321</f>
        <v>0</v>
      </c>
      <c r="AO321" s="169">
        <f>'Earnings Model (adjusted)'!AO321-'Earnings Model'!AO321</f>
        <v>0</v>
      </c>
      <c r="AP321" s="169">
        <f>'Earnings Model (adjusted)'!AP321-'Earnings Model'!AP321</f>
        <v>0</v>
      </c>
      <c r="AQ321" s="169">
        <f>'Earnings Model (adjusted)'!AQ321-'Earnings Model'!AQ321</f>
        <v>0</v>
      </c>
    </row>
    <row r="322" spans="1:43" outlineLevel="1" x14ac:dyDescent="0.25">
      <c r="A322" s="254"/>
      <c r="B322" s="57" t="s">
        <v>42</v>
      </c>
      <c r="C322" s="161">
        <v>7.0000000000000007E-2</v>
      </c>
      <c r="D322" s="380"/>
      <c r="Q322" s="169">
        <f>'Earnings Model (adjusted)'!Q322-'Earnings Model'!Q322</f>
        <v>0</v>
      </c>
      <c r="R322" s="169">
        <f>'Earnings Model (adjusted)'!R322-'Earnings Model'!R322</f>
        <v>0</v>
      </c>
      <c r="S322" s="169">
        <f>'Earnings Model (adjusted)'!S322-'Earnings Model'!S322</f>
        <v>0</v>
      </c>
      <c r="T322" s="169">
        <f>'Earnings Model (adjusted)'!T322-'Earnings Model'!T322</f>
        <v>0</v>
      </c>
      <c r="U322" s="169">
        <f>'Earnings Model (adjusted)'!U322-'Earnings Model'!U322</f>
        <v>0</v>
      </c>
      <c r="V322" s="169">
        <f>'Earnings Model (adjusted)'!V322-'Earnings Model'!V322</f>
        <v>0</v>
      </c>
      <c r="W322" s="169">
        <f>'Earnings Model (adjusted)'!W322-'Earnings Model'!W322</f>
        <v>0</v>
      </c>
      <c r="X322" s="169">
        <f>'Earnings Model (adjusted)'!X322-'Earnings Model'!X322</f>
        <v>0</v>
      </c>
      <c r="Y322" s="169">
        <f>'Earnings Model (adjusted)'!Y322-'Earnings Model'!Y322</f>
        <v>0</v>
      </c>
      <c r="Z322" s="169">
        <f>'Earnings Model (adjusted)'!Z322-'Earnings Model'!Z322</f>
        <v>0</v>
      </c>
      <c r="AA322" s="169">
        <f>'Earnings Model (adjusted)'!AA322-'Earnings Model'!AA322</f>
        <v>0</v>
      </c>
      <c r="AB322" s="169">
        <f>'Earnings Model (adjusted)'!AB322-'Earnings Model'!AB322</f>
        <v>0</v>
      </c>
      <c r="AC322" s="169">
        <f>'Earnings Model (adjusted)'!AC322-'Earnings Model'!AC322</f>
        <v>0</v>
      </c>
      <c r="AD322" s="169">
        <f>'Earnings Model (adjusted)'!AD322-'Earnings Model'!AD322</f>
        <v>0</v>
      </c>
      <c r="AE322" s="169">
        <f>'Earnings Model (adjusted)'!AE322-'Earnings Model'!AE322</f>
        <v>0</v>
      </c>
      <c r="AF322" s="169">
        <f>'Earnings Model (adjusted)'!AF322-'Earnings Model'!AF322</f>
        <v>0</v>
      </c>
      <c r="AG322" s="169">
        <f>'Earnings Model (adjusted)'!AG322-'Earnings Model'!AG322</f>
        <v>0</v>
      </c>
      <c r="AH322" s="169">
        <f>'Earnings Model (adjusted)'!AH322-'Earnings Model'!AH322</f>
        <v>0</v>
      </c>
      <c r="AI322" s="169">
        <f>'Earnings Model (adjusted)'!AI322-'Earnings Model'!AI322</f>
        <v>0</v>
      </c>
      <c r="AJ322" s="169">
        <f>'Earnings Model (adjusted)'!AJ322-'Earnings Model'!AJ322</f>
        <v>0</v>
      </c>
      <c r="AK322" s="169">
        <f>'Earnings Model (adjusted)'!AK322-'Earnings Model'!AK322</f>
        <v>0</v>
      </c>
      <c r="AL322" s="169">
        <f>'Earnings Model (adjusted)'!AL322-'Earnings Model'!AL322</f>
        <v>0</v>
      </c>
      <c r="AM322" s="169">
        <f>'Earnings Model (adjusted)'!AM322-'Earnings Model'!AM322</f>
        <v>0</v>
      </c>
      <c r="AN322" s="169">
        <f>'Earnings Model (adjusted)'!AN322-'Earnings Model'!AN322</f>
        <v>0</v>
      </c>
      <c r="AO322" s="169">
        <f>'Earnings Model (adjusted)'!AO322-'Earnings Model'!AO322</f>
        <v>0</v>
      </c>
      <c r="AP322" s="169">
        <f>'Earnings Model (adjusted)'!AP322-'Earnings Model'!AP322</f>
        <v>0</v>
      </c>
      <c r="AQ322" s="169">
        <f>'Earnings Model (adjusted)'!AQ322-'Earnings Model'!AQ322</f>
        <v>0</v>
      </c>
    </row>
    <row r="323" spans="1:43" outlineLevel="1" x14ac:dyDescent="0.25">
      <c r="A323" s="254"/>
      <c r="B323" s="57" t="s">
        <v>79</v>
      </c>
      <c r="C323" s="161">
        <v>0.05</v>
      </c>
      <c r="D323" s="380"/>
      <c r="Q323" s="169">
        <f>'Earnings Model (adjusted)'!Q323-'Earnings Model'!Q323</f>
        <v>0</v>
      </c>
      <c r="R323" s="169">
        <f>'Earnings Model (adjusted)'!R323-'Earnings Model'!R323</f>
        <v>0</v>
      </c>
      <c r="S323" s="169">
        <f>'Earnings Model (adjusted)'!S323-'Earnings Model'!S323</f>
        <v>0</v>
      </c>
      <c r="T323" s="169">
        <f>'Earnings Model (adjusted)'!T323-'Earnings Model'!T323</f>
        <v>0</v>
      </c>
      <c r="U323" s="169">
        <f>'Earnings Model (adjusted)'!U323-'Earnings Model'!U323</f>
        <v>0</v>
      </c>
      <c r="V323" s="169">
        <f>'Earnings Model (adjusted)'!V323-'Earnings Model'!V323</f>
        <v>0</v>
      </c>
      <c r="W323" s="169">
        <f>'Earnings Model (adjusted)'!W323-'Earnings Model'!W323</f>
        <v>0</v>
      </c>
      <c r="X323" s="169">
        <f>'Earnings Model (adjusted)'!X323-'Earnings Model'!X323</f>
        <v>0</v>
      </c>
      <c r="Y323" s="169">
        <f>'Earnings Model (adjusted)'!Y323-'Earnings Model'!Y323</f>
        <v>0</v>
      </c>
      <c r="Z323" s="169">
        <f>'Earnings Model (adjusted)'!Z323-'Earnings Model'!Z323</f>
        <v>0</v>
      </c>
      <c r="AA323" s="169">
        <f>'Earnings Model (adjusted)'!AA323-'Earnings Model'!AA323</f>
        <v>0</v>
      </c>
      <c r="AB323" s="169">
        <f>'Earnings Model (adjusted)'!AB323-'Earnings Model'!AB323</f>
        <v>0</v>
      </c>
      <c r="AC323" s="169">
        <f>'Earnings Model (adjusted)'!AC323-'Earnings Model'!AC323</f>
        <v>0</v>
      </c>
      <c r="AD323" s="169">
        <f>'Earnings Model (adjusted)'!AD323-'Earnings Model'!AD323</f>
        <v>0</v>
      </c>
      <c r="AE323" s="169">
        <f>'Earnings Model (adjusted)'!AE323-'Earnings Model'!AE323</f>
        <v>0</v>
      </c>
      <c r="AF323" s="169">
        <f>'Earnings Model (adjusted)'!AF323-'Earnings Model'!AF323</f>
        <v>0</v>
      </c>
      <c r="AG323" s="169">
        <f>'Earnings Model (adjusted)'!AG323-'Earnings Model'!AG323</f>
        <v>0</v>
      </c>
      <c r="AH323" s="169">
        <f>'Earnings Model (adjusted)'!AH323-'Earnings Model'!AH323</f>
        <v>0</v>
      </c>
      <c r="AI323" s="169">
        <f>'Earnings Model (adjusted)'!AI323-'Earnings Model'!AI323</f>
        <v>0</v>
      </c>
      <c r="AJ323" s="169">
        <f>'Earnings Model (adjusted)'!AJ323-'Earnings Model'!AJ323</f>
        <v>0</v>
      </c>
      <c r="AK323" s="169">
        <f>'Earnings Model (adjusted)'!AK323-'Earnings Model'!AK323</f>
        <v>0</v>
      </c>
      <c r="AL323" s="169">
        <f>'Earnings Model (adjusted)'!AL323-'Earnings Model'!AL323</f>
        <v>0</v>
      </c>
      <c r="AM323" s="169">
        <f>'Earnings Model (adjusted)'!AM323-'Earnings Model'!AM323</f>
        <v>0</v>
      </c>
      <c r="AN323" s="169">
        <f>'Earnings Model (adjusted)'!AN323-'Earnings Model'!AN323</f>
        <v>0</v>
      </c>
      <c r="AO323" s="169">
        <f>'Earnings Model (adjusted)'!AO323-'Earnings Model'!AO323</f>
        <v>0</v>
      </c>
      <c r="AP323" s="169">
        <f>'Earnings Model (adjusted)'!AP323-'Earnings Model'!AP323</f>
        <v>0</v>
      </c>
      <c r="AQ323" s="169">
        <f>'Earnings Model (adjusted)'!AQ323-'Earnings Model'!AQ323</f>
        <v>0</v>
      </c>
    </row>
    <row r="324" spans="1:43" outlineLevel="1" x14ac:dyDescent="0.25">
      <c r="A324" s="254"/>
      <c r="B324" s="57" t="s">
        <v>104</v>
      </c>
      <c r="C324" s="161">
        <f>(C315*(0.061+(0.908*(0.312*0.1912))))+((1-C315)*C318)</f>
        <v>0.1069047157588143</v>
      </c>
      <c r="D324" s="380"/>
      <c r="Q324" s="169">
        <f>'Earnings Model (adjusted)'!Q324-'Earnings Model'!Q324</f>
        <v>0</v>
      </c>
      <c r="R324" s="169">
        <f>'Earnings Model (adjusted)'!R324-'Earnings Model'!R324</f>
        <v>0</v>
      </c>
      <c r="S324" s="169">
        <f>'Earnings Model (adjusted)'!S324-'Earnings Model'!S324</f>
        <v>0</v>
      </c>
      <c r="T324" s="169">
        <f>'Earnings Model (adjusted)'!T324-'Earnings Model'!T324</f>
        <v>0</v>
      </c>
      <c r="U324" s="169">
        <f>'Earnings Model (adjusted)'!U324-'Earnings Model'!U324</f>
        <v>0</v>
      </c>
      <c r="V324" s="169">
        <f>'Earnings Model (adjusted)'!V324-'Earnings Model'!V324</f>
        <v>0</v>
      </c>
      <c r="W324" s="169">
        <f>'Earnings Model (adjusted)'!W324-'Earnings Model'!W324</f>
        <v>0</v>
      </c>
      <c r="X324" s="169">
        <f>'Earnings Model (adjusted)'!X324-'Earnings Model'!X324</f>
        <v>0</v>
      </c>
      <c r="Y324" s="169">
        <f>'Earnings Model (adjusted)'!Y324-'Earnings Model'!Y324</f>
        <v>0</v>
      </c>
      <c r="Z324" s="169">
        <f>'Earnings Model (adjusted)'!Z324-'Earnings Model'!Z324</f>
        <v>0</v>
      </c>
      <c r="AA324" s="169">
        <f>'Earnings Model (adjusted)'!AA324-'Earnings Model'!AA324</f>
        <v>0</v>
      </c>
      <c r="AB324" s="169">
        <f>'Earnings Model (adjusted)'!AB324-'Earnings Model'!AB324</f>
        <v>0</v>
      </c>
      <c r="AC324" s="169">
        <f>'Earnings Model (adjusted)'!AC324-'Earnings Model'!AC324</f>
        <v>0</v>
      </c>
      <c r="AD324" s="169">
        <f>'Earnings Model (adjusted)'!AD324-'Earnings Model'!AD324</f>
        <v>0</v>
      </c>
      <c r="AE324" s="169">
        <f>'Earnings Model (adjusted)'!AE324-'Earnings Model'!AE324</f>
        <v>0</v>
      </c>
      <c r="AF324" s="169">
        <f>'Earnings Model (adjusted)'!AF324-'Earnings Model'!AF324</f>
        <v>0</v>
      </c>
      <c r="AG324" s="169">
        <f>'Earnings Model (adjusted)'!AG324-'Earnings Model'!AG324</f>
        <v>0</v>
      </c>
      <c r="AH324" s="169">
        <f>'Earnings Model (adjusted)'!AH324-'Earnings Model'!AH324</f>
        <v>0</v>
      </c>
      <c r="AI324" s="169">
        <f>'Earnings Model (adjusted)'!AI324-'Earnings Model'!AI324</f>
        <v>0</v>
      </c>
      <c r="AJ324" s="169">
        <f>'Earnings Model (adjusted)'!AJ324-'Earnings Model'!AJ324</f>
        <v>0</v>
      </c>
      <c r="AK324" s="169">
        <f>'Earnings Model (adjusted)'!AK324-'Earnings Model'!AK324</f>
        <v>0</v>
      </c>
      <c r="AL324" s="169">
        <f>'Earnings Model (adjusted)'!AL324-'Earnings Model'!AL324</f>
        <v>0</v>
      </c>
      <c r="AM324" s="169">
        <f>'Earnings Model (adjusted)'!AM324-'Earnings Model'!AM324</f>
        <v>0</v>
      </c>
      <c r="AN324" s="169">
        <f>'Earnings Model (adjusted)'!AN324-'Earnings Model'!AN324</f>
        <v>0</v>
      </c>
      <c r="AO324" s="169">
        <f>'Earnings Model (adjusted)'!AO324-'Earnings Model'!AO324</f>
        <v>0</v>
      </c>
      <c r="AP324" s="169">
        <f>'Earnings Model (adjusted)'!AP324-'Earnings Model'!AP324</f>
        <v>0</v>
      </c>
      <c r="AQ324" s="169">
        <f>'Earnings Model (adjusted)'!AQ324-'Earnings Model'!AQ324</f>
        <v>0</v>
      </c>
    </row>
    <row r="325" spans="1:43" outlineLevel="1" x14ac:dyDescent="0.25">
      <c r="A325" s="254"/>
      <c r="B325" s="103" t="s">
        <v>43</v>
      </c>
      <c r="C325" s="28"/>
      <c r="D325" s="380"/>
      <c r="Q325" s="169">
        <f>'Earnings Model (adjusted)'!Q325-'Earnings Model'!Q325</f>
        <v>0</v>
      </c>
      <c r="R325" s="169">
        <f>'Earnings Model (adjusted)'!R325-'Earnings Model'!R325</f>
        <v>0</v>
      </c>
      <c r="S325" s="169">
        <f>'Earnings Model (adjusted)'!S325-'Earnings Model'!S325</f>
        <v>0</v>
      </c>
      <c r="T325" s="169">
        <f>'Earnings Model (adjusted)'!T325-'Earnings Model'!T325</f>
        <v>0</v>
      </c>
      <c r="U325" s="169">
        <f>'Earnings Model (adjusted)'!U325-'Earnings Model'!U325</f>
        <v>0</v>
      </c>
      <c r="V325" s="169">
        <f>'Earnings Model (adjusted)'!V325-'Earnings Model'!V325</f>
        <v>0</v>
      </c>
      <c r="W325" s="169">
        <f>'Earnings Model (adjusted)'!W325-'Earnings Model'!W325</f>
        <v>0</v>
      </c>
      <c r="X325" s="169">
        <f>'Earnings Model (adjusted)'!X325-'Earnings Model'!X325</f>
        <v>0</v>
      </c>
      <c r="Y325" s="169">
        <f>'Earnings Model (adjusted)'!Y325-'Earnings Model'!Y325</f>
        <v>0</v>
      </c>
      <c r="Z325" s="169">
        <f>'Earnings Model (adjusted)'!Z325-'Earnings Model'!Z325</f>
        <v>0</v>
      </c>
      <c r="AA325" s="169">
        <f>'Earnings Model (adjusted)'!AA325-'Earnings Model'!AA325</f>
        <v>0</v>
      </c>
      <c r="AB325" s="169">
        <f>'Earnings Model (adjusted)'!AB325-'Earnings Model'!AB325</f>
        <v>0</v>
      </c>
      <c r="AC325" s="169">
        <f>'Earnings Model (adjusted)'!AC325-'Earnings Model'!AC325</f>
        <v>0</v>
      </c>
      <c r="AD325" s="169">
        <f>'Earnings Model (adjusted)'!AD325-'Earnings Model'!AD325</f>
        <v>0</v>
      </c>
      <c r="AE325" s="169">
        <f>'Earnings Model (adjusted)'!AE325-'Earnings Model'!AE325</f>
        <v>0</v>
      </c>
      <c r="AF325" s="169">
        <f>'Earnings Model (adjusted)'!AF325-'Earnings Model'!AF325</f>
        <v>0</v>
      </c>
      <c r="AG325" s="169">
        <f>'Earnings Model (adjusted)'!AG325-'Earnings Model'!AG325</f>
        <v>0</v>
      </c>
      <c r="AH325" s="169">
        <f>'Earnings Model (adjusted)'!AH325-'Earnings Model'!AH325</f>
        <v>0</v>
      </c>
      <c r="AI325" s="169">
        <f>'Earnings Model (adjusted)'!AI325-'Earnings Model'!AI325</f>
        <v>0</v>
      </c>
      <c r="AJ325" s="169">
        <f>'Earnings Model (adjusted)'!AJ325-'Earnings Model'!AJ325</f>
        <v>0</v>
      </c>
      <c r="AK325" s="169">
        <f>'Earnings Model (adjusted)'!AK325-'Earnings Model'!AK325</f>
        <v>0</v>
      </c>
      <c r="AL325" s="169">
        <f>'Earnings Model (adjusted)'!AL325-'Earnings Model'!AL325</f>
        <v>0</v>
      </c>
      <c r="AM325" s="169">
        <f>'Earnings Model (adjusted)'!AM325-'Earnings Model'!AM325</f>
        <v>0</v>
      </c>
      <c r="AN325" s="169">
        <f>'Earnings Model (adjusted)'!AN325-'Earnings Model'!AN325</f>
        <v>0</v>
      </c>
      <c r="AO325" s="169">
        <f>'Earnings Model (adjusted)'!AO325-'Earnings Model'!AO325</f>
        <v>0</v>
      </c>
      <c r="AP325" s="169">
        <f>'Earnings Model (adjusted)'!AP325-'Earnings Model'!AP325</f>
        <v>0</v>
      </c>
      <c r="AQ325" s="169">
        <f>'Earnings Model (adjusted)'!AQ325-'Earnings Model'!AQ325</f>
        <v>0</v>
      </c>
    </row>
    <row r="326" spans="1:43" outlineLevel="1" x14ac:dyDescent="0.25">
      <c r="A326" s="254"/>
      <c r="B326" s="57" t="s">
        <v>84</v>
      </c>
      <c r="C326" s="106">
        <f>((((AQ260*(1+C322))-(C323*AQ16*(1+C321))+(C318*(AQ209+AQ212))))/(C324-C321))/(1+$C$324)^5</f>
        <v>7068.5358031414335</v>
      </c>
      <c r="D326" s="380"/>
      <c r="Q326" s="169">
        <f>'Earnings Model (adjusted)'!Q326-'Earnings Model'!Q326</f>
        <v>0</v>
      </c>
      <c r="R326" s="169">
        <f>'Earnings Model (adjusted)'!R326-'Earnings Model'!R326</f>
        <v>0</v>
      </c>
      <c r="S326" s="169">
        <f>'Earnings Model (adjusted)'!S326-'Earnings Model'!S326</f>
        <v>0</v>
      </c>
      <c r="T326" s="169">
        <f>'Earnings Model (adjusted)'!T326-'Earnings Model'!T326</f>
        <v>0</v>
      </c>
      <c r="U326" s="169">
        <f>'Earnings Model (adjusted)'!U326-'Earnings Model'!U326</f>
        <v>0</v>
      </c>
      <c r="V326" s="169">
        <f>'Earnings Model (adjusted)'!V326-'Earnings Model'!V326</f>
        <v>0</v>
      </c>
      <c r="W326" s="169">
        <f>'Earnings Model (adjusted)'!W326-'Earnings Model'!W326</f>
        <v>0</v>
      </c>
      <c r="X326" s="169">
        <f>'Earnings Model (adjusted)'!X326-'Earnings Model'!X326</f>
        <v>0</v>
      </c>
      <c r="Y326" s="169">
        <f>'Earnings Model (adjusted)'!Y326-'Earnings Model'!Y326</f>
        <v>0</v>
      </c>
      <c r="Z326" s="169">
        <f>'Earnings Model (adjusted)'!Z326-'Earnings Model'!Z326</f>
        <v>0</v>
      </c>
      <c r="AA326" s="169">
        <f>'Earnings Model (adjusted)'!AA326-'Earnings Model'!AA326</f>
        <v>0</v>
      </c>
      <c r="AB326" s="169">
        <f>'Earnings Model (adjusted)'!AB326-'Earnings Model'!AB326</f>
        <v>0</v>
      </c>
      <c r="AC326" s="169">
        <f>'Earnings Model (adjusted)'!AC326-'Earnings Model'!AC326</f>
        <v>0</v>
      </c>
      <c r="AD326" s="169">
        <f>'Earnings Model (adjusted)'!AD326-'Earnings Model'!AD326</f>
        <v>0</v>
      </c>
      <c r="AE326" s="169">
        <f>'Earnings Model (adjusted)'!AE326-'Earnings Model'!AE326</f>
        <v>0</v>
      </c>
      <c r="AF326" s="169">
        <f>'Earnings Model (adjusted)'!AF326-'Earnings Model'!AF326</f>
        <v>0</v>
      </c>
      <c r="AG326" s="169">
        <f>'Earnings Model (adjusted)'!AG326-'Earnings Model'!AG326</f>
        <v>0</v>
      </c>
      <c r="AH326" s="169">
        <f>'Earnings Model (adjusted)'!AH326-'Earnings Model'!AH326</f>
        <v>0</v>
      </c>
      <c r="AI326" s="169">
        <f>'Earnings Model (adjusted)'!AI326-'Earnings Model'!AI326</f>
        <v>0</v>
      </c>
      <c r="AJ326" s="169">
        <f>'Earnings Model (adjusted)'!AJ326-'Earnings Model'!AJ326</f>
        <v>0</v>
      </c>
      <c r="AK326" s="169">
        <f>'Earnings Model (adjusted)'!AK326-'Earnings Model'!AK326</f>
        <v>0</v>
      </c>
      <c r="AL326" s="169">
        <f>'Earnings Model (adjusted)'!AL326-'Earnings Model'!AL326</f>
        <v>0</v>
      </c>
      <c r="AM326" s="169">
        <f>'Earnings Model (adjusted)'!AM326-'Earnings Model'!AM326</f>
        <v>0</v>
      </c>
      <c r="AN326" s="169">
        <f>'Earnings Model (adjusted)'!AN326-'Earnings Model'!AN326</f>
        <v>0</v>
      </c>
      <c r="AO326" s="169">
        <f>'Earnings Model (adjusted)'!AO326-'Earnings Model'!AO326</f>
        <v>0</v>
      </c>
      <c r="AP326" s="169">
        <f>'Earnings Model (adjusted)'!AP326-'Earnings Model'!AP326</f>
        <v>0</v>
      </c>
      <c r="AQ326" s="169">
        <f>'Earnings Model (adjusted)'!AQ326-'Earnings Model'!AQ326</f>
        <v>0</v>
      </c>
    </row>
    <row r="327" spans="1:43" outlineLevel="1" x14ac:dyDescent="0.25">
      <c r="A327" s="254"/>
      <c r="B327" s="57" t="s">
        <v>83</v>
      </c>
      <c r="C327" s="106">
        <f>W282+AB282+AG282+AL282+AQ282</f>
        <v>1573.6286975111107</v>
      </c>
      <c r="D327" s="380"/>
      <c r="Q327" s="169">
        <f>'Earnings Model (adjusted)'!Q327-'Earnings Model'!Q327</f>
        <v>0</v>
      </c>
      <c r="R327" s="169">
        <f>'Earnings Model (adjusted)'!R327-'Earnings Model'!R327</f>
        <v>0</v>
      </c>
      <c r="S327" s="169">
        <f>'Earnings Model (adjusted)'!S327-'Earnings Model'!S327</f>
        <v>0</v>
      </c>
      <c r="T327" s="169">
        <f>'Earnings Model (adjusted)'!T327-'Earnings Model'!T327</f>
        <v>0</v>
      </c>
      <c r="U327" s="169">
        <f>'Earnings Model (adjusted)'!U327-'Earnings Model'!U327</f>
        <v>0</v>
      </c>
      <c r="V327" s="169">
        <f>'Earnings Model (adjusted)'!V327-'Earnings Model'!V327</f>
        <v>0</v>
      </c>
      <c r="W327" s="169">
        <f>'Earnings Model (adjusted)'!W327-'Earnings Model'!W327</f>
        <v>0</v>
      </c>
      <c r="X327" s="169">
        <f>'Earnings Model (adjusted)'!X327-'Earnings Model'!X327</f>
        <v>0</v>
      </c>
      <c r="Y327" s="169">
        <f>'Earnings Model (adjusted)'!Y327-'Earnings Model'!Y327</f>
        <v>0</v>
      </c>
      <c r="Z327" s="169">
        <f>'Earnings Model (adjusted)'!Z327-'Earnings Model'!Z327</f>
        <v>0</v>
      </c>
      <c r="AA327" s="169">
        <f>'Earnings Model (adjusted)'!AA327-'Earnings Model'!AA327</f>
        <v>0</v>
      </c>
      <c r="AB327" s="169">
        <f>'Earnings Model (adjusted)'!AB327-'Earnings Model'!AB327</f>
        <v>0</v>
      </c>
      <c r="AC327" s="169">
        <f>'Earnings Model (adjusted)'!AC327-'Earnings Model'!AC327</f>
        <v>0</v>
      </c>
      <c r="AD327" s="169">
        <f>'Earnings Model (adjusted)'!AD327-'Earnings Model'!AD327</f>
        <v>0</v>
      </c>
      <c r="AE327" s="169">
        <f>'Earnings Model (adjusted)'!AE327-'Earnings Model'!AE327</f>
        <v>0</v>
      </c>
      <c r="AF327" s="169">
        <f>'Earnings Model (adjusted)'!AF327-'Earnings Model'!AF327</f>
        <v>0</v>
      </c>
      <c r="AG327" s="169">
        <f>'Earnings Model (adjusted)'!AG327-'Earnings Model'!AG327</f>
        <v>0</v>
      </c>
      <c r="AH327" s="169">
        <f>'Earnings Model (adjusted)'!AH327-'Earnings Model'!AH327</f>
        <v>0</v>
      </c>
      <c r="AI327" s="169">
        <f>'Earnings Model (adjusted)'!AI327-'Earnings Model'!AI327</f>
        <v>0</v>
      </c>
      <c r="AJ327" s="169">
        <f>'Earnings Model (adjusted)'!AJ327-'Earnings Model'!AJ327</f>
        <v>0</v>
      </c>
      <c r="AK327" s="169">
        <f>'Earnings Model (adjusted)'!AK327-'Earnings Model'!AK327</f>
        <v>0</v>
      </c>
      <c r="AL327" s="169">
        <f>'Earnings Model (adjusted)'!AL327-'Earnings Model'!AL327</f>
        <v>0</v>
      </c>
      <c r="AM327" s="169">
        <f>'Earnings Model (adjusted)'!AM327-'Earnings Model'!AM327</f>
        <v>0</v>
      </c>
      <c r="AN327" s="169">
        <f>'Earnings Model (adjusted)'!AN327-'Earnings Model'!AN327</f>
        <v>0</v>
      </c>
      <c r="AO327" s="169">
        <f>'Earnings Model (adjusted)'!AO327-'Earnings Model'!AO327</f>
        <v>0</v>
      </c>
      <c r="AP327" s="169">
        <f>'Earnings Model (adjusted)'!AP327-'Earnings Model'!AP327</f>
        <v>0</v>
      </c>
      <c r="AQ327" s="169">
        <f>'Earnings Model (adjusted)'!AQ327-'Earnings Model'!AQ327</f>
        <v>0</v>
      </c>
    </row>
    <row r="328" spans="1:43" ht="17.25" outlineLevel="1" x14ac:dyDescent="0.4">
      <c r="A328" s="254"/>
      <c r="B328" s="57" t="s">
        <v>47</v>
      </c>
      <c r="C328" s="156">
        <f>+P286</f>
        <v>-7.9459618951272892</v>
      </c>
      <c r="D328" s="380"/>
      <c r="Q328" s="169">
        <f>'Earnings Model (adjusted)'!Q328-'Earnings Model'!Q328</f>
        <v>0</v>
      </c>
      <c r="R328" s="169">
        <f>'Earnings Model (adjusted)'!R328-'Earnings Model'!R328</f>
        <v>0</v>
      </c>
      <c r="S328" s="169">
        <f>'Earnings Model (adjusted)'!S328-'Earnings Model'!S328</f>
        <v>0</v>
      </c>
      <c r="T328" s="169">
        <f>'Earnings Model (adjusted)'!T328-'Earnings Model'!T328</f>
        <v>0</v>
      </c>
      <c r="U328" s="169">
        <f>'Earnings Model (adjusted)'!U328-'Earnings Model'!U328</f>
        <v>0</v>
      </c>
      <c r="V328" s="169">
        <f>'Earnings Model (adjusted)'!V328-'Earnings Model'!V328</f>
        <v>0</v>
      </c>
      <c r="W328" s="169">
        <f>'Earnings Model (adjusted)'!W328-'Earnings Model'!W328</f>
        <v>0</v>
      </c>
      <c r="X328" s="169">
        <f>'Earnings Model (adjusted)'!X328-'Earnings Model'!X328</f>
        <v>0</v>
      </c>
      <c r="Y328" s="169">
        <f>'Earnings Model (adjusted)'!Y328-'Earnings Model'!Y328</f>
        <v>0</v>
      </c>
      <c r="Z328" s="169">
        <f>'Earnings Model (adjusted)'!Z328-'Earnings Model'!Z328</f>
        <v>0</v>
      </c>
      <c r="AA328" s="169">
        <f>'Earnings Model (adjusted)'!AA328-'Earnings Model'!AA328</f>
        <v>0</v>
      </c>
      <c r="AB328" s="169">
        <f>'Earnings Model (adjusted)'!AB328-'Earnings Model'!AB328</f>
        <v>0</v>
      </c>
      <c r="AC328" s="169">
        <f>'Earnings Model (adjusted)'!AC328-'Earnings Model'!AC328</f>
        <v>0</v>
      </c>
      <c r="AD328" s="169">
        <f>'Earnings Model (adjusted)'!AD328-'Earnings Model'!AD328</f>
        <v>0</v>
      </c>
      <c r="AE328" s="169">
        <f>'Earnings Model (adjusted)'!AE328-'Earnings Model'!AE328</f>
        <v>0</v>
      </c>
      <c r="AF328" s="169">
        <f>'Earnings Model (adjusted)'!AF328-'Earnings Model'!AF328</f>
        <v>0</v>
      </c>
      <c r="AG328" s="169">
        <f>'Earnings Model (adjusted)'!AG328-'Earnings Model'!AG328</f>
        <v>0</v>
      </c>
      <c r="AH328" s="169">
        <f>'Earnings Model (adjusted)'!AH328-'Earnings Model'!AH328</f>
        <v>0</v>
      </c>
      <c r="AI328" s="169">
        <f>'Earnings Model (adjusted)'!AI328-'Earnings Model'!AI328</f>
        <v>0</v>
      </c>
      <c r="AJ328" s="169">
        <f>'Earnings Model (adjusted)'!AJ328-'Earnings Model'!AJ328</f>
        <v>0</v>
      </c>
      <c r="AK328" s="169">
        <f>'Earnings Model (adjusted)'!AK328-'Earnings Model'!AK328</f>
        <v>0</v>
      </c>
      <c r="AL328" s="169">
        <f>'Earnings Model (adjusted)'!AL328-'Earnings Model'!AL328</f>
        <v>0</v>
      </c>
      <c r="AM328" s="169">
        <f>'Earnings Model (adjusted)'!AM328-'Earnings Model'!AM328</f>
        <v>0</v>
      </c>
      <c r="AN328" s="169">
        <f>'Earnings Model (adjusted)'!AN328-'Earnings Model'!AN328</f>
        <v>0</v>
      </c>
      <c r="AO328" s="169">
        <f>'Earnings Model (adjusted)'!AO328-'Earnings Model'!AO328</f>
        <v>0</v>
      </c>
      <c r="AP328" s="169">
        <f>'Earnings Model (adjusted)'!AP328-'Earnings Model'!AP328</f>
        <v>0</v>
      </c>
      <c r="AQ328" s="169">
        <f>'Earnings Model (adjusted)'!AQ328-'Earnings Model'!AQ328</f>
        <v>0</v>
      </c>
    </row>
    <row r="329" spans="1:43" outlineLevel="1" x14ac:dyDescent="0.25">
      <c r="A329" s="254"/>
      <c r="B329" s="140" t="s">
        <v>49</v>
      </c>
      <c r="C329" s="413">
        <f>(C326+C327)/C307+C328</f>
        <v>-0.66037388243757178</v>
      </c>
      <c r="D329" s="380"/>
      <c r="H329" s="389"/>
      <c r="Q329" s="169">
        <f>'Earnings Model (adjusted)'!Q329-'Earnings Model'!Q329</f>
        <v>0</v>
      </c>
      <c r="R329" s="169">
        <f>'Earnings Model (adjusted)'!R329-'Earnings Model'!R329</f>
        <v>0</v>
      </c>
      <c r="S329" s="169">
        <f>'Earnings Model (adjusted)'!S329-'Earnings Model'!S329</f>
        <v>0</v>
      </c>
      <c r="T329" s="169">
        <f>'Earnings Model (adjusted)'!T329-'Earnings Model'!T329</f>
        <v>0</v>
      </c>
      <c r="U329" s="169">
        <f>'Earnings Model (adjusted)'!U329-'Earnings Model'!U329</f>
        <v>0</v>
      </c>
      <c r="V329" s="169">
        <f>'Earnings Model (adjusted)'!V329-'Earnings Model'!V329</f>
        <v>0</v>
      </c>
      <c r="W329" s="169">
        <f>'Earnings Model (adjusted)'!W329-'Earnings Model'!W329</f>
        <v>0</v>
      </c>
      <c r="X329" s="169">
        <f>'Earnings Model (adjusted)'!X329-'Earnings Model'!X329</f>
        <v>0</v>
      </c>
      <c r="Y329" s="169">
        <f>'Earnings Model (adjusted)'!Y329-'Earnings Model'!Y329</f>
        <v>0</v>
      </c>
      <c r="Z329" s="169">
        <f>'Earnings Model (adjusted)'!Z329-'Earnings Model'!Z329</f>
        <v>0</v>
      </c>
      <c r="AA329" s="169">
        <f>'Earnings Model (adjusted)'!AA329-'Earnings Model'!AA329</f>
        <v>0</v>
      </c>
      <c r="AB329" s="169">
        <f>'Earnings Model (adjusted)'!AB329-'Earnings Model'!AB329</f>
        <v>0</v>
      </c>
      <c r="AC329" s="169">
        <f>'Earnings Model (adjusted)'!AC329-'Earnings Model'!AC329</f>
        <v>0</v>
      </c>
      <c r="AD329" s="169">
        <f>'Earnings Model (adjusted)'!AD329-'Earnings Model'!AD329</f>
        <v>0</v>
      </c>
      <c r="AE329" s="169">
        <f>'Earnings Model (adjusted)'!AE329-'Earnings Model'!AE329</f>
        <v>0</v>
      </c>
      <c r="AF329" s="169">
        <f>'Earnings Model (adjusted)'!AF329-'Earnings Model'!AF329</f>
        <v>0</v>
      </c>
      <c r="AG329" s="169">
        <f>'Earnings Model (adjusted)'!AG329-'Earnings Model'!AG329</f>
        <v>0</v>
      </c>
      <c r="AH329" s="169">
        <f>'Earnings Model (adjusted)'!AH329-'Earnings Model'!AH329</f>
        <v>0</v>
      </c>
      <c r="AI329" s="169">
        <f>'Earnings Model (adjusted)'!AI329-'Earnings Model'!AI329</f>
        <v>0</v>
      </c>
      <c r="AJ329" s="169">
        <f>'Earnings Model (adjusted)'!AJ329-'Earnings Model'!AJ329</f>
        <v>0</v>
      </c>
      <c r="AK329" s="169">
        <f>'Earnings Model (adjusted)'!AK329-'Earnings Model'!AK329</f>
        <v>0</v>
      </c>
      <c r="AL329" s="169">
        <f>'Earnings Model (adjusted)'!AL329-'Earnings Model'!AL329</f>
        <v>0</v>
      </c>
      <c r="AM329" s="169">
        <f>'Earnings Model (adjusted)'!AM329-'Earnings Model'!AM329</f>
        <v>0</v>
      </c>
      <c r="AN329" s="169">
        <f>'Earnings Model (adjusted)'!AN329-'Earnings Model'!AN329</f>
        <v>0</v>
      </c>
      <c r="AO329" s="169">
        <f>'Earnings Model (adjusted)'!AO329-'Earnings Model'!AO329</f>
        <v>0</v>
      </c>
      <c r="AP329" s="169">
        <f>'Earnings Model (adjusted)'!AP329-'Earnings Model'!AP329</f>
        <v>0</v>
      </c>
      <c r="AQ329" s="169">
        <f>'Earnings Model (adjusted)'!AQ329-'Earnings Model'!AQ329</f>
        <v>0</v>
      </c>
    </row>
    <row r="330" spans="1:43" ht="13.5" customHeight="1" x14ac:dyDescent="0.25">
      <c r="A330" s="254"/>
      <c r="C330" s="29"/>
      <c r="Q330" s="169">
        <f>'Earnings Model (adjusted)'!Q330-'Earnings Model'!Q330</f>
        <v>0</v>
      </c>
      <c r="R330" s="169">
        <f>'Earnings Model (adjusted)'!R330-'Earnings Model'!R330</f>
        <v>0</v>
      </c>
      <c r="S330" s="169">
        <f>'Earnings Model (adjusted)'!S330-'Earnings Model'!S330</f>
        <v>0</v>
      </c>
      <c r="T330" s="169">
        <f>'Earnings Model (adjusted)'!T330-'Earnings Model'!T330</f>
        <v>0</v>
      </c>
      <c r="U330" s="169">
        <f>'Earnings Model (adjusted)'!U330-'Earnings Model'!U330</f>
        <v>0</v>
      </c>
      <c r="V330" s="169">
        <f>'Earnings Model (adjusted)'!V330-'Earnings Model'!V330</f>
        <v>0</v>
      </c>
      <c r="W330" s="169">
        <f>'Earnings Model (adjusted)'!W330-'Earnings Model'!W330</f>
        <v>0</v>
      </c>
      <c r="X330" s="169">
        <f>'Earnings Model (adjusted)'!X330-'Earnings Model'!X330</f>
        <v>0</v>
      </c>
      <c r="Y330" s="169">
        <f>'Earnings Model (adjusted)'!Y330-'Earnings Model'!Y330</f>
        <v>0</v>
      </c>
      <c r="Z330" s="169">
        <f>'Earnings Model (adjusted)'!Z330-'Earnings Model'!Z330</f>
        <v>0</v>
      </c>
      <c r="AA330" s="169">
        <f>'Earnings Model (adjusted)'!AA330-'Earnings Model'!AA330</f>
        <v>0</v>
      </c>
      <c r="AB330" s="169">
        <f>'Earnings Model (adjusted)'!AB330-'Earnings Model'!AB330</f>
        <v>0</v>
      </c>
      <c r="AC330" s="169">
        <f>'Earnings Model (adjusted)'!AC330-'Earnings Model'!AC330</f>
        <v>0</v>
      </c>
      <c r="AD330" s="169">
        <f>'Earnings Model (adjusted)'!AD330-'Earnings Model'!AD330</f>
        <v>0</v>
      </c>
      <c r="AE330" s="169">
        <f>'Earnings Model (adjusted)'!AE330-'Earnings Model'!AE330</f>
        <v>0</v>
      </c>
      <c r="AF330" s="169">
        <f>'Earnings Model (adjusted)'!AF330-'Earnings Model'!AF330</f>
        <v>0</v>
      </c>
      <c r="AG330" s="169">
        <f>'Earnings Model (adjusted)'!AG330-'Earnings Model'!AG330</f>
        <v>0</v>
      </c>
      <c r="AH330" s="169">
        <f>'Earnings Model (adjusted)'!AH330-'Earnings Model'!AH330</f>
        <v>0</v>
      </c>
      <c r="AI330" s="169">
        <f>'Earnings Model (adjusted)'!AI330-'Earnings Model'!AI330</f>
        <v>0</v>
      </c>
      <c r="AJ330" s="169">
        <f>'Earnings Model (adjusted)'!AJ330-'Earnings Model'!AJ330</f>
        <v>0</v>
      </c>
      <c r="AK330" s="169">
        <f>'Earnings Model (adjusted)'!AK330-'Earnings Model'!AK330</f>
        <v>0</v>
      </c>
      <c r="AL330" s="169">
        <f>'Earnings Model (adjusted)'!AL330-'Earnings Model'!AL330</f>
        <v>0</v>
      </c>
      <c r="AM330" s="169">
        <f>'Earnings Model (adjusted)'!AM330-'Earnings Model'!AM330</f>
        <v>0</v>
      </c>
      <c r="AN330" s="169">
        <f>'Earnings Model (adjusted)'!AN330-'Earnings Model'!AN330</f>
        <v>0</v>
      </c>
      <c r="AO330" s="169">
        <f>'Earnings Model (adjusted)'!AO330-'Earnings Model'!AO330</f>
        <v>0</v>
      </c>
      <c r="AP330" s="169">
        <f>'Earnings Model (adjusted)'!AP330-'Earnings Model'!AP330</f>
        <v>0</v>
      </c>
      <c r="AQ330" s="169">
        <f>'Earnings Model (adjusted)'!AQ330-'Earnings Model'!AQ330</f>
        <v>0</v>
      </c>
    </row>
    <row r="331" spans="1:43" ht="15.75" x14ac:dyDescent="0.25">
      <c r="A331" s="254"/>
      <c r="B331" s="565" t="s">
        <v>105</v>
      </c>
      <c r="C331" s="627"/>
      <c r="D331" s="379"/>
      <c r="Q331" s="169">
        <f>'Earnings Model (adjusted)'!Q331-'Earnings Model'!Q331</f>
        <v>0</v>
      </c>
      <c r="R331" s="169">
        <f>'Earnings Model (adjusted)'!R331-'Earnings Model'!R331</f>
        <v>0</v>
      </c>
      <c r="S331" s="169">
        <f>'Earnings Model (adjusted)'!S331-'Earnings Model'!S331</f>
        <v>0</v>
      </c>
      <c r="T331" s="169">
        <f>'Earnings Model (adjusted)'!T331-'Earnings Model'!T331</f>
        <v>0</v>
      </c>
      <c r="U331" s="169">
        <f>'Earnings Model (adjusted)'!U331-'Earnings Model'!U331</f>
        <v>0</v>
      </c>
      <c r="V331" s="169">
        <f>'Earnings Model (adjusted)'!V331-'Earnings Model'!V331</f>
        <v>0</v>
      </c>
      <c r="W331" s="169">
        <f>'Earnings Model (adjusted)'!W331-'Earnings Model'!W331</f>
        <v>0</v>
      </c>
      <c r="X331" s="169">
        <f>'Earnings Model (adjusted)'!X331-'Earnings Model'!X331</f>
        <v>0</v>
      </c>
      <c r="Y331" s="169">
        <f>'Earnings Model (adjusted)'!Y331-'Earnings Model'!Y331</f>
        <v>0</v>
      </c>
      <c r="Z331" s="169">
        <f>'Earnings Model (adjusted)'!Z331-'Earnings Model'!Z331</f>
        <v>0</v>
      </c>
      <c r="AA331" s="169">
        <f>'Earnings Model (adjusted)'!AA331-'Earnings Model'!AA331</f>
        <v>0</v>
      </c>
      <c r="AB331" s="169">
        <f>'Earnings Model (adjusted)'!AB331-'Earnings Model'!AB331</f>
        <v>0</v>
      </c>
      <c r="AC331" s="169">
        <f>'Earnings Model (adjusted)'!AC331-'Earnings Model'!AC331</f>
        <v>0</v>
      </c>
      <c r="AD331" s="169">
        <f>'Earnings Model (adjusted)'!AD331-'Earnings Model'!AD331</f>
        <v>0</v>
      </c>
      <c r="AE331" s="169">
        <f>'Earnings Model (adjusted)'!AE331-'Earnings Model'!AE331</f>
        <v>0</v>
      </c>
      <c r="AF331" s="169">
        <f>'Earnings Model (adjusted)'!AF331-'Earnings Model'!AF331</f>
        <v>0</v>
      </c>
      <c r="AG331" s="169">
        <f>'Earnings Model (adjusted)'!AG331-'Earnings Model'!AG331</f>
        <v>0</v>
      </c>
      <c r="AH331" s="169">
        <f>'Earnings Model (adjusted)'!AH331-'Earnings Model'!AH331</f>
        <v>0</v>
      </c>
      <c r="AI331" s="169">
        <f>'Earnings Model (adjusted)'!AI331-'Earnings Model'!AI331</f>
        <v>0</v>
      </c>
      <c r="AJ331" s="169">
        <f>'Earnings Model (adjusted)'!AJ331-'Earnings Model'!AJ331</f>
        <v>0</v>
      </c>
      <c r="AK331" s="169">
        <f>'Earnings Model (adjusted)'!AK331-'Earnings Model'!AK331</f>
        <v>0</v>
      </c>
      <c r="AL331" s="169">
        <f>'Earnings Model (adjusted)'!AL331-'Earnings Model'!AL331</f>
        <v>0</v>
      </c>
      <c r="AM331" s="169">
        <f>'Earnings Model (adjusted)'!AM331-'Earnings Model'!AM331</f>
        <v>0</v>
      </c>
      <c r="AN331" s="169">
        <f>'Earnings Model (adjusted)'!AN331-'Earnings Model'!AN331</f>
        <v>0</v>
      </c>
      <c r="AO331" s="169">
        <f>'Earnings Model (adjusted)'!AO331-'Earnings Model'!AO331</f>
        <v>0</v>
      </c>
      <c r="AP331" s="169">
        <f>'Earnings Model (adjusted)'!AP331-'Earnings Model'!AP331</f>
        <v>0</v>
      </c>
      <c r="AQ331" s="169">
        <f>'Earnings Model (adjusted)'!AQ331-'Earnings Model'!AQ331</f>
        <v>0</v>
      </c>
    </row>
    <row r="332" spans="1:43" outlineLevel="1" x14ac:dyDescent="0.25">
      <c r="A332" s="254"/>
      <c r="B332" s="113" t="s">
        <v>320</v>
      </c>
      <c r="C332" s="115">
        <f>'Std Dev'!E17</f>
        <v>2.3571285403266511E-2</v>
      </c>
      <c r="D332" s="380"/>
      <c r="Q332" s="169">
        <f>'Earnings Model (adjusted)'!Q332-'Earnings Model'!Q332</f>
        <v>0</v>
      </c>
      <c r="R332" s="169">
        <f>'Earnings Model (adjusted)'!R332-'Earnings Model'!R332</f>
        <v>0</v>
      </c>
      <c r="S332" s="169">
        <f>'Earnings Model (adjusted)'!S332-'Earnings Model'!S332</f>
        <v>0</v>
      </c>
      <c r="T332" s="169">
        <f>'Earnings Model (adjusted)'!T332-'Earnings Model'!T332</f>
        <v>0</v>
      </c>
      <c r="U332" s="169">
        <f>'Earnings Model (adjusted)'!U332-'Earnings Model'!U332</f>
        <v>0</v>
      </c>
      <c r="V332" s="169">
        <f>'Earnings Model (adjusted)'!V332-'Earnings Model'!V332</f>
        <v>0</v>
      </c>
      <c r="W332" s="169">
        <f>'Earnings Model (adjusted)'!W332-'Earnings Model'!W332</f>
        <v>0</v>
      </c>
      <c r="X332" s="169">
        <f>'Earnings Model (adjusted)'!X332-'Earnings Model'!X332</f>
        <v>0</v>
      </c>
      <c r="Y332" s="169">
        <f>'Earnings Model (adjusted)'!Y332-'Earnings Model'!Y332</f>
        <v>0</v>
      </c>
      <c r="Z332" s="169">
        <f>'Earnings Model (adjusted)'!Z332-'Earnings Model'!Z332</f>
        <v>0</v>
      </c>
      <c r="AA332" s="169">
        <f>'Earnings Model (adjusted)'!AA332-'Earnings Model'!AA332</f>
        <v>0</v>
      </c>
      <c r="AB332" s="169">
        <f>'Earnings Model (adjusted)'!AB332-'Earnings Model'!AB332</f>
        <v>0</v>
      </c>
      <c r="AC332" s="169">
        <f>'Earnings Model (adjusted)'!AC332-'Earnings Model'!AC332</f>
        <v>0</v>
      </c>
      <c r="AD332" s="169">
        <f>'Earnings Model (adjusted)'!AD332-'Earnings Model'!AD332</f>
        <v>0</v>
      </c>
      <c r="AE332" s="169">
        <f>'Earnings Model (adjusted)'!AE332-'Earnings Model'!AE332</f>
        <v>0</v>
      </c>
      <c r="AF332" s="169">
        <f>'Earnings Model (adjusted)'!AF332-'Earnings Model'!AF332</f>
        <v>0</v>
      </c>
      <c r="AG332" s="169">
        <f>'Earnings Model (adjusted)'!AG332-'Earnings Model'!AG332</f>
        <v>0</v>
      </c>
      <c r="AH332" s="169">
        <f>'Earnings Model (adjusted)'!AH332-'Earnings Model'!AH332</f>
        <v>0</v>
      </c>
      <c r="AI332" s="169">
        <f>'Earnings Model (adjusted)'!AI332-'Earnings Model'!AI332</f>
        <v>0</v>
      </c>
      <c r="AJ332" s="169">
        <f>'Earnings Model (adjusted)'!AJ332-'Earnings Model'!AJ332</f>
        <v>0</v>
      </c>
      <c r="AK332" s="169">
        <f>'Earnings Model (adjusted)'!AK332-'Earnings Model'!AK332</f>
        <v>0</v>
      </c>
      <c r="AL332" s="169">
        <f>'Earnings Model (adjusted)'!AL332-'Earnings Model'!AL332</f>
        <v>0</v>
      </c>
      <c r="AM332" s="169">
        <f>'Earnings Model (adjusted)'!AM332-'Earnings Model'!AM332</f>
        <v>0</v>
      </c>
      <c r="AN332" s="169">
        <f>'Earnings Model (adjusted)'!AN332-'Earnings Model'!AN332</f>
        <v>0</v>
      </c>
      <c r="AO332" s="169">
        <f>'Earnings Model (adjusted)'!AO332-'Earnings Model'!AO332</f>
        <v>0</v>
      </c>
      <c r="AP332" s="169">
        <f>'Earnings Model (adjusted)'!AP332-'Earnings Model'!AP332</f>
        <v>0</v>
      </c>
      <c r="AQ332" s="169">
        <f>'Earnings Model (adjusted)'!AQ332-'Earnings Model'!AQ332</f>
        <v>0</v>
      </c>
    </row>
    <row r="333" spans="1:43" outlineLevel="1" x14ac:dyDescent="0.25">
      <c r="A333" s="254"/>
      <c r="B333" s="57" t="s">
        <v>60</v>
      </c>
      <c r="C333" s="116">
        <f>'Std Dev'!G20</f>
        <v>4.5229478198470938E-2</v>
      </c>
      <c r="D333" s="380"/>
      <c r="Q333" s="169">
        <f>'Earnings Model (adjusted)'!Q333-'Earnings Model'!Q333</f>
        <v>0</v>
      </c>
      <c r="R333" s="169">
        <f>'Earnings Model (adjusted)'!R333-'Earnings Model'!R333</f>
        <v>0</v>
      </c>
      <c r="S333" s="169">
        <f>'Earnings Model (adjusted)'!S333-'Earnings Model'!S333</f>
        <v>0</v>
      </c>
      <c r="T333" s="169">
        <f>'Earnings Model (adjusted)'!T333-'Earnings Model'!T333</f>
        <v>0</v>
      </c>
      <c r="U333" s="169">
        <f>'Earnings Model (adjusted)'!U333-'Earnings Model'!U333</f>
        <v>0</v>
      </c>
      <c r="V333" s="169">
        <f>'Earnings Model (adjusted)'!V333-'Earnings Model'!V333</f>
        <v>0</v>
      </c>
      <c r="W333" s="169">
        <f>'Earnings Model (adjusted)'!W333-'Earnings Model'!W333</f>
        <v>0</v>
      </c>
      <c r="X333" s="169">
        <f>'Earnings Model (adjusted)'!X333-'Earnings Model'!X333</f>
        <v>0</v>
      </c>
      <c r="Y333" s="169">
        <f>'Earnings Model (adjusted)'!Y333-'Earnings Model'!Y333</f>
        <v>0</v>
      </c>
      <c r="Z333" s="169">
        <f>'Earnings Model (adjusted)'!Z333-'Earnings Model'!Z333</f>
        <v>0</v>
      </c>
      <c r="AA333" s="169">
        <f>'Earnings Model (adjusted)'!AA333-'Earnings Model'!AA333</f>
        <v>0</v>
      </c>
      <c r="AB333" s="169">
        <f>'Earnings Model (adjusted)'!AB333-'Earnings Model'!AB333</f>
        <v>0</v>
      </c>
      <c r="AC333" s="169">
        <f>'Earnings Model (adjusted)'!AC333-'Earnings Model'!AC333</f>
        <v>0</v>
      </c>
      <c r="AD333" s="169">
        <f>'Earnings Model (adjusted)'!AD333-'Earnings Model'!AD333</f>
        <v>0</v>
      </c>
      <c r="AE333" s="169">
        <f>'Earnings Model (adjusted)'!AE333-'Earnings Model'!AE333</f>
        <v>0</v>
      </c>
      <c r="AF333" s="169">
        <f>'Earnings Model (adjusted)'!AF333-'Earnings Model'!AF333</f>
        <v>0</v>
      </c>
      <c r="AG333" s="169">
        <f>'Earnings Model (adjusted)'!AG333-'Earnings Model'!AG333</f>
        <v>0</v>
      </c>
      <c r="AH333" s="169">
        <f>'Earnings Model (adjusted)'!AH333-'Earnings Model'!AH333</f>
        <v>0</v>
      </c>
      <c r="AI333" s="169">
        <f>'Earnings Model (adjusted)'!AI333-'Earnings Model'!AI333</f>
        <v>0</v>
      </c>
      <c r="AJ333" s="169">
        <f>'Earnings Model (adjusted)'!AJ333-'Earnings Model'!AJ333</f>
        <v>0</v>
      </c>
      <c r="AK333" s="169">
        <f>'Earnings Model (adjusted)'!AK333-'Earnings Model'!AK333</f>
        <v>0</v>
      </c>
      <c r="AL333" s="169">
        <f>'Earnings Model (adjusted)'!AL333-'Earnings Model'!AL333</f>
        <v>0</v>
      </c>
      <c r="AM333" s="169">
        <f>'Earnings Model (adjusted)'!AM333-'Earnings Model'!AM333</f>
        <v>0</v>
      </c>
      <c r="AN333" s="169">
        <f>'Earnings Model (adjusted)'!AN333-'Earnings Model'!AN333</f>
        <v>0</v>
      </c>
      <c r="AO333" s="169">
        <f>'Earnings Model (adjusted)'!AO333-'Earnings Model'!AO333</f>
        <v>0</v>
      </c>
      <c r="AP333" s="169">
        <f>'Earnings Model (adjusted)'!AP333-'Earnings Model'!AP333</f>
        <v>0</v>
      </c>
      <c r="AQ333" s="169">
        <f>'Earnings Model (adjusted)'!AQ333-'Earnings Model'!AQ333</f>
        <v>0</v>
      </c>
    </row>
    <row r="334" spans="1:43" outlineLevel="1" x14ac:dyDescent="0.25">
      <c r="A334" s="254"/>
      <c r="B334" s="57" t="s">
        <v>63</v>
      </c>
      <c r="C334" s="114">
        <f>C8</f>
        <v>3.5805193638744428</v>
      </c>
      <c r="D334" s="380"/>
      <c r="Q334" s="169">
        <f>'Earnings Model (adjusted)'!Q334-'Earnings Model'!Q334</f>
        <v>0</v>
      </c>
      <c r="R334" s="169">
        <f>'Earnings Model (adjusted)'!R334-'Earnings Model'!R334</f>
        <v>0</v>
      </c>
      <c r="S334" s="169">
        <f>'Earnings Model (adjusted)'!S334-'Earnings Model'!S334</f>
        <v>0</v>
      </c>
      <c r="T334" s="169">
        <f>'Earnings Model (adjusted)'!T334-'Earnings Model'!T334</f>
        <v>0</v>
      </c>
      <c r="U334" s="169">
        <f>'Earnings Model (adjusted)'!U334-'Earnings Model'!U334</f>
        <v>0</v>
      </c>
      <c r="V334" s="169">
        <f>'Earnings Model (adjusted)'!V334-'Earnings Model'!V334</f>
        <v>0</v>
      </c>
      <c r="W334" s="169">
        <f>'Earnings Model (adjusted)'!W334-'Earnings Model'!W334</f>
        <v>0</v>
      </c>
      <c r="X334" s="169">
        <f>'Earnings Model (adjusted)'!X334-'Earnings Model'!X334</f>
        <v>0</v>
      </c>
      <c r="Y334" s="169">
        <f>'Earnings Model (adjusted)'!Y334-'Earnings Model'!Y334</f>
        <v>0</v>
      </c>
      <c r="Z334" s="169">
        <f>'Earnings Model (adjusted)'!Z334-'Earnings Model'!Z334</f>
        <v>0</v>
      </c>
      <c r="AA334" s="169">
        <f>'Earnings Model (adjusted)'!AA334-'Earnings Model'!AA334</f>
        <v>0</v>
      </c>
      <c r="AB334" s="169">
        <f>'Earnings Model (adjusted)'!AB334-'Earnings Model'!AB334</f>
        <v>0</v>
      </c>
      <c r="AC334" s="169">
        <f>'Earnings Model (adjusted)'!AC334-'Earnings Model'!AC334</f>
        <v>0</v>
      </c>
      <c r="AD334" s="169">
        <f>'Earnings Model (adjusted)'!AD334-'Earnings Model'!AD334</f>
        <v>0</v>
      </c>
      <c r="AE334" s="169">
        <f>'Earnings Model (adjusted)'!AE334-'Earnings Model'!AE334</f>
        <v>0</v>
      </c>
      <c r="AF334" s="169">
        <f>'Earnings Model (adjusted)'!AF334-'Earnings Model'!AF334</f>
        <v>0</v>
      </c>
      <c r="AG334" s="169">
        <f>'Earnings Model (adjusted)'!AG334-'Earnings Model'!AG334</f>
        <v>0</v>
      </c>
      <c r="AH334" s="169">
        <f>'Earnings Model (adjusted)'!AH334-'Earnings Model'!AH334</f>
        <v>0</v>
      </c>
      <c r="AI334" s="169">
        <f>'Earnings Model (adjusted)'!AI334-'Earnings Model'!AI334</f>
        <v>0</v>
      </c>
      <c r="AJ334" s="169">
        <f>'Earnings Model (adjusted)'!AJ334-'Earnings Model'!AJ334</f>
        <v>0</v>
      </c>
      <c r="AK334" s="169">
        <f>'Earnings Model (adjusted)'!AK334-'Earnings Model'!AK334</f>
        <v>0</v>
      </c>
      <c r="AL334" s="169">
        <f>'Earnings Model (adjusted)'!AL334-'Earnings Model'!AL334</f>
        <v>0</v>
      </c>
      <c r="AM334" s="169">
        <f>'Earnings Model (adjusted)'!AM334-'Earnings Model'!AM334</f>
        <v>0</v>
      </c>
      <c r="AN334" s="169">
        <f>'Earnings Model (adjusted)'!AN334-'Earnings Model'!AN334</f>
        <v>0</v>
      </c>
      <c r="AO334" s="169">
        <f>'Earnings Model (adjusted)'!AO334-'Earnings Model'!AO334</f>
        <v>0</v>
      </c>
      <c r="AP334" s="169">
        <f>'Earnings Model (adjusted)'!AP334-'Earnings Model'!AP334</f>
        <v>0</v>
      </c>
      <c r="AQ334" s="169">
        <f>'Earnings Model (adjusted)'!AQ334-'Earnings Model'!AQ334</f>
        <v>0</v>
      </c>
    </row>
    <row r="335" spans="1:43" outlineLevel="1" x14ac:dyDescent="0.25">
      <c r="A335" s="254"/>
      <c r="B335" s="57" t="s">
        <v>61</v>
      </c>
      <c r="C335" s="114">
        <f>C334*(1+(C332+(2*C333)))</f>
        <v>3.9888068527073739</v>
      </c>
      <c r="D335" s="380"/>
      <c r="Q335" s="169">
        <f>'Earnings Model (adjusted)'!Q335-'Earnings Model'!Q335</f>
        <v>0</v>
      </c>
      <c r="R335" s="169">
        <f>'Earnings Model (adjusted)'!R335-'Earnings Model'!R335</f>
        <v>0</v>
      </c>
      <c r="S335" s="169">
        <f>'Earnings Model (adjusted)'!S335-'Earnings Model'!S335</f>
        <v>0</v>
      </c>
      <c r="T335" s="169">
        <f>'Earnings Model (adjusted)'!T335-'Earnings Model'!T335</f>
        <v>0</v>
      </c>
      <c r="U335" s="169">
        <f>'Earnings Model (adjusted)'!U335-'Earnings Model'!U335</f>
        <v>0</v>
      </c>
      <c r="V335" s="169">
        <f>'Earnings Model (adjusted)'!V335-'Earnings Model'!V335</f>
        <v>0</v>
      </c>
      <c r="W335" s="169">
        <f>'Earnings Model (adjusted)'!W335-'Earnings Model'!W335</f>
        <v>0</v>
      </c>
      <c r="X335" s="169">
        <f>'Earnings Model (adjusted)'!X335-'Earnings Model'!X335</f>
        <v>0</v>
      </c>
      <c r="Y335" s="169">
        <f>'Earnings Model (adjusted)'!Y335-'Earnings Model'!Y335</f>
        <v>0</v>
      </c>
      <c r="Z335" s="169">
        <f>'Earnings Model (adjusted)'!Z335-'Earnings Model'!Z335</f>
        <v>0</v>
      </c>
      <c r="AA335" s="169">
        <f>'Earnings Model (adjusted)'!AA335-'Earnings Model'!AA335</f>
        <v>0</v>
      </c>
      <c r="AB335" s="169">
        <f>'Earnings Model (adjusted)'!AB335-'Earnings Model'!AB335</f>
        <v>0</v>
      </c>
      <c r="AC335" s="169">
        <f>'Earnings Model (adjusted)'!AC335-'Earnings Model'!AC335</f>
        <v>0</v>
      </c>
      <c r="AD335" s="169">
        <f>'Earnings Model (adjusted)'!AD335-'Earnings Model'!AD335</f>
        <v>0</v>
      </c>
      <c r="AE335" s="169">
        <f>'Earnings Model (adjusted)'!AE335-'Earnings Model'!AE335</f>
        <v>0</v>
      </c>
      <c r="AF335" s="169">
        <f>'Earnings Model (adjusted)'!AF335-'Earnings Model'!AF335</f>
        <v>0</v>
      </c>
      <c r="AG335" s="169">
        <f>'Earnings Model (adjusted)'!AG335-'Earnings Model'!AG335</f>
        <v>0</v>
      </c>
      <c r="AH335" s="169">
        <f>'Earnings Model (adjusted)'!AH335-'Earnings Model'!AH335</f>
        <v>0</v>
      </c>
      <c r="AI335" s="169">
        <f>'Earnings Model (adjusted)'!AI335-'Earnings Model'!AI335</f>
        <v>0</v>
      </c>
      <c r="AJ335" s="169">
        <f>'Earnings Model (adjusted)'!AJ335-'Earnings Model'!AJ335</f>
        <v>0</v>
      </c>
      <c r="AK335" s="169">
        <f>'Earnings Model (adjusted)'!AK335-'Earnings Model'!AK335</f>
        <v>0</v>
      </c>
      <c r="AL335" s="169">
        <f>'Earnings Model (adjusted)'!AL335-'Earnings Model'!AL335</f>
        <v>0</v>
      </c>
      <c r="AM335" s="169">
        <f>'Earnings Model (adjusted)'!AM335-'Earnings Model'!AM335</f>
        <v>0</v>
      </c>
      <c r="AN335" s="169">
        <f>'Earnings Model (adjusted)'!AN335-'Earnings Model'!AN335</f>
        <v>0</v>
      </c>
      <c r="AO335" s="169">
        <f>'Earnings Model (adjusted)'!AO335-'Earnings Model'!AO335</f>
        <v>0</v>
      </c>
      <c r="AP335" s="169">
        <f>'Earnings Model (adjusted)'!AP335-'Earnings Model'!AP335</f>
        <v>0</v>
      </c>
      <c r="AQ335" s="169">
        <f>'Earnings Model (adjusted)'!AQ335-'Earnings Model'!AQ335</f>
        <v>0</v>
      </c>
    </row>
    <row r="336" spans="1:43" outlineLevel="1" x14ac:dyDescent="0.25">
      <c r="A336" s="254"/>
      <c r="B336" s="142" t="s">
        <v>62</v>
      </c>
      <c r="C336" s="143">
        <f>C334*(1+(C332-(2*C333)))</f>
        <v>3.3410267626771253</v>
      </c>
      <c r="D336" s="380"/>
      <c r="Q336" s="169">
        <f>'Earnings Model (adjusted)'!Q336-'Earnings Model'!Q336</f>
        <v>0</v>
      </c>
      <c r="R336" s="169">
        <f>'Earnings Model (adjusted)'!R336-'Earnings Model'!R336</f>
        <v>0</v>
      </c>
      <c r="S336" s="169">
        <f>'Earnings Model (adjusted)'!S336-'Earnings Model'!S336</f>
        <v>0</v>
      </c>
      <c r="T336" s="169">
        <f>'Earnings Model (adjusted)'!T336-'Earnings Model'!T336</f>
        <v>0</v>
      </c>
      <c r="U336" s="169">
        <f>'Earnings Model (adjusted)'!U336-'Earnings Model'!U336</f>
        <v>0</v>
      </c>
      <c r="V336" s="169">
        <f>'Earnings Model (adjusted)'!V336-'Earnings Model'!V336</f>
        <v>0</v>
      </c>
      <c r="W336" s="169">
        <f>'Earnings Model (adjusted)'!W336-'Earnings Model'!W336</f>
        <v>0</v>
      </c>
      <c r="X336" s="169">
        <f>'Earnings Model (adjusted)'!X336-'Earnings Model'!X336</f>
        <v>0</v>
      </c>
      <c r="Y336" s="169">
        <f>'Earnings Model (adjusted)'!Y336-'Earnings Model'!Y336</f>
        <v>0</v>
      </c>
      <c r="Z336" s="169">
        <f>'Earnings Model (adjusted)'!Z336-'Earnings Model'!Z336</f>
        <v>0</v>
      </c>
      <c r="AA336" s="169">
        <f>'Earnings Model (adjusted)'!AA336-'Earnings Model'!AA336</f>
        <v>0</v>
      </c>
      <c r="AB336" s="169">
        <f>'Earnings Model (adjusted)'!AB336-'Earnings Model'!AB336</f>
        <v>0</v>
      </c>
      <c r="AC336" s="169">
        <f>'Earnings Model (adjusted)'!AC336-'Earnings Model'!AC336</f>
        <v>0</v>
      </c>
      <c r="AD336" s="169">
        <f>'Earnings Model (adjusted)'!AD336-'Earnings Model'!AD336</f>
        <v>0</v>
      </c>
      <c r="AE336" s="169">
        <f>'Earnings Model (adjusted)'!AE336-'Earnings Model'!AE336</f>
        <v>0</v>
      </c>
      <c r="AF336" s="169">
        <f>'Earnings Model (adjusted)'!AF336-'Earnings Model'!AF336</f>
        <v>0</v>
      </c>
      <c r="AG336" s="169">
        <f>'Earnings Model (adjusted)'!AG336-'Earnings Model'!AG336</f>
        <v>0</v>
      </c>
      <c r="AH336" s="169">
        <f>'Earnings Model (adjusted)'!AH336-'Earnings Model'!AH336</f>
        <v>0</v>
      </c>
      <c r="AI336" s="169">
        <f>'Earnings Model (adjusted)'!AI336-'Earnings Model'!AI336</f>
        <v>0</v>
      </c>
      <c r="AJ336" s="169">
        <f>'Earnings Model (adjusted)'!AJ336-'Earnings Model'!AJ336</f>
        <v>0</v>
      </c>
      <c r="AK336" s="169">
        <f>'Earnings Model (adjusted)'!AK336-'Earnings Model'!AK336</f>
        <v>0</v>
      </c>
      <c r="AL336" s="169">
        <f>'Earnings Model (adjusted)'!AL336-'Earnings Model'!AL336</f>
        <v>0</v>
      </c>
      <c r="AM336" s="169">
        <f>'Earnings Model (adjusted)'!AM336-'Earnings Model'!AM336</f>
        <v>0</v>
      </c>
      <c r="AN336" s="169">
        <f>'Earnings Model (adjusted)'!AN336-'Earnings Model'!AN336</f>
        <v>0</v>
      </c>
      <c r="AO336" s="169">
        <f>'Earnings Model (adjusted)'!AO336-'Earnings Model'!AO336</f>
        <v>0</v>
      </c>
      <c r="AP336" s="169">
        <f>'Earnings Model (adjusted)'!AP336-'Earnings Model'!AP336</f>
        <v>0</v>
      </c>
      <c r="AQ336" s="169">
        <f>'Earnings Model (adjusted)'!AQ336-'Earnings Model'!AQ336</f>
        <v>0</v>
      </c>
    </row>
    <row r="337" spans="4:43" ht="14.65" customHeight="1" x14ac:dyDescent="0.25">
      <c r="D337" s="380"/>
      <c r="Q337" s="169">
        <f>'Earnings Model (adjusted)'!Q337-'Earnings Model'!Q337</f>
        <v>0</v>
      </c>
      <c r="R337" s="169">
        <f>'Earnings Model (adjusted)'!R337-'Earnings Model'!R337</f>
        <v>0</v>
      </c>
      <c r="S337" s="169">
        <f>'Earnings Model (adjusted)'!S337-'Earnings Model'!S337</f>
        <v>0</v>
      </c>
      <c r="T337" s="169">
        <f>'Earnings Model (adjusted)'!T337-'Earnings Model'!T337</f>
        <v>0</v>
      </c>
      <c r="U337" s="169">
        <f>'Earnings Model (adjusted)'!U337-'Earnings Model'!U337</f>
        <v>0</v>
      </c>
      <c r="V337" s="169">
        <f>'Earnings Model (adjusted)'!V337-'Earnings Model'!V337</f>
        <v>0</v>
      </c>
      <c r="W337" s="169">
        <f>'Earnings Model (adjusted)'!W337-'Earnings Model'!W337</f>
        <v>0</v>
      </c>
      <c r="X337" s="169">
        <f>'Earnings Model (adjusted)'!X337-'Earnings Model'!X337</f>
        <v>0</v>
      </c>
      <c r="Y337" s="169">
        <f>'Earnings Model (adjusted)'!Y337-'Earnings Model'!Y337</f>
        <v>0</v>
      </c>
      <c r="Z337" s="169">
        <f>'Earnings Model (adjusted)'!Z337-'Earnings Model'!Z337</f>
        <v>0</v>
      </c>
      <c r="AA337" s="169">
        <f>'Earnings Model (adjusted)'!AA337-'Earnings Model'!AA337</f>
        <v>0</v>
      </c>
      <c r="AB337" s="169">
        <f>'Earnings Model (adjusted)'!AB337-'Earnings Model'!AB337</f>
        <v>0</v>
      </c>
      <c r="AC337" s="169">
        <f>'Earnings Model (adjusted)'!AC337-'Earnings Model'!AC337</f>
        <v>0</v>
      </c>
      <c r="AD337" s="169">
        <f>'Earnings Model (adjusted)'!AD337-'Earnings Model'!AD337</f>
        <v>0</v>
      </c>
      <c r="AE337" s="169">
        <f>'Earnings Model (adjusted)'!AE337-'Earnings Model'!AE337</f>
        <v>0</v>
      </c>
      <c r="AF337" s="169">
        <f>'Earnings Model (adjusted)'!AF337-'Earnings Model'!AF337</f>
        <v>0</v>
      </c>
      <c r="AG337" s="169">
        <f>'Earnings Model (adjusted)'!AG337-'Earnings Model'!AG337</f>
        <v>0</v>
      </c>
      <c r="AH337" s="169">
        <f>'Earnings Model (adjusted)'!AH337-'Earnings Model'!AH337</f>
        <v>0</v>
      </c>
      <c r="AI337" s="169">
        <f>'Earnings Model (adjusted)'!AI337-'Earnings Model'!AI337</f>
        <v>0</v>
      </c>
      <c r="AJ337" s="169">
        <f>'Earnings Model (adjusted)'!AJ337-'Earnings Model'!AJ337</f>
        <v>0</v>
      </c>
      <c r="AK337" s="169">
        <f>'Earnings Model (adjusted)'!AK337-'Earnings Model'!AK337</f>
        <v>0</v>
      </c>
      <c r="AL337" s="169">
        <f>'Earnings Model (adjusted)'!AL337-'Earnings Model'!AL337</f>
        <v>0</v>
      </c>
      <c r="AM337" s="169">
        <f>'Earnings Model (adjusted)'!AM337-'Earnings Model'!AM337</f>
        <v>0</v>
      </c>
      <c r="AN337" s="169">
        <f>'Earnings Model (adjusted)'!AN337-'Earnings Model'!AN337</f>
        <v>0</v>
      </c>
      <c r="AO337" s="169">
        <f>'Earnings Model (adjusted)'!AO337-'Earnings Model'!AO337</f>
        <v>0</v>
      </c>
      <c r="AP337" s="169">
        <f>'Earnings Model (adjusted)'!AP337-'Earnings Model'!AP337</f>
        <v>0</v>
      </c>
      <c r="AQ337" s="169">
        <f>'Earnings Model (adjusted)'!AQ337-'Earnings Model'!AQ337</f>
        <v>0</v>
      </c>
    </row>
    <row r="338" spans="4:43" x14ac:dyDescent="0.25">
      <c r="Q338" s="169">
        <f>'Earnings Model (adjusted)'!Q338-'Earnings Model'!Q338</f>
        <v>0</v>
      </c>
      <c r="R338" s="169">
        <f>'Earnings Model (adjusted)'!R338-'Earnings Model'!R338</f>
        <v>0</v>
      </c>
      <c r="S338" s="169">
        <f>'Earnings Model (adjusted)'!S338-'Earnings Model'!S338</f>
        <v>0</v>
      </c>
      <c r="T338" s="169">
        <f>'Earnings Model (adjusted)'!T338-'Earnings Model'!T338</f>
        <v>0</v>
      </c>
      <c r="U338" s="169">
        <f>'Earnings Model (adjusted)'!U338-'Earnings Model'!U338</f>
        <v>0</v>
      </c>
      <c r="V338" s="169">
        <f>'Earnings Model (adjusted)'!V338-'Earnings Model'!V338</f>
        <v>0</v>
      </c>
      <c r="W338" s="169">
        <f>'Earnings Model (adjusted)'!W338-'Earnings Model'!W338</f>
        <v>0</v>
      </c>
      <c r="X338" s="169">
        <f>'Earnings Model (adjusted)'!X338-'Earnings Model'!X338</f>
        <v>0</v>
      </c>
      <c r="Y338" s="169">
        <f>'Earnings Model (adjusted)'!Y338-'Earnings Model'!Y338</f>
        <v>0</v>
      </c>
      <c r="Z338" s="169">
        <f>'Earnings Model (adjusted)'!Z338-'Earnings Model'!Z338</f>
        <v>0</v>
      </c>
      <c r="AA338" s="169">
        <f>'Earnings Model (adjusted)'!AA338-'Earnings Model'!AA338</f>
        <v>0</v>
      </c>
      <c r="AB338" s="169">
        <f>'Earnings Model (adjusted)'!AB338-'Earnings Model'!AB338</f>
        <v>0</v>
      </c>
      <c r="AC338" s="169">
        <f>'Earnings Model (adjusted)'!AC338-'Earnings Model'!AC338</f>
        <v>0</v>
      </c>
      <c r="AD338" s="169">
        <f>'Earnings Model (adjusted)'!AD338-'Earnings Model'!AD338</f>
        <v>0</v>
      </c>
      <c r="AE338" s="169">
        <f>'Earnings Model (adjusted)'!AE338-'Earnings Model'!AE338</f>
        <v>0</v>
      </c>
      <c r="AF338" s="169">
        <f>'Earnings Model (adjusted)'!AF338-'Earnings Model'!AF338</f>
        <v>0</v>
      </c>
      <c r="AG338" s="169">
        <f>'Earnings Model (adjusted)'!AG338-'Earnings Model'!AG338</f>
        <v>0</v>
      </c>
      <c r="AH338" s="169">
        <f>'Earnings Model (adjusted)'!AH338-'Earnings Model'!AH338</f>
        <v>0</v>
      </c>
      <c r="AI338" s="169">
        <f>'Earnings Model (adjusted)'!AI338-'Earnings Model'!AI338</f>
        <v>0</v>
      </c>
      <c r="AJ338" s="169">
        <f>'Earnings Model (adjusted)'!AJ338-'Earnings Model'!AJ338</f>
        <v>0</v>
      </c>
      <c r="AK338" s="169">
        <f>'Earnings Model (adjusted)'!AK338-'Earnings Model'!AK338</f>
        <v>0</v>
      </c>
      <c r="AL338" s="169">
        <f>'Earnings Model (adjusted)'!AL338-'Earnings Model'!AL338</f>
        <v>0</v>
      </c>
      <c r="AM338" s="169">
        <f>'Earnings Model (adjusted)'!AM338-'Earnings Model'!AM338</f>
        <v>0</v>
      </c>
      <c r="AN338" s="169">
        <f>'Earnings Model (adjusted)'!AN338-'Earnings Model'!AN338</f>
        <v>0</v>
      </c>
      <c r="AO338" s="169">
        <f>'Earnings Model (adjusted)'!AO338-'Earnings Model'!AO338</f>
        <v>0</v>
      </c>
      <c r="AP338" s="169">
        <f>'Earnings Model (adjusted)'!AP338-'Earnings Model'!AP338</f>
        <v>0</v>
      </c>
      <c r="AQ338" s="169">
        <f>'Earnings Model (adjusted)'!AQ338-'Earnings Model'!AQ338</f>
        <v>0</v>
      </c>
    </row>
    <row r="339" spans="4:43" x14ac:dyDescent="0.25">
      <c r="Q339" s="169">
        <f>'Earnings Model (adjusted)'!Q339-'Earnings Model'!Q339</f>
        <v>0</v>
      </c>
      <c r="R339" s="169">
        <f>'Earnings Model (adjusted)'!R339-'Earnings Model'!R339</f>
        <v>0</v>
      </c>
      <c r="S339" s="169">
        <f>'Earnings Model (adjusted)'!S339-'Earnings Model'!S339</f>
        <v>0</v>
      </c>
      <c r="T339" s="169">
        <f>'Earnings Model (adjusted)'!T339-'Earnings Model'!T339</f>
        <v>0</v>
      </c>
      <c r="U339" s="169">
        <f>'Earnings Model (adjusted)'!U339-'Earnings Model'!U339</f>
        <v>0</v>
      </c>
      <c r="V339" s="169">
        <f>'Earnings Model (adjusted)'!V339-'Earnings Model'!V339</f>
        <v>0</v>
      </c>
      <c r="W339" s="169">
        <f>'Earnings Model (adjusted)'!W339-'Earnings Model'!W339</f>
        <v>0</v>
      </c>
      <c r="X339" s="169">
        <f>'Earnings Model (adjusted)'!X339-'Earnings Model'!X339</f>
        <v>0</v>
      </c>
      <c r="Y339" s="169">
        <f>'Earnings Model (adjusted)'!Y339-'Earnings Model'!Y339</f>
        <v>0</v>
      </c>
      <c r="Z339" s="169">
        <f>'Earnings Model (adjusted)'!Z339-'Earnings Model'!Z339</f>
        <v>0</v>
      </c>
      <c r="AA339" s="169">
        <f>'Earnings Model (adjusted)'!AA339-'Earnings Model'!AA339</f>
        <v>0</v>
      </c>
      <c r="AB339" s="169">
        <f>'Earnings Model (adjusted)'!AB339-'Earnings Model'!AB339</f>
        <v>0</v>
      </c>
      <c r="AC339" s="169">
        <f>'Earnings Model (adjusted)'!AC339-'Earnings Model'!AC339</f>
        <v>0</v>
      </c>
      <c r="AD339" s="169">
        <f>'Earnings Model (adjusted)'!AD339-'Earnings Model'!AD339</f>
        <v>0</v>
      </c>
      <c r="AE339" s="169">
        <f>'Earnings Model (adjusted)'!AE339-'Earnings Model'!AE339</f>
        <v>0</v>
      </c>
      <c r="AF339" s="169">
        <f>'Earnings Model (adjusted)'!AF339-'Earnings Model'!AF339</f>
        <v>0</v>
      </c>
      <c r="AG339" s="169">
        <f>'Earnings Model (adjusted)'!AG339-'Earnings Model'!AG339</f>
        <v>0</v>
      </c>
      <c r="AH339" s="169">
        <f>'Earnings Model (adjusted)'!AH339-'Earnings Model'!AH339</f>
        <v>0</v>
      </c>
      <c r="AI339" s="169">
        <f>'Earnings Model (adjusted)'!AI339-'Earnings Model'!AI339</f>
        <v>0</v>
      </c>
      <c r="AJ339" s="169">
        <f>'Earnings Model (adjusted)'!AJ339-'Earnings Model'!AJ339</f>
        <v>0</v>
      </c>
      <c r="AK339" s="169">
        <f>'Earnings Model (adjusted)'!AK339-'Earnings Model'!AK339</f>
        <v>0</v>
      </c>
      <c r="AL339" s="169">
        <f>'Earnings Model (adjusted)'!AL339-'Earnings Model'!AL339</f>
        <v>0</v>
      </c>
      <c r="AM339" s="169">
        <f>'Earnings Model (adjusted)'!AM339-'Earnings Model'!AM339</f>
        <v>0</v>
      </c>
      <c r="AN339" s="169">
        <f>'Earnings Model (adjusted)'!AN339-'Earnings Model'!AN339</f>
        <v>0</v>
      </c>
      <c r="AO339" s="169">
        <f>'Earnings Model (adjusted)'!AO339-'Earnings Model'!AO339</f>
        <v>0</v>
      </c>
      <c r="AP339" s="169">
        <f>'Earnings Model (adjusted)'!AP339-'Earnings Model'!AP339</f>
        <v>0</v>
      </c>
      <c r="AQ339" s="169">
        <f>'Earnings Model (adjusted)'!AQ339-'Earnings Model'!AQ339</f>
        <v>0</v>
      </c>
    </row>
    <row r="340" spans="4:43" x14ac:dyDescent="0.25">
      <c r="Q340" s="169">
        <f>'Earnings Model (adjusted)'!Q340-'Earnings Model'!Q340</f>
        <v>0</v>
      </c>
      <c r="R340" s="169">
        <f>'Earnings Model (adjusted)'!R340-'Earnings Model'!R340</f>
        <v>0</v>
      </c>
      <c r="S340" s="169">
        <f>'Earnings Model (adjusted)'!S340-'Earnings Model'!S340</f>
        <v>0</v>
      </c>
      <c r="T340" s="169">
        <f>'Earnings Model (adjusted)'!T340-'Earnings Model'!T340</f>
        <v>0</v>
      </c>
      <c r="U340" s="169">
        <f>'Earnings Model (adjusted)'!U340-'Earnings Model'!U340</f>
        <v>0</v>
      </c>
      <c r="V340" s="169">
        <f>'Earnings Model (adjusted)'!V340-'Earnings Model'!V340</f>
        <v>0</v>
      </c>
      <c r="W340" s="169">
        <f>'Earnings Model (adjusted)'!W340-'Earnings Model'!W340</f>
        <v>0</v>
      </c>
      <c r="X340" s="169">
        <f>'Earnings Model (adjusted)'!X340-'Earnings Model'!X340</f>
        <v>0</v>
      </c>
      <c r="Y340" s="169">
        <f>'Earnings Model (adjusted)'!Y340-'Earnings Model'!Y340</f>
        <v>0</v>
      </c>
      <c r="Z340" s="169">
        <f>'Earnings Model (adjusted)'!Z340-'Earnings Model'!Z340</f>
        <v>0</v>
      </c>
      <c r="AA340" s="169">
        <f>'Earnings Model (adjusted)'!AA340-'Earnings Model'!AA340</f>
        <v>0</v>
      </c>
      <c r="AB340" s="169">
        <f>'Earnings Model (adjusted)'!AB340-'Earnings Model'!AB340</f>
        <v>0</v>
      </c>
      <c r="AC340" s="169">
        <f>'Earnings Model (adjusted)'!AC340-'Earnings Model'!AC340</f>
        <v>0</v>
      </c>
      <c r="AD340" s="169">
        <f>'Earnings Model (adjusted)'!AD340-'Earnings Model'!AD340</f>
        <v>0</v>
      </c>
      <c r="AE340" s="169">
        <f>'Earnings Model (adjusted)'!AE340-'Earnings Model'!AE340</f>
        <v>0</v>
      </c>
      <c r="AF340" s="169">
        <f>'Earnings Model (adjusted)'!AF340-'Earnings Model'!AF340</f>
        <v>0</v>
      </c>
      <c r="AG340" s="169">
        <f>'Earnings Model (adjusted)'!AG340-'Earnings Model'!AG340</f>
        <v>0</v>
      </c>
      <c r="AH340" s="169">
        <f>'Earnings Model (adjusted)'!AH340-'Earnings Model'!AH340</f>
        <v>0</v>
      </c>
      <c r="AI340" s="169">
        <f>'Earnings Model (adjusted)'!AI340-'Earnings Model'!AI340</f>
        <v>0</v>
      </c>
      <c r="AJ340" s="169">
        <f>'Earnings Model (adjusted)'!AJ340-'Earnings Model'!AJ340</f>
        <v>0</v>
      </c>
      <c r="AK340" s="169">
        <f>'Earnings Model (adjusted)'!AK340-'Earnings Model'!AK340</f>
        <v>0</v>
      </c>
      <c r="AL340" s="169">
        <f>'Earnings Model (adjusted)'!AL340-'Earnings Model'!AL340</f>
        <v>0</v>
      </c>
      <c r="AM340" s="169">
        <f>'Earnings Model (adjusted)'!AM340-'Earnings Model'!AM340</f>
        <v>0</v>
      </c>
      <c r="AN340" s="169">
        <f>'Earnings Model (adjusted)'!AN340-'Earnings Model'!AN340</f>
        <v>0</v>
      </c>
      <c r="AO340" s="169">
        <f>'Earnings Model (adjusted)'!AO340-'Earnings Model'!AO340</f>
        <v>0</v>
      </c>
      <c r="AP340" s="169">
        <f>'Earnings Model (adjusted)'!AP340-'Earnings Model'!AP340</f>
        <v>0</v>
      </c>
      <c r="AQ340" s="169">
        <f>'Earnings Model (adjusted)'!AQ340-'Earnings Model'!AQ340</f>
        <v>0</v>
      </c>
    </row>
    <row r="341" spans="4:43" x14ac:dyDescent="0.25">
      <c r="Q341" s="169">
        <f>'Earnings Model (adjusted)'!Q341-'Earnings Model'!Q341</f>
        <v>0</v>
      </c>
      <c r="R341" s="169">
        <f>'Earnings Model (adjusted)'!R341-'Earnings Model'!R341</f>
        <v>0</v>
      </c>
      <c r="S341" s="169">
        <f>'Earnings Model (adjusted)'!S341-'Earnings Model'!S341</f>
        <v>0</v>
      </c>
      <c r="T341" s="169">
        <f>'Earnings Model (adjusted)'!T341-'Earnings Model'!T341</f>
        <v>0</v>
      </c>
      <c r="U341" s="169">
        <f>'Earnings Model (adjusted)'!U341-'Earnings Model'!U341</f>
        <v>0</v>
      </c>
      <c r="V341" s="169">
        <f>'Earnings Model (adjusted)'!V341-'Earnings Model'!V341</f>
        <v>0</v>
      </c>
      <c r="W341" s="169">
        <f>'Earnings Model (adjusted)'!W341-'Earnings Model'!W341</f>
        <v>0</v>
      </c>
      <c r="X341" s="169">
        <f>'Earnings Model (adjusted)'!X341-'Earnings Model'!X341</f>
        <v>0</v>
      </c>
      <c r="Y341" s="169">
        <f>'Earnings Model (adjusted)'!Y341-'Earnings Model'!Y341</f>
        <v>0</v>
      </c>
      <c r="Z341" s="169">
        <f>'Earnings Model (adjusted)'!Z341-'Earnings Model'!Z341</f>
        <v>0</v>
      </c>
      <c r="AA341" s="169">
        <f>'Earnings Model (adjusted)'!AA341-'Earnings Model'!AA341</f>
        <v>0</v>
      </c>
      <c r="AB341" s="169">
        <f>'Earnings Model (adjusted)'!AB341-'Earnings Model'!AB341</f>
        <v>0</v>
      </c>
      <c r="AC341" s="169">
        <f>'Earnings Model (adjusted)'!AC341-'Earnings Model'!AC341</f>
        <v>0</v>
      </c>
      <c r="AD341" s="169">
        <f>'Earnings Model (adjusted)'!AD341-'Earnings Model'!AD341</f>
        <v>0</v>
      </c>
      <c r="AE341" s="169">
        <f>'Earnings Model (adjusted)'!AE341-'Earnings Model'!AE341</f>
        <v>0</v>
      </c>
      <c r="AF341" s="169">
        <f>'Earnings Model (adjusted)'!AF341-'Earnings Model'!AF341</f>
        <v>0</v>
      </c>
      <c r="AG341" s="169">
        <f>'Earnings Model (adjusted)'!AG341-'Earnings Model'!AG341</f>
        <v>0</v>
      </c>
      <c r="AH341" s="169">
        <f>'Earnings Model (adjusted)'!AH341-'Earnings Model'!AH341</f>
        <v>0</v>
      </c>
      <c r="AI341" s="169">
        <f>'Earnings Model (adjusted)'!AI341-'Earnings Model'!AI341</f>
        <v>0</v>
      </c>
      <c r="AJ341" s="169">
        <f>'Earnings Model (adjusted)'!AJ341-'Earnings Model'!AJ341</f>
        <v>0</v>
      </c>
      <c r="AK341" s="169">
        <f>'Earnings Model (adjusted)'!AK341-'Earnings Model'!AK341</f>
        <v>0</v>
      </c>
      <c r="AL341" s="169">
        <f>'Earnings Model (adjusted)'!AL341-'Earnings Model'!AL341</f>
        <v>0</v>
      </c>
      <c r="AM341" s="169">
        <f>'Earnings Model (adjusted)'!AM341-'Earnings Model'!AM341</f>
        <v>0</v>
      </c>
      <c r="AN341" s="169">
        <f>'Earnings Model (adjusted)'!AN341-'Earnings Model'!AN341</f>
        <v>0</v>
      </c>
      <c r="AO341" s="169">
        <f>'Earnings Model (adjusted)'!AO341-'Earnings Model'!AO341</f>
        <v>0</v>
      </c>
      <c r="AP341" s="169">
        <f>'Earnings Model (adjusted)'!AP341-'Earnings Model'!AP341</f>
        <v>0</v>
      </c>
      <c r="AQ341" s="169">
        <f>'Earnings Model (adjusted)'!AQ341-'Earnings Model'!AQ341</f>
        <v>0</v>
      </c>
    </row>
    <row r="342" spans="4:43" x14ac:dyDescent="0.25">
      <c r="Q342" s="169">
        <f>'Earnings Model (adjusted)'!Q342-'Earnings Model'!Q342</f>
        <v>0</v>
      </c>
      <c r="R342" s="169">
        <f>'Earnings Model (adjusted)'!R342-'Earnings Model'!R342</f>
        <v>0</v>
      </c>
      <c r="S342" s="169">
        <f>'Earnings Model (adjusted)'!S342-'Earnings Model'!S342</f>
        <v>0</v>
      </c>
      <c r="T342" s="169">
        <f>'Earnings Model (adjusted)'!T342-'Earnings Model'!T342</f>
        <v>0</v>
      </c>
      <c r="U342" s="169">
        <f>'Earnings Model (adjusted)'!U342-'Earnings Model'!U342</f>
        <v>0</v>
      </c>
      <c r="V342" s="169">
        <f>'Earnings Model (adjusted)'!V342-'Earnings Model'!V342</f>
        <v>0</v>
      </c>
      <c r="W342" s="169">
        <f>'Earnings Model (adjusted)'!W342-'Earnings Model'!W342</f>
        <v>0</v>
      </c>
      <c r="X342" s="169">
        <f>'Earnings Model (adjusted)'!X342-'Earnings Model'!X342</f>
        <v>0</v>
      </c>
      <c r="Y342" s="169">
        <f>'Earnings Model (adjusted)'!Y342-'Earnings Model'!Y342</f>
        <v>0</v>
      </c>
      <c r="Z342" s="169">
        <f>'Earnings Model (adjusted)'!Z342-'Earnings Model'!Z342</f>
        <v>0</v>
      </c>
      <c r="AA342" s="169">
        <f>'Earnings Model (adjusted)'!AA342-'Earnings Model'!AA342</f>
        <v>0</v>
      </c>
      <c r="AB342" s="169">
        <f>'Earnings Model (adjusted)'!AB342-'Earnings Model'!AB342</f>
        <v>0</v>
      </c>
      <c r="AC342" s="169">
        <f>'Earnings Model (adjusted)'!AC342-'Earnings Model'!AC342</f>
        <v>0</v>
      </c>
      <c r="AD342" s="169">
        <f>'Earnings Model (adjusted)'!AD342-'Earnings Model'!AD342</f>
        <v>0</v>
      </c>
      <c r="AE342" s="169">
        <f>'Earnings Model (adjusted)'!AE342-'Earnings Model'!AE342</f>
        <v>0</v>
      </c>
      <c r="AF342" s="169">
        <f>'Earnings Model (adjusted)'!AF342-'Earnings Model'!AF342</f>
        <v>0</v>
      </c>
      <c r="AG342" s="169">
        <f>'Earnings Model (adjusted)'!AG342-'Earnings Model'!AG342</f>
        <v>0</v>
      </c>
      <c r="AH342" s="169">
        <f>'Earnings Model (adjusted)'!AH342-'Earnings Model'!AH342</f>
        <v>0</v>
      </c>
      <c r="AI342" s="169">
        <f>'Earnings Model (adjusted)'!AI342-'Earnings Model'!AI342</f>
        <v>0</v>
      </c>
      <c r="AJ342" s="169">
        <f>'Earnings Model (adjusted)'!AJ342-'Earnings Model'!AJ342</f>
        <v>0</v>
      </c>
      <c r="AK342" s="169">
        <f>'Earnings Model (adjusted)'!AK342-'Earnings Model'!AK342</f>
        <v>0</v>
      </c>
      <c r="AL342" s="169">
        <f>'Earnings Model (adjusted)'!AL342-'Earnings Model'!AL342</f>
        <v>0</v>
      </c>
      <c r="AM342" s="169">
        <f>'Earnings Model (adjusted)'!AM342-'Earnings Model'!AM342</f>
        <v>0</v>
      </c>
      <c r="AN342" s="169">
        <f>'Earnings Model (adjusted)'!AN342-'Earnings Model'!AN342</f>
        <v>0</v>
      </c>
      <c r="AO342" s="169">
        <f>'Earnings Model (adjusted)'!AO342-'Earnings Model'!AO342</f>
        <v>0</v>
      </c>
      <c r="AP342" s="169">
        <f>'Earnings Model (adjusted)'!AP342-'Earnings Model'!AP342</f>
        <v>0</v>
      </c>
      <c r="AQ342" s="169">
        <f>'Earnings Model (adjusted)'!AQ342-'Earnings Model'!AQ342</f>
        <v>0</v>
      </c>
    </row>
    <row r="343" spans="4:43" x14ac:dyDescent="0.25">
      <c r="Q343" s="169">
        <f>'Earnings Model (adjusted)'!Q343-'Earnings Model'!Q343</f>
        <v>0</v>
      </c>
      <c r="R343" s="169">
        <f>'Earnings Model (adjusted)'!R343-'Earnings Model'!R343</f>
        <v>0</v>
      </c>
      <c r="S343" s="169">
        <f>'Earnings Model (adjusted)'!S343-'Earnings Model'!S343</f>
        <v>0</v>
      </c>
      <c r="T343" s="169">
        <f>'Earnings Model (adjusted)'!T343-'Earnings Model'!T343</f>
        <v>0</v>
      </c>
      <c r="U343" s="169">
        <f>'Earnings Model (adjusted)'!U343-'Earnings Model'!U343</f>
        <v>0</v>
      </c>
      <c r="V343" s="169">
        <f>'Earnings Model (adjusted)'!V343-'Earnings Model'!V343</f>
        <v>0</v>
      </c>
      <c r="W343" s="169">
        <f>'Earnings Model (adjusted)'!W343-'Earnings Model'!W343</f>
        <v>0</v>
      </c>
      <c r="X343" s="169">
        <f>'Earnings Model (adjusted)'!X343-'Earnings Model'!X343</f>
        <v>0</v>
      </c>
      <c r="Y343" s="169">
        <f>'Earnings Model (adjusted)'!Y343-'Earnings Model'!Y343</f>
        <v>0</v>
      </c>
      <c r="Z343" s="169">
        <f>'Earnings Model (adjusted)'!Z343-'Earnings Model'!Z343</f>
        <v>0</v>
      </c>
      <c r="AA343" s="169">
        <f>'Earnings Model (adjusted)'!AA343-'Earnings Model'!AA343</f>
        <v>0</v>
      </c>
      <c r="AB343" s="169">
        <f>'Earnings Model (adjusted)'!AB343-'Earnings Model'!AB343</f>
        <v>0</v>
      </c>
      <c r="AC343" s="169">
        <f>'Earnings Model (adjusted)'!AC343-'Earnings Model'!AC343</f>
        <v>0</v>
      </c>
      <c r="AD343" s="169">
        <f>'Earnings Model (adjusted)'!AD343-'Earnings Model'!AD343</f>
        <v>0</v>
      </c>
      <c r="AE343" s="169">
        <f>'Earnings Model (adjusted)'!AE343-'Earnings Model'!AE343</f>
        <v>0</v>
      </c>
      <c r="AF343" s="169">
        <f>'Earnings Model (adjusted)'!AF343-'Earnings Model'!AF343</f>
        <v>0</v>
      </c>
      <c r="AG343" s="169">
        <f>'Earnings Model (adjusted)'!AG343-'Earnings Model'!AG343</f>
        <v>0</v>
      </c>
      <c r="AH343" s="169">
        <f>'Earnings Model (adjusted)'!AH343-'Earnings Model'!AH343</f>
        <v>0</v>
      </c>
      <c r="AI343" s="169">
        <f>'Earnings Model (adjusted)'!AI343-'Earnings Model'!AI343</f>
        <v>0</v>
      </c>
      <c r="AJ343" s="169">
        <f>'Earnings Model (adjusted)'!AJ343-'Earnings Model'!AJ343</f>
        <v>0</v>
      </c>
      <c r="AK343" s="169">
        <f>'Earnings Model (adjusted)'!AK343-'Earnings Model'!AK343</f>
        <v>0</v>
      </c>
      <c r="AL343" s="169">
        <f>'Earnings Model (adjusted)'!AL343-'Earnings Model'!AL343</f>
        <v>0</v>
      </c>
      <c r="AM343" s="169">
        <f>'Earnings Model (adjusted)'!AM343-'Earnings Model'!AM343</f>
        <v>0</v>
      </c>
      <c r="AN343" s="169">
        <f>'Earnings Model (adjusted)'!AN343-'Earnings Model'!AN343</f>
        <v>0</v>
      </c>
      <c r="AO343" s="169">
        <f>'Earnings Model (adjusted)'!AO343-'Earnings Model'!AO343</f>
        <v>0</v>
      </c>
      <c r="AP343" s="169">
        <f>'Earnings Model (adjusted)'!AP343-'Earnings Model'!AP343</f>
        <v>0</v>
      </c>
      <c r="AQ343" s="169">
        <f>'Earnings Model (adjusted)'!AQ343-'Earnings Model'!AQ343</f>
        <v>0</v>
      </c>
    </row>
    <row r="344" spans="4:43" x14ac:dyDescent="0.25">
      <c r="Q344" s="169">
        <f>'Earnings Model (adjusted)'!Q344-'Earnings Model'!Q344</f>
        <v>0</v>
      </c>
      <c r="R344" s="169">
        <f>'Earnings Model (adjusted)'!R344-'Earnings Model'!R344</f>
        <v>0</v>
      </c>
      <c r="S344" s="169">
        <f>'Earnings Model (adjusted)'!S344-'Earnings Model'!S344</f>
        <v>0</v>
      </c>
      <c r="T344" s="169">
        <f>'Earnings Model (adjusted)'!T344-'Earnings Model'!T344</f>
        <v>0</v>
      </c>
      <c r="U344" s="169">
        <f>'Earnings Model (adjusted)'!U344-'Earnings Model'!U344</f>
        <v>0</v>
      </c>
      <c r="V344" s="169">
        <f>'Earnings Model (adjusted)'!V344-'Earnings Model'!V344</f>
        <v>0</v>
      </c>
      <c r="W344" s="169">
        <f>'Earnings Model (adjusted)'!W344-'Earnings Model'!W344</f>
        <v>0</v>
      </c>
      <c r="X344" s="169">
        <f>'Earnings Model (adjusted)'!X344-'Earnings Model'!X344</f>
        <v>0</v>
      </c>
      <c r="Y344" s="169">
        <f>'Earnings Model (adjusted)'!Y344-'Earnings Model'!Y344</f>
        <v>0</v>
      </c>
      <c r="Z344" s="169">
        <f>'Earnings Model (adjusted)'!Z344-'Earnings Model'!Z344</f>
        <v>0</v>
      </c>
      <c r="AA344" s="169">
        <f>'Earnings Model (adjusted)'!AA344-'Earnings Model'!AA344</f>
        <v>0</v>
      </c>
      <c r="AB344" s="169">
        <f>'Earnings Model (adjusted)'!AB344-'Earnings Model'!AB344</f>
        <v>0</v>
      </c>
      <c r="AC344" s="169">
        <f>'Earnings Model (adjusted)'!AC344-'Earnings Model'!AC344</f>
        <v>0</v>
      </c>
      <c r="AD344" s="169">
        <f>'Earnings Model (adjusted)'!AD344-'Earnings Model'!AD344</f>
        <v>0</v>
      </c>
      <c r="AE344" s="169">
        <f>'Earnings Model (adjusted)'!AE344-'Earnings Model'!AE344</f>
        <v>0</v>
      </c>
      <c r="AF344" s="169">
        <f>'Earnings Model (adjusted)'!AF344-'Earnings Model'!AF344</f>
        <v>0</v>
      </c>
      <c r="AG344" s="169">
        <f>'Earnings Model (adjusted)'!AG344-'Earnings Model'!AG344</f>
        <v>0</v>
      </c>
      <c r="AH344" s="169">
        <f>'Earnings Model (adjusted)'!AH344-'Earnings Model'!AH344</f>
        <v>0</v>
      </c>
      <c r="AI344" s="169">
        <f>'Earnings Model (adjusted)'!AI344-'Earnings Model'!AI344</f>
        <v>0</v>
      </c>
      <c r="AJ344" s="169">
        <f>'Earnings Model (adjusted)'!AJ344-'Earnings Model'!AJ344</f>
        <v>0</v>
      </c>
      <c r="AK344" s="169">
        <f>'Earnings Model (adjusted)'!AK344-'Earnings Model'!AK344</f>
        <v>0</v>
      </c>
      <c r="AL344" s="169">
        <f>'Earnings Model (adjusted)'!AL344-'Earnings Model'!AL344</f>
        <v>0</v>
      </c>
      <c r="AM344" s="169">
        <f>'Earnings Model (adjusted)'!AM344-'Earnings Model'!AM344</f>
        <v>0</v>
      </c>
      <c r="AN344" s="169">
        <f>'Earnings Model (adjusted)'!AN344-'Earnings Model'!AN344</f>
        <v>0</v>
      </c>
      <c r="AO344" s="169">
        <f>'Earnings Model (adjusted)'!AO344-'Earnings Model'!AO344</f>
        <v>0</v>
      </c>
      <c r="AP344" s="169">
        <f>'Earnings Model (adjusted)'!AP344-'Earnings Model'!AP344</f>
        <v>0</v>
      </c>
      <c r="AQ344" s="169">
        <f>'Earnings Model (adjusted)'!AQ344-'Earnings Model'!AQ344</f>
        <v>0</v>
      </c>
    </row>
    <row r="345" spans="4:43" x14ac:dyDescent="0.25">
      <c r="Q345" s="169">
        <f>'Earnings Model (adjusted)'!Q345-'Earnings Model'!Q345</f>
        <v>0</v>
      </c>
      <c r="R345" s="169">
        <f>'Earnings Model'!R345-'Earnings Model (adjusted)'!R345</f>
        <v>0</v>
      </c>
      <c r="S345" s="169">
        <f>'Earnings Model'!S345-'Earnings Model (adjusted)'!S345</f>
        <v>0</v>
      </c>
      <c r="T345" s="169">
        <f>'Earnings Model'!T345-'Earnings Model (adjusted)'!T345</f>
        <v>0</v>
      </c>
      <c r="U345" s="169">
        <f>'Earnings Model'!U345-'Earnings Model (adjusted)'!U345</f>
        <v>0</v>
      </c>
      <c r="V345" s="169">
        <f>'Earnings Model'!V345-'Earnings Model (adjusted)'!V345</f>
        <v>0</v>
      </c>
      <c r="W345" s="169">
        <f>'Earnings Model'!W345-'Earnings Model (adjusted)'!W345</f>
        <v>0</v>
      </c>
      <c r="X345" s="169">
        <f>'Earnings Model'!X345-'Earnings Model (adjusted)'!X345</f>
        <v>0</v>
      </c>
      <c r="Y345" s="169">
        <f>'Earnings Model'!Y345-'Earnings Model (adjusted)'!Y345</f>
        <v>0</v>
      </c>
      <c r="Z345" s="169">
        <f>'Earnings Model'!Z345-'Earnings Model (adjusted)'!Z345</f>
        <v>0</v>
      </c>
      <c r="AA345" s="169">
        <f>'Earnings Model'!AA345-'Earnings Model (adjusted)'!AA345</f>
        <v>0</v>
      </c>
      <c r="AB345" s="169">
        <f>'Earnings Model'!AB345-'Earnings Model (adjusted)'!AB345</f>
        <v>0</v>
      </c>
      <c r="AC345" s="169">
        <f>'Earnings Model'!AC345-'Earnings Model (adjusted)'!AC345</f>
        <v>0</v>
      </c>
      <c r="AD345" s="169">
        <f>'Earnings Model'!AD345-'Earnings Model (adjusted)'!AD345</f>
        <v>0</v>
      </c>
      <c r="AE345" s="169">
        <f>'Earnings Model'!AE345-'Earnings Model (adjusted)'!AE345</f>
        <v>0</v>
      </c>
      <c r="AF345" s="169">
        <f>'Earnings Model'!AF345-'Earnings Model (adjusted)'!AF345</f>
        <v>0</v>
      </c>
      <c r="AG345" s="169">
        <f>'Earnings Model'!AG345-'Earnings Model (adjusted)'!AG345</f>
        <v>0</v>
      </c>
      <c r="AH345" s="169">
        <f>'Earnings Model'!AH345-'Earnings Model (adjusted)'!AH345</f>
        <v>0</v>
      </c>
      <c r="AI345" s="169">
        <f>'Earnings Model'!AI345-'Earnings Model (adjusted)'!AI345</f>
        <v>0</v>
      </c>
      <c r="AJ345" s="169">
        <f>'Earnings Model'!AJ345-'Earnings Model (adjusted)'!AJ345</f>
        <v>0</v>
      </c>
      <c r="AK345" s="169">
        <f>'Earnings Model'!AK345-'Earnings Model (adjusted)'!AK345</f>
        <v>0</v>
      </c>
      <c r="AL345" s="169">
        <f>'Earnings Model'!AL345-'Earnings Model (adjusted)'!AL345</f>
        <v>0</v>
      </c>
      <c r="AM345" s="169">
        <f>'Earnings Model'!AM345-'Earnings Model (adjusted)'!AM345</f>
        <v>0</v>
      </c>
      <c r="AN345" s="169">
        <f>'Earnings Model'!AN345-'Earnings Model (adjusted)'!AN345</f>
        <v>0</v>
      </c>
      <c r="AO345" s="169">
        <f>'Earnings Model'!AO345-'Earnings Model (adjusted)'!AO345</f>
        <v>0</v>
      </c>
      <c r="AP345" s="169">
        <f>'Earnings Model'!AP345-'Earnings Model (adjusted)'!AP345</f>
        <v>0</v>
      </c>
      <c r="AQ345" s="169">
        <f>'Earnings Model'!AQ345-'Earnings Model (adjusted)'!AQ345</f>
        <v>0</v>
      </c>
    </row>
    <row r="346" spans="4:43" x14ac:dyDescent="0.25">
      <c r="Q346" s="169">
        <f>'Earnings Model (adjusted)'!Q346-'Earnings Model'!Q346</f>
        <v>0</v>
      </c>
      <c r="R346" s="169">
        <f>'Earnings Model'!R346-'Earnings Model (adjusted)'!R346</f>
        <v>0</v>
      </c>
      <c r="S346" s="169">
        <f>'Earnings Model'!S346-'Earnings Model (adjusted)'!S346</f>
        <v>0</v>
      </c>
      <c r="T346" s="169">
        <f>'Earnings Model'!T346-'Earnings Model (adjusted)'!T346</f>
        <v>0</v>
      </c>
      <c r="U346" s="169">
        <f>'Earnings Model'!U346-'Earnings Model (adjusted)'!U346</f>
        <v>0</v>
      </c>
      <c r="V346" s="169">
        <f>'Earnings Model'!V346-'Earnings Model (adjusted)'!V346</f>
        <v>0</v>
      </c>
      <c r="W346" s="169">
        <f>'Earnings Model'!W346-'Earnings Model (adjusted)'!W346</f>
        <v>0</v>
      </c>
      <c r="X346" s="169">
        <f>'Earnings Model'!X346-'Earnings Model (adjusted)'!X346</f>
        <v>0</v>
      </c>
      <c r="Y346" s="169">
        <f>'Earnings Model'!Y346-'Earnings Model (adjusted)'!Y346</f>
        <v>0</v>
      </c>
      <c r="Z346" s="169">
        <f>'Earnings Model'!Z346-'Earnings Model (adjusted)'!Z346</f>
        <v>0</v>
      </c>
      <c r="AA346" s="169">
        <f>'Earnings Model'!AA346-'Earnings Model (adjusted)'!AA346</f>
        <v>0</v>
      </c>
      <c r="AB346" s="169">
        <f>'Earnings Model'!AB346-'Earnings Model (adjusted)'!AB346</f>
        <v>0</v>
      </c>
      <c r="AC346" s="169">
        <f>'Earnings Model'!AC346-'Earnings Model (adjusted)'!AC346</f>
        <v>0</v>
      </c>
      <c r="AD346" s="169">
        <f>'Earnings Model'!AD346-'Earnings Model (adjusted)'!AD346</f>
        <v>0</v>
      </c>
      <c r="AE346" s="169">
        <f>'Earnings Model'!AE346-'Earnings Model (adjusted)'!AE346</f>
        <v>0</v>
      </c>
      <c r="AF346" s="169">
        <f>'Earnings Model'!AF346-'Earnings Model (adjusted)'!AF346</f>
        <v>0</v>
      </c>
      <c r="AG346" s="169">
        <f>'Earnings Model'!AG346-'Earnings Model (adjusted)'!AG346</f>
        <v>0</v>
      </c>
      <c r="AH346" s="169">
        <f>'Earnings Model'!AH346-'Earnings Model (adjusted)'!AH346</f>
        <v>0</v>
      </c>
      <c r="AI346" s="169">
        <f>'Earnings Model'!AI346-'Earnings Model (adjusted)'!AI346</f>
        <v>0</v>
      </c>
      <c r="AJ346" s="169">
        <f>'Earnings Model'!AJ346-'Earnings Model (adjusted)'!AJ346</f>
        <v>0</v>
      </c>
      <c r="AK346" s="169">
        <f>'Earnings Model'!AK346-'Earnings Model (adjusted)'!AK346</f>
        <v>0</v>
      </c>
      <c r="AL346" s="169">
        <f>'Earnings Model'!AL346-'Earnings Model (adjusted)'!AL346</f>
        <v>0</v>
      </c>
      <c r="AM346" s="169">
        <f>'Earnings Model'!AM346-'Earnings Model (adjusted)'!AM346</f>
        <v>0</v>
      </c>
      <c r="AN346" s="169">
        <f>'Earnings Model'!AN346-'Earnings Model (adjusted)'!AN346</f>
        <v>0</v>
      </c>
      <c r="AO346" s="169">
        <f>'Earnings Model'!AO346-'Earnings Model (adjusted)'!AO346</f>
        <v>0</v>
      </c>
      <c r="AP346" s="169">
        <f>'Earnings Model'!AP346-'Earnings Model (adjusted)'!AP346</f>
        <v>0</v>
      </c>
      <c r="AQ346" s="169">
        <f>'Earnings Model'!AQ346-'Earnings Model (adjusted)'!AQ346</f>
        <v>0</v>
      </c>
    </row>
    <row r="347" spans="4:43" x14ac:dyDescent="0.25">
      <c r="Q347" s="169">
        <f>'Earnings Model (adjusted)'!Q347-'Earnings Model'!Q347</f>
        <v>0</v>
      </c>
      <c r="R347" s="169">
        <f>'Earnings Model'!R347-'Earnings Model (adjusted)'!R347</f>
        <v>0</v>
      </c>
      <c r="S347" s="169">
        <f>'Earnings Model'!S347-'Earnings Model (adjusted)'!S347</f>
        <v>0</v>
      </c>
      <c r="T347" s="169">
        <f>'Earnings Model'!T347-'Earnings Model (adjusted)'!T347</f>
        <v>0</v>
      </c>
      <c r="U347" s="169">
        <f>'Earnings Model'!U347-'Earnings Model (adjusted)'!U347</f>
        <v>0</v>
      </c>
      <c r="V347" s="169">
        <f>'Earnings Model'!V347-'Earnings Model (adjusted)'!V347</f>
        <v>0</v>
      </c>
      <c r="W347" s="169">
        <f>'Earnings Model'!W347-'Earnings Model (adjusted)'!W347</f>
        <v>0</v>
      </c>
      <c r="X347" s="169">
        <f>'Earnings Model'!X347-'Earnings Model (adjusted)'!X347</f>
        <v>0</v>
      </c>
      <c r="Y347" s="169">
        <f>'Earnings Model'!Y347-'Earnings Model (adjusted)'!Y347</f>
        <v>0</v>
      </c>
      <c r="Z347" s="169">
        <f>'Earnings Model'!Z347-'Earnings Model (adjusted)'!Z347</f>
        <v>0</v>
      </c>
      <c r="AA347" s="169">
        <f>'Earnings Model'!AA347-'Earnings Model (adjusted)'!AA347</f>
        <v>0</v>
      </c>
      <c r="AB347" s="169">
        <f>'Earnings Model'!AB347-'Earnings Model (adjusted)'!AB347</f>
        <v>0</v>
      </c>
      <c r="AC347" s="169">
        <f>'Earnings Model'!AC347-'Earnings Model (adjusted)'!AC347</f>
        <v>0</v>
      </c>
      <c r="AD347" s="169">
        <f>'Earnings Model'!AD347-'Earnings Model (adjusted)'!AD347</f>
        <v>0</v>
      </c>
      <c r="AE347" s="169">
        <f>'Earnings Model'!AE347-'Earnings Model (adjusted)'!AE347</f>
        <v>0</v>
      </c>
      <c r="AF347" s="169">
        <f>'Earnings Model'!AF347-'Earnings Model (adjusted)'!AF347</f>
        <v>0</v>
      </c>
      <c r="AG347" s="169">
        <f>'Earnings Model'!AG347-'Earnings Model (adjusted)'!AG347</f>
        <v>0</v>
      </c>
      <c r="AH347" s="169">
        <f>'Earnings Model'!AH347-'Earnings Model (adjusted)'!AH347</f>
        <v>0</v>
      </c>
      <c r="AI347" s="169">
        <f>'Earnings Model'!AI347-'Earnings Model (adjusted)'!AI347</f>
        <v>0</v>
      </c>
      <c r="AJ347" s="169">
        <f>'Earnings Model'!AJ347-'Earnings Model (adjusted)'!AJ347</f>
        <v>0</v>
      </c>
      <c r="AK347" s="169">
        <f>'Earnings Model'!AK347-'Earnings Model (adjusted)'!AK347</f>
        <v>0</v>
      </c>
      <c r="AL347" s="169">
        <f>'Earnings Model'!AL347-'Earnings Model (adjusted)'!AL347</f>
        <v>0</v>
      </c>
      <c r="AM347" s="169">
        <f>'Earnings Model'!AM347-'Earnings Model (adjusted)'!AM347</f>
        <v>0</v>
      </c>
      <c r="AN347" s="169">
        <f>'Earnings Model'!AN347-'Earnings Model (adjusted)'!AN347</f>
        <v>0</v>
      </c>
      <c r="AO347" s="169">
        <f>'Earnings Model'!AO347-'Earnings Model (adjusted)'!AO347</f>
        <v>0</v>
      </c>
      <c r="AP347" s="169">
        <f>'Earnings Model'!AP347-'Earnings Model (adjusted)'!AP347</f>
        <v>0</v>
      </c>
      <c r="AQ347" s="169">
        <f>'Earnings Model'!AQ347-'Earnings Model (adjusted)'!AQ347</f>
        <v>0</v>
      </c>
    </row>
    <row r="348" spans="4:43" x14ac:dyDescent="0.25">
      <c r="Q348" s="169">
        <f>'Earnings Model (adjusted)'!Q348-'Earnings Model'!Q348</f>
        <v>0</v>
      </c>
      <c r="R348" s="169">
        <f>'Earnings Model'!R348-'Earnings Model (adjusted)'!R348</f>
        <v>0</v>
      </c>
      <c r="S348" s="169">
        <f>'Earnings Model'!S348-'Earnings Model (adjusted)'!S348</f>
        <v>0</v>
      </c>
      <c r="T348" s="169">
        <f>'Earnings Model'!T348-'Earnings Model (adjusted)'!T348</f>
        <v>0</v>
      </c>
      <c r="U348" s="169">
        <f>'Earnings Model'!U348-'Earnings Model (adjusted)'!U348</f>
        <v>0</v>
      </c>
      <c r="V348" s="169">
        <f>'Earnings Model'!V348-'Earnings Model (adjusted)'!V348</f>
        <v>0</v>
      </c>
      <c r="W348" s="169">
        <f>'Earnings Model'!W348-'Earnings Model (adjusted)'!W348</f>
        <v>0</v>
      </c>
      <c r="X348" s="169">
        <f>'Earnings Model'!X348-'Earnings Model (adjusted)'!X348</f>
        <v>0</v>
      </c>
      <c r="Y348" s="169">
        <f>'Earnings Model'!Y348-'Earnings Model (adjusted)'!Y348</f>
        <v>0</v>
      </c>
      <c r="Z348" s="169">
        <f>'Earnings Model'!Z348-'Earnings Model (adjusted)'!Z348</f>
        <v>0</v>
      </c>
      <c r="AA348" s="169">
        <f>'Earnings Model'!AA348-'Earnings Model (adjusted)'!AA348</f>
        <v>0</v>
      </c>
      <c r="AB348" s="169">
        <f>'Earnings Model'!AB348-'Earnings Model (adjusted)'!AB348</f>
        <v>0</v>
      </c>
      <c r="AC348" s="169">
        <f>'Earnings Model'!AC348-'Earnings Model (adjusted)'!AC348</f>
        <v>0</v>
      </c>
      <c r="AD348" s="169">
        <f>'Earnings Model'!AD348-'Earnings Model (adjusted)'!AD348</f>
        <v>0</v>
      </c>
      <c r="AE348" s="169">
        <f>'Earnings Model'!AE348-'Earnings Model (adjusted)'!AE348</f>
        <v>0</v>
      </c>
      <c r="AF348" s="169">
        <f>'Earnings Model'!AF348-'Earnings Model (adjusted)'!AF348</f>
        <v>0</v>
      </c>
      <c r="AG348" s="169">
        <f>'Earnings Model'!AG348-'Earnings Model (adjusted)'!AG348</f>
        <v>0</v>
      </c>
      <c r="AH348" s="169">
        <f>'Earnings Model'!AH348-'Earnings Model (adjusted)'!AH348</f>
        <v>0</v>
      </c>
      <c r="AI348" s="169">
        <f>'Earnings Model'!AI348-'Earnings Model (adjusted)'!AI348</f>
        <v>0</v>
      </c>
      <c r="AJ348" s="169">
        <f>'Earnings Model'!AJ348-'Earnings Model (adjusted)'!AJ348</f>
        <v>0</v>
      </c>
      <c r="AK348" s="169">
        <f>'Earnings Model'!AK348-'Earnings Model (adjusted)'!AK348</f>
        <v>0</v>
      </c>
      <c r="AL348" s="169">
        <f>'Earnings Model'!AL348-'Earnings Model (adjusted)'!AL348</f>
        <v>0</v>
      </c>
      <c r="AM348" s="169">
        <f>'Earnings Model'!AM348-'Earnings Model (adjusted)'!AM348</f>
        <v>0</v>
      </c>
      <c r="AN348" s="169">
        <f>'Earnings Model'!AN348-'Earnings Model (adjusted)'!AN348</f>
        <v>0</v>
      </c>
      <c r="AO348" s="169">
        <f>'Earnings Model'!AO348-'Earnings Model (adjusted)'!AO348</f>
        <v>0</v>
      </c>
      <c r="AP348" s="169">
        <f>'Earnings Model'!AP348-'Earnings Model (adjusted)'!AP348</f>
        <v>0</v>
      </c>
      <c r="AQ348" s="169">
        <f>'Earnings Model'!AQ348-'Earnings Model (adjusted)'!AQ348</f>
        <v>0</v>
      </c>
    </row>
    <row r="349" spans="4:43" x14ac:dyDescent="0.25">
      <c r="Q349" s="169">
        <f>'Earnings Model (adjusted)'!Q349-'Earnings Model'!Q349</f>
        <v>0</v>
      </c>
      <c r="R349" s="169">
        <f>'Earnings Model'!R349-'Earnings Model (adjusted)'!R349</f>
        <v>0</v>
      </c>
      <c r="S349" s="169">
        <f>'Earnings Model'!S349-'Earnings Model (adjusted)'!S349</f>
        <v>0</v>
      </c>
      <c r="T349" s="169">
        <f>'Earnings Model'!T349-'Earnings Model (adjusted)'!T349</f>
        <v>0</v>
      </c>
      <c r="U349" s="169">
        <f>'Earnings Model'!U349-'Earnings Model (adjusted)'!U349</f>
        <v>0</v>
      </c>
      <c r="V349" s="169">
        <f>'Earnings Model'!V349-'Earnings Model (adjusted)'!V349</f>
        <v>0</v>
      </c>
      <c r="W349" s="169">
        <f>'Earnings Model'!W349-'Earnings Model (adjusted)'!W349</f>
        <v>0</v>
      </c>
      <c r="X349" s="169">
        <f>'Earnings Model'!X349-'Earnings Model (adjusted)'!X349</f>
        <v>0</v>
      </c>
      <c r="Y349" s="169">
        <f>'Earnings Model'!Y349-'Earnings Model (adjusted)'!Y349</f>
        <v>0</v>
      </c>
      <c r="Z349" s="169">
        <f>'Earnings Model'!Z349-'Earnings Model (adjusted)'!Z349</f>
        <v>0</v>
      </c>
      <c r="AA349" s="169">
        <f>'Earnings Model'!AA349-'Earnings Model (adjusted)'!AA349</f>
        <v>0</v>
      </c>
      <c r="AB349" s="169">
        <f>'Earnings Model'!AB349-'Earnings Model (adjusted)'!AB349</f>
        <v>0</v>
      </c>
      <c r="AC349" s="169">
        <f>'Earnings Model'!AC349-'Earnings Model (adjusted)'!AC349</f>
        <v>0</v>
      </c>
      <c r="AD349" s="169">
        <f>'Earnings Model'!AD349-'Earnings Model (adjusted)'!AD349</f>
        <v>0</v>
      </c>
      <c r="AE349" s="169">
        <f>'Earnings Model'!AE349-'Earnings Model (adjusted)'!AE349</f>
        <v>0</v>
      </c>
      <c r="AF349" s="169">
        <f>'Earnings Model'!AF349-'Earnings Model (adjusted)'!AF349</f>
        <v>0</v>
      </c>
      <c r="AG349" s="169">
        <f>'Earnings Model'!AG349-'Earnings Model (adjusted)'!AG349</f>
        <v>0</v>
      </c>
      <c r="AH349" s="169">
        <f>'Earnings Model'!AH349-'Earnings Model (adjusted)'!AH349</f>
        <v>0</v>
      </c>
      <c r="AI349" s="169">
        <f>'Earnings Model'!AI349-'Earnings Model (adjusted)'!AI349</f>
        <v>0</v>
      </c>
      <c r="AJ349" s="169">
        <f>'Earnings Model'!AJ349-'Earnings Model (adjusted)'!AJ349</f>
        <v>0</v>
      </c>
      <c r="AK349" s="169">
        <f>'Earnings Model'!AK349-'Earnings Model (adjusted)'!AK349</f>
        <v>0</v>
      </c>
      <c r="AL349" s="169">
        <f>'Earnings Model'!AL349-'Earnings Model (adjusted)'!AL349</f>
        <v>0</v>
      </c>
      <c r="AM349" s="169">
        <f>'Earnings Model'!AM349-'Earnings Model (adjusted)'!AM349</f>
        <v>0</v>
      </c>
      <c r="AN349" s="169">
        <f>'Earnings Model'!AN349-'Earnings Model (adjusted)'!AN349</f>
        <v>0</v>
      </c>
      <c r="AO349" s="169">
        <f>'Earnings Model'!AO349-'Earnings Model (adjusted)'!AO349</f>
        <v>0</v>
      </c>
      <c r="AP349" s="169">
        <f>'Earnings Model'!AP349-'Earnings Model (adjusted)'!AP349</f>
        <v>0</v>
      </c>
      <c r="AQ349" s="169">
        <f>'Earnings Model'!AQ349-'Earnings Model (adjusted)'!AQ349</f>
        <v>0</v>
      </c>
    </row>
    <row r="350" spans="4:43" x14ac:dyDescent="0.25">
      <c r="Q350" s="169">
        <f>'Earnings Model (adjusted)'!Q350-'Earnings Model'!Q350</f>
        <v>0</v>
      </c>
      <c r="R350" s="169">
        <f>'Earnings Model'!R350-'Earnings Model (adjusted)'!R350</f>
        <v>0</v>
      </c>
      <c r="S350" s="169">
        <f>'Earnings Model'!S350-'Earnings Model (adjusted)'!S350</f>
        <v>0</v>
      </c>
      <c r="T350" s="169">
        <f>'Earnings Model'!T350-'Earnings Model (adjusted)'!T350</f>
        <v>0</v>
      </c>
      <c r="U350" s="169">
        <f>'Earnings Model'!U350-'Earnings Model (adjusted)'!U350</f>
        <v>0</v>
      </c>
      <c r="V350" s="169">
        <f>'Earnings Model'!V350-'Earnings Model (adjusted)'!V350</f>
        <v>0</v>
      </c>
      <c r="W350" s="169">
        <f>'Earnings Model'!W350-'Earnings Model (adjusted)'!W350</f>
        <v>0</v>
      </c>
      <c r="X350" s="169">
        <f>'Earnings Model'!X350-'Earnings Model (adjusted)'!X350</f>
        <v>0</v>
      </c>
      <c r="Y350" s="169">
        <f>'Earnings Model'!Y350-'Earnings Model (adjusted)'!Y350</f>
        <v>0</v>
      </c>
      <c r="Z350" s="169">
        <f>'Earnings Model'!Z350-'Earnings Model (adjusted)'!Z350</f>
        <v>0</v>
      </c>
      <c r="AA350" s="169">
        <f>'Earnings Model'!AA350-'Earnings Model (adjusted)'!AA350</f>
        <v>0</v>
      </c>
      <c r="AB350" s="169">
        <f>'Earnings Model'!AB350-'Earnings Model (adjusted)'!AB350</f>
        <v>0</v>
      </c>
      <c r="AC350" s="169">
        <f>'Earnings Model'!AC350-'Earnings Model (adjusted)'!AC350</f>
        <v>0</v>
      </c>
      <c r="AD350" s="169">
        <f>'Earnings Model'!AD350-'Earnings Model (adjusted)'!AD350</f>
        <v>0</v>
      </c>
      <c r="AE350" s="169">
        <f>'Earnings Model'!AE350-'Earnings Model (adjusted)'!AE350</f>
        <v>0</v>
      </c>
      <c r="AF350" s="169">
        <f>'Earnings Model'!AF350-'Earnings Model (adjusted)'!AF350</f>
        <v>0</v>
      </c>
      <c r="AG350" s="169">
        <f>'Earnings Model'!AG350-'Earnings Model (adjusted)'!AG350</f>
        <v>0</v>
      </c>
      <c r="AH350" s="169">
        <f>'Earnings Model'!AH350-'Earnings Model (adjusted)'!AH350</f>
        <v>0</v>
      </c>
      <c r="AI350" s="169">
        <f>'Earnings Model'!AI350-'Earnings Model (adjusted)'!AI350</f>
        <v>0</v>
      </c>
      <c r="AJ350" s="169">
        <f>'Earnings Model'!AJ350-'Earnings Model (adjusted)'!AJ350</f>
        <v>0</v>
      </c>
      <c r="AK350" s="169">
        <f>'Earnings Model'!AK350-'Earnings Model (adjusted)'!AK350</f>
        <v>0</v>
      </c>
      <c r="AL350" s="169">
        <f>'Earnings Model'!AL350-'Earnings Model (adjusted)'!AL350</f>
        <v>0</v>
      </c>
      <c r="AM350" s="169">
        <f>'Earnings Model'!AM350-'Earnings Model (adjusted)'!AM350</f>
        <v>0</v>
      </c>
      <c r="AN350" s="169">
        <f>'Earnings Model'!AN350-'Earnings Model (adjusted)'!AN350</f>
        <v>0</v>
      </c>
      <c r="AO350" s="169">
        <f>'Earnings Model'!AO350-'Earnings Model (adjusted)'!AO350</f>
        <v>0</v>
      </c>
      <c r="AP350" s="169">
        <f>'Earnings Model'!AP350-'Earnings Model (adjusted)'!AP350</f>
        <v>0</v>
      </c>
      <c r="AQ350" s="169">
        <f>'Earnings Model'!AQ350-'Earnings Model (adjusted)'!AQ350</f>
        <v>0</v>
      </c>
    </row>
    <row r="351" spans="4:43" x14ac:dyDescent="0.25">
      <c r="Q351" s="169">
        <f>'Earnings Model (adjusted)'!Q351-'Earnings Model'!Q351</f>
        <v>0</v>
      </c>
    </row>
    <row r="352" spans="4:43" x14ac:dyDescent="0.25">
      <c r="Q352" s="169">
        <f>'Earnings Model (adjusted)'!Q352-'Earnings Model'!Q352</f>
        <v>0</v>
      </c>
    </row>
    <row r="353" spans="17:17" x14ac:dyDescent="0.25">
      <c r="Q353" s="169">
        <f>'Earnings Model (adjusted)'!Q353-'Earnings Model'!Q353</f>
        <v>0</v>
      </c>
    </row>
    <row r="354" spans="17:17" x14ac:dyDescent="0.25">
      <c r="Q354" s="169">
        <f>'Earnings Model (adjusted)'!Q354-'Earnings Model'!Q354</f>
        <v>0</v>
      </c>
    </row>
    <row r="355" spans="17:17" x14ac:dyDescent="0.25">
      <c r="Q355" s="169">
        <f>'Earnings Model (adjusted)'!Q355-'Earnings Model'!Q355</f>
        <v>0</v>
      </c>
    </row>
    <row r="356" spans="17:17" x14ac:dyDescent="0.25">
      <c r="Q356" s="169">
        <f>'Earnings Model (adjusted)'!Q356-'Earnings Model'!Q356</f>
        <v>0</v>
      </c>
    </row>
    <row r="357" spans="17:17" x14ac:dyDescent="0.25">
      <c r="Q357" s="169">
        <f>'Earnings Model (adjusted)'!Q357-'Earnings Model'!Q357</f>
        <v>0</v>
      </c>
    </row>
    <row r="358" spans="17:17" x14ac:dyDescent="0.25">
      <c r="Q358" s="169">
        <f>'Earnings Model (adjusted)'!Q358-'Earnings Model'!Q358</f>
        <v>0</v>
      </c>
    </row>
    <row r="359" spans="17:17" x14ac:dyDescent="0.25">
      <c r="Q359" s="169">
        <f>'Earnings Model (adjusted)'!Q359-'Earnings Model'!Q359</f>
        <v>0</v>
      </c>
    </row>
    <row r="360" spans="17:17" x14ac:dyDescent="0.25">
      <c r="Q360" s="169">
        <f>'Earnings Model (adjusted)'!Q360-'Earnings Model'!Q360</f>
        <v>0</v>
      </c>
    </row>
    <row r="361" spans="17:17" x14ac:dyDescent="0.25">
      <c r="Q361" s="169">
        <f>'Earnings Model (adjusted)'!Q361-'Earnings Model'!Q361</f>
        <v>0</v>
      </c>
    </row>
    <row r="362" spans="17:17" x14ac:dyDescent="0.25">
      <c r="Q362" s="169">
        <f>'Earnings Model (adjusted)'!Q362-'Earnings Model'!Q362</f>
        <v>0</v>
      </c>
    </row>
    <row r="363" spans="17:17" x14ac:dyDescent="0.25">
      <c r="Q363" s="169">
        <f>'Earnings Model (adjusted)'!Q363-'Earnings Model'!Q363</f>
        <v>0</v>
      </c>
    </row>
    <row r="364" spans="17:17" x14ac:dyDescent="0.25">
      <c r="Q364" s="169">
        <f>'Earnings Model (adjusted)'!Q364-'Earnings Model'!Q364</f>
        <v>0</v>
      </c>
    </row>
    <row r="365" spans="17:17" x14ac:dyDescent="0.25">
      <c r="Q365" s="169">
        <f>'Earnings Model (adjusted)'!Q365-'Earnings Model'!Q365</f>
        <v>0</v>
      </c>
    </row>
    <row r="366" spans="17:17" x14ac:dyDescent="0.25">
      <c r="Q366" s="169">
        <f>'Earnings Model (adjusted)'!Q366-'Earnings Model'!Q366</f>
        <v>0</v>
      </c>
    </row>
    <row r="367" spans="17:17" x14ac:dyDescent="0.25">
      <c r="Q367" s="169">
        <f>'Earnings Model (adjusted)'!Q367-'Earnings Model'!Q367</f>
        <v>0</v>
      </c>
    </row>
    <row r="368" spans="17:17" x14ac:dyDescent="0.25">
      <c r="Q368" s="169">
        <f>'Earnings Model (adjusted)'!Q368-'Earnings Model'!Q368</f>
        <v>0</v>
      </c>
    </row>
    <row r="369" spans="17:17" x14ac:dyDescent="0.25">
      <c r="Q369" s="169">
        <f>'Earnings Model (adjusted)'!Q369-'Earnings Model'!Q369</f>
        <v>0</v>
      </c>
    </row>
    <row r="370" spans="17:17" x14ac:dyDescent="0.25">
      <c r="Q370" s="169">
        <f>'Earnings Model (adjusted)'!Q370-'Earnings Model'!Q370</f>
        <v>0</v>
      </c>
    </row>
    <row r="371" spans="17:17" x14ac:dyDescent="0.25">
      <c r="Q371" s="169">
        <f>'Earnings Model (adjusted)'!Q371-'Earnings Model'!Q371</f>
        <v>0</v>
      </c>
    </row>
    <row r="372" spans="17:17" x14ac:dyDescent="0.25">
      <c r="Q372" s="169">
        <f>'Earnings Model (adjusted)'!Q372-'Earnings Model'!Q372</f>
        <v>0</v>
      </c>
    </row>
    <row r="373" spans="17:17" x14ac:dyDescent="0.25">
      <c r="Q373" s="169">
        <f>'Earnings Model (adjusted)'!Q373-'Earnings Model'!Q373</f>
        <v>0</v>
      </c>
    </row>
    <row r="374" spans="17:17" x14ac:dyDescent="0.25">
      <c r="Q374" s="169">
        <f>'Earnings Model (adjusted)'!Q374-'Earnings Model'!Q374</f>
        <v>0</v>
      </c>
    </row>
    <row r="375" spans="17:17" x14ac:dyDescent="0.25">
      <c r="Q375" s="169">
        <f>'Earnings Model (adjusted)'!Q375-'Earnings Model'!Q375</f>
        <v>0</v>
      </c>
    </row>
    <row r="376" spans="17:17" x14ac:dyDescent="0.25">
      <c r="Q376" s="169">
        <f>'Earnings Model (adjusted)'!Q376-'Earnings Model'!Q376</f>
        <v>0</v>
      </c>
    </row>
    <row r="377" spans="17:17" x14ac:dyDescent="0.25">
      <c r="Q377" s="169">
        <f>'Earnings Model (adjusted)'!Q377-'Earnings Model'!Q377</f>
        <v>0</v>
      </c>
    </row>
    <row r="378" spans="17:17" x14ac:dyDescent="0.25">
      <c r="Q378" s="169">
        <f>'Earnings Model (adjusted)'!Q378-'Earnings Model'!Q378</f>
        <v>0</v>
      </c>
    </row>
  </sheetData>
  <dataConsolidate/>
  <mergeCells count="123">
    <mergeCell ref="B320:C320"/>
    <mergeCell ref="B331:C331"/>
    <mergeCell ref="B288:C288"/>
    <mergeCell ref="B289:C289"/>
    <mergeCell ref="B290:C290"/>
    <mergeCell ref="B293:C293"/>
    <mergeCell ref="B296:C296"/>
    <mergeCell ref="B304:C304"/>
    <mergeCell ref="B278:C278"/>
    <mergeCell ref="B279:C279"/>
    <mergeCell ref="B280:C280"/>
    <mergeCell ref="B282:C282"/>
    <mergeCell ref="B286:C286"/>
    <mergeCell ref="B287:C287"/>
    <mergeCell ref="B265:C265"/>
    <mergeCell ref="B266:C266"/>
    <mergeCell ref="B267:C267"/>
    <mergeCell ref="B274:C274"/>
    <mergeCell ref="B275:C275"/>
    <mergeCell ref="B277:C277"/>
    <mergeCell ref="B256:C256"/>
    <mergeCell ref="B259:C259"/>
    <mergeCell ref="B260:C260"/>
    <mergeCell ref="B261:C261"/>
    <mergeCell ref="B263:C263"/>
    <mergeCell ref="B264:C264"/>
    <mergeCell ref="B234:C234"/>
    <mergeCell ref="B241:C241"/>
    <mergeCell ref="B243:C243"/>
    <mergeCell ref="B252:C252"/>
    <mergeCell ref="B253:C253"/>
    <mergeCell ref="B255:C255"/>
    <mergeCell ref="B228:C228"/>
    <mergeCell ref="B229:C229"/>
    <mergeCell ref="B230:C230"/>
    <mergeCell ref="B231:C231"/>
    <mergeCell ref="B232:C232"/>
    <mergeCell ref="B233:C233"/>
    <mergeCell ref="B219:C219"/>
    <mergeCell ref="B220:C220"/>
    <mergeCell ref="B222:C222"/>
    <mergeCell ref="B223:C223"/>
    <mergeCell ref="B225:C225"/>
    <mergeCell ref="B226:C226"/>
    <mergeCell ref="B203:C203"/>
    <mergeCell ref="B204:C204"/>
    <mergeCell ref="B215:C215"/>
    <mergeCell ref="B216:C216"/>
    <mergeCell ref="B217:C217"/>
    <mergeCell ref="B218:C218"/>
    <mergeCell ref="B187:C187"/>
    <mergeCell ref="B189:C189"/>
    <mergeCell ref="B191:C191"/>
    <mergeCell ref="B200:C200"/>
    <mergeCell ref="B201:C201"/>
    <mergeCell ref="B202:C202"/>
    <mergeCell ref="B171:C171"/>
    <mergeCell ref="B172:C172"/>
    <mergeCell ref="B174:C174"/>
    <mergeCell ref="B181:C181"/>
    <mergeCell ref="B184:C184"/>
    <mergeCell ref="B186:C186"/>
    <mergeCell ref="B162:C162"/>
    <mergeCell ref="B163:C163"/>
    <mergeCell ref="B164:C164"/>
    <mergeCell ref="B165:C165"/>
    <mergeCell ref="B166:C166"/>
    <mergeCell ref="B167:C167"/>
    <mergeCell ref="B153:C153"/>
    <mergeCell ref="B154:C154"/>
    <mergeCell ref="B155:C155"/>
    <mergeCell ref="B159:C159"/>
    <mergeCell ref="B160:C160"/>
    <mergeCell ref="B161:C161"/>
    <mergeCell ref="B136:C136"/>
    <mergeCell ref="B143:C143"/>
    <mergeCell ref="B149:C149"/>
    <mergeCell ref="B150:C150"/>
    <mergeCell ref="B151:C151"/>
    <mergeCell ref="B152:C152"/>
    <mergeCell ref="B104:C104"/>
    <mergeCell ref="B118:C118"/>
    <mergeCell ref="B119:C119"/>
    <mergeCell ref="B121:C121"/>
    <mergeCell ref="B133:C133"/>
    <mergeCell ref="B134:C134"/>
    <mergeCell ref="B94:C94"/>
    <mergeCell ref="B98:C98"/>
    <mergeCell ref="B99:C99"/>
    <mergeCell ref="B103:C103"/>
    <mergeCell ref="B59:C59"/>
    <mergeCell ref="B63:C63"/>
    <mergeCell ref="B64:C64"/>
    <mergeCell ref="B68:C68"/>
    <mergeCell ref="B69:C69"/>
    <mergeCell ref="B82:C82"/>
    <mergeCell ref="B56:C56"/>
    <mergeCell ref="B31:C31"/>
    <mergeCell ref="B32:C32"/>
    <mergeCell ref="B33:C33"/>
    <mergeCell ref="B38:C38"/>
    <mergeCell ref="B39:C39"/>
    <mergeCell ref="B40:C40"/>
    <mergeCell ref="B83:C83"/>
    <mergeCell ref="B91:C91"/>
    <mergeCell ref="B2:C2"/>
    <mergeCell ref="B3:C3"/>
    <mergeCell ref="B4:C4"/>
    <mergeCell ref="B5:C5"/>
    <mergeCell ref="B41:C41"/>
    <mergeCell ref="B45:C45"/>
    <mergeCell ref="B46:C46"/>
    <mergeCell ref="B47:C47"/>
    <mergeCell ref="B48:C48"/>
    <mergeCell ref="A11:A12"/>
    <mergeCell ref="B11:C11"/>
    <mergeCell ref="B12:C12"/>
    <mergeCell ref="B13:C13"/>
    <mergeCell ref="B14:C14"/>
    <mergeCell ref="B15:C15"/>
    <mergeCell ref="B16:C16"/>
    <mergeCell ref="B17:C17"/>
    <mergeCell ref="B24:C24"/>
  </mergeCells>
  <pageMargins left="0.7" right="0.7" top="0.75" bottom="0.75" header="0.3" footer="0.3"/>
  <pageSetup scale="10" orientation="landscape" r:id="rId1"/>
  <headerFooter>
    <oddFooter>&amp;CGutenberg Research LLC prohibits the redistribution of this document in whole or part without the written permission. 
© Gutenberg Research LLC 2019.</oddFooter>
  </headerFooter>
  <rowBreaks count="1" manualBreakCount="1">
    <brk id="182"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N41"/>
  <sheetViews>
    <sheetView showGridLines="0" zoomScaleNormal="100" workbookViewId="0">
      <selection activeCell="B2" sqref="B2"/>
    </sheetView>
  </sheetViews>
  <sheetFormatPr defaultColWidth="9.140625" defaultRowHeight="15" x14ac:dyDescent="0.25"/>
  <cols>
    <col min="1" max="1" width="1.140625" customWidth="1"/>
    <col min="2" max="2" width="22.7109375" customWidth="1"/>
    <col min="3" max="10" width="12.28515625" customWidth="1"/>
    <col min="11" max="11" width="1.140625" customWidth="1"/>
    <col min="12" max="12" width="22.7109375" customWidth="1"/>
    <col min="13" max="20" width="12.28515625" customWidth="1"/>
  </cols>
  <sheetData>
    <row r="1" spans="2:14" x14ac:dyDescent="0.25">
      <c r="B1" s="119" t="s">
        <v>369</v>
      </c>
    </row>
    <row r="2" spans="2:14" x14ac:dyDescent="0.25">
      <c r="B2" s="119"/>
    </row>
    <row r="3" spans="2:14" x14ac:dyDescent="0.25">
      <c r="B3" s="119"/>
    </row>
    <row r="4" spans="2:14" x14ac:dyDescent="0.25">
      <c r="B4" s="6"/>
      <c r="I4" s="6"/>
      <c r="L4" s="6"/>
    </row>
    <row r="5" spans="2:14" ht="12.6" customHeight="1" x14ac:dyDescent="0.25">
      <c r="B5" s="6"/>
    </row>
    <row r="6" spans="2:14" ht="21" customHeight="1" x14ac:dyDescent="0.25">
      <c r="C6" s="8"/>
      <c r="D6" s="9"/>
      <c r="E6" s="9"/>
      <c r="F6" s="9"/>
      <c r="H6" s="6"/>
    </row>
    <row r="7" spans="2:14" s="5" customFormat="1" ht="21" customHeight="1" x14ac:dyDescent="0.25">
      <c r="C7" s="9"/>
      <c r="D7" s="9"/>
      <c r="E7" s="9"/>
      <c r="F7" s="9"/>
      <c r="H7" s="637"/>
      <c r="I7" s="637"/>
      <c r="J7" s="637"/>
      <c r="K7" s="637"/>
      <c r="L7" s="637"/>
      <c r="M7" s="637"/>
      <c r="N7" s="637"/>
    </row>
    <row r="8" spans="2:14" ht="21" customHeight="1" x14ac:dyDescent="0.25">
      <c r="D8" s="1"/>
      <c r="E8" s="1"/>
      <c r="F8" s="1"/>
      <c r="G8" s="7"/>
    </row>
    <row r="9" spans="2:14" ht="21" customHeight="1" x14ac:dyDescent="0.25">
      <c r="D9" s="1"/>
      <c r="E9" s="1"/>
      <c r="F9" s="1"/>
      <c r="G9" s="7"/>
    </row>
    <row r="10" spans="2:14" ht="21" customHeight="1" x14ac:dyDescent="0.25">
      <c r="D10" s="1"/>
      <c r="E10" s="1"/>
      <c r="F10" s="1"/>
      <c r="G10" s="7"/>
    </row>
    <row r="11" spans="2:14" ht="21" customHeight="1" x14ac:dyDescent="0.25">
      <c r="D11" s="1"/>
      <c r="E11" s="1"/>
      <c r="F11" s="1"/>
      <c r="G11" s="7"/>
    </row>
    <row r="12" spans="2:14" ht="21" customHeight="1" x14ac:dyDescent="0.25">
      <c r="D12" s="1"/>
      <c r="E12" s="1"/>
      <c r="F12" s="10"/>
      <c r="G12" s="7"/>
    </row>
    <row r="13" spans="2:14" ht="21" customHeight="1" x14ac:dyDescent="0.25">
      <c r="D13" s="1"/>
      <c r="E13" s="2"/>
      <c r="F13" s="2"/>
      <c r="G13" s="7"/>
    </row>
    <row r="14" spans="2:14" ht="21" customHeight="1" x14ac:dyDescent="0.25">
      <c r="B14" s="119"/>
      <c r="D14" s="1"/>
      <c r="E14" s="2"/>
      <c r="F14" s="2"/>
      <c r="G14" s="7"/>
    </row>
    <row r="15" spans="2:14" ht="21" customHeight="1" x14ac:dyDescent="0.25">
      <c r="D15" s="1"/>
      <c r="E15" s="2"/>
      <c r="F15" s="2"/>
      <c r="G15" s="7"/>
    </row>
    <row r="16" spans="2:14" ht="21" customHeight="1" x14ac:dyDescent="0.25">
      <c r="D16" s="1"/>
      <c r="E16" s="2"/>
      <c r="F16" s="2"/>
      <c r="G16" s="7"/>
    </row>
    <row r="27" spans="2:2" x14ac:dyDescent="0.25">
      <c r="B27" s="119"/>
    </row>
    <row r="41" spans="2:2" x14ac:dyDescent="0.25">
      <c r="B41" s="119"/>
    </row>
  </sheetData>
  <mergeCells count="1">
    <mergeCell ref="H7:N7"/>
  </mergeCells>
  <pageMargins left="0.7" right="0.7" top="0.75" bottom="0.75" header="0.3" footer="0.3"/>
  <pageSetup orientation="portrait"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81B74-4FD3-4A80-B515-D0B4B3984644}">
  <dimension ref="B1:G21"/>
  <sheetViews>
    <sheetView showGridLines="0" workbookViewId="0">
      <selection activeCell="I19" sqref="I19"/>
    </sheetView>
  </sheetViews>
  <sheetFormatPr defaultRowHeight="15" x14ac:dyDescent="0.25"/>
  <cols>
    <col min="1" max="1" width="1.28515625" customWidth="1"/>
    <col min="2" max="2" width="12.28515625" customWidth="1"/>
    <col min="4" max="4" width="2.7109375" customWidth="1"/>
    <col min="7" max="7" width="9.5703125" bestFit="1" customWidth="1"/>
  </cols>
  <sheetData>
    <row r="1" spans="2:7" x14ac:dyDescent="0.25">
      <c r="B1" t="s">
        <v>368</v>
      </c>
    </row>
    <row r="2" spans="2:7" x14ac:dyDescent="0.25">
      <c r="B2" t="s">
        <v>85</v>
      </c>
    </row>
    <row r="3" spans="2:7" ht="45" x14ac:dyDescent="0.25">
      <c r="B3" s="120" t="s">
        <v>86</v>
      </c>
      <c r="C3" s="120" t="s">
        <v>319</v>
      </c>
      <c r="D3" s="120"/>
      <c r="E3" s="120" t="s">
        <v>87</v>
      </c>
      <c r="F3" s="120" t="s">
        <v>88</v>
      </c>
      <c r="G3" s="120" t="s">
        <v>89</v>
      </c>
    </row>
    <row r="4" spans="2:7" x14ac:dyDescent="0.25">
      <c r="B4" s="529">
        <v>44091</v>
      </c>
      <c r="C4" s="530">
        <v>86.75</v>
      </c>
      <c r="D4" s="157"/>
      <c r="E4" s="158"/>
      <c r="F4" s="159"/>
      <c r="G4" s="127"/>
    </row>
    <row r="5" spans="2:7" x14ac:dyDescent="0.25">
      <c r="B5" s="529">
        <v>44123</v>
      </c>
      <c r="C5" s="530">
        <v>87.599997999999999</v>
      </c>
      <c r="D5" s="2"/>
      <c r="E5" s="124">
        <f>+C5/C4-1</f>
        <v>9.7982478386167138E-3</v>
      </c>
      <c r="F5" s="125">
        <f t="shared" ref="F5:F16" si="0">E5-$E$17</f>
        <v>-1.3773037564649798E-2</v>
      </c>
      <c r="G5" s="133">
        <f>F5^2</f>
        <v>1.8969656375725442E-4</v>
      </c>
    </row>
    <row r="6" spans="2:7" x14ac:dyDescent="0.25">
      <c r="B6" s="529">
        <v>44152</v>
      </c>
      <c r="C6" s="530">
        <v>98.599997999999999</v>
      </c>
      <c r="D6" s="2"/>
      <c r="E6" s="124">
        <f>+C6/C5-1</f>
        <v>0.1255707791226206</v>
      </c>
      <c r="F6" s="125">
        <f t="shared" si="0"/>
        <v>0.10199949371935409</v>
      </c>
      <c r="G6" s="133">
        <f>F6^2</f>
        <v>1.0403896719004553E-2</v>
      </c>
    </row>
    <row r="7" spans="2:7" x14ac:dyDescent="0.25">
      <c r="B7" s="529">
        <v>44182</v>
      </c>
      <c r="C7" s="530">
        <v>103.209999</v>
      </c>
      <c r="D7" s="2"/>
      <c r="E7" s="124">
        <f t="shared" ref="E7:E15" si="1">+C7/C6-1</f>
        <v>4.6754574984879893E-2</v>
      </c>
      <c r="F7" s="125">
        <f t="shared" si="0"/>
        <v>2.3183289581613382E-2</v>
      </c>
      <c r="G7" s="133">
        <f t="shared" ref="G7:G15" si="2">F7^2</f>
        <v>5.3746491582494353E-4</v>
      </c>
    </row>
    <row r="8" spans="2:7" x14ac:dyDescent="0.25">
      <c r="B8" s="529">
        <v>44215</v>
      </c>
      <c r="C8" s="530">
        <v>102.540001</v>
      </c>
      <c r="D8" s="2"/>
      <c r="E8" s="124">
        <f t="shared" si="1"/>
        <v>-6.4915997140935211E-3</v>
      </c>
      <c r="F8" s="125">
        <f t="shared" si="0"/>
        <v>-3.0062885117360032E-2</v>
      </c>
      <c r="G8" s="133">
        <f t="shared" si="2"/>
        <v>9.0377706157958738E-4</v>
      </c>
    </row>
    <row r="9" spans="2:7" x14ac:dyDescent="0.25">
      <c r="B9" s="529">
        <v>44244</v>
      </c>
      <c r="C9" s="530">
        <v>104.44000200000001</v>
      </c>
      <c r="D9" s="2"/>
      <c r="E9" s="124">
        <f t="shared" si="1"/>
        <v>1.8529363969871593E-2</v>
      </c>
      <c r="F9" s="125">
        <f t="shared" si="0"/>
        <v>-5.0419214333949185E-3</v>
      </c>
      <c r="G9" s="133">
        <f t="shared" si="2"/>
        <v>2.5420971740527069E-5</v>
      </c>
    </row>
    <row r="10" spans="2:7" x14ac:dyDescent="0.25">
      <c r="B10" s="529">
        <v>44272</v>
      </c>
      <c r="C10" s="530">
        <v>110.459999</v>
      </c>
      <c r="D10" s="2"/>
      <c r="E10" s="124">
        <f t="shared" si="1"/>
        <v>5.7640720841809046E-2</v>
      </c>
      <c r="F10" s="125">
        <f t="shared" si="0"/>
        <v>3.4069435438542531E-2</v>
      </c>
      <c r="G10" s="133">
        <f t="shared" si="2"/>
        <v>1.1607264311010177E-3</v>
      </c>
    </row>
    <row r="11" spans="2:7" x14ac:dyDescent="0.25">
      <c r="B11" s="529">
        <v>44305</v>
      </c>
      <c r="C11" s="530">
        <v>117.599998</v>
      </c>
      <c r="D11" s="2"/>
      <c r="E11" s="124">
        <f t="shared" si="1"/>
        <v>6.4638774802089349E-2</v>
      </c>
      <c r="F11" s="125">
        <f t="shared" si="0"/>
        <v>4.1067489398822835E-2</v>
      </c>
      <c r="G11" s="133">
        <f t="shared" si="2"/>
        <v>1.6865386855224259E-3</v>
      </c>
    </row>
    <row r="12" spans="2:7" x14ac:dyDescent="0.25">
      <c r="B12" s="529">
        <v>44333</v>
      </c>
      <c r="C12" s="530">
        <v>110.980003</v>
      </c>
      <c r="D12" s="2"/>
      <c r="E12" s="124">
        <f t="shared" si="1"/>
        <v>-5.6292475447150991E-2</v>
      </c>
      <c r="F12" s="125">
        <f t="shared" si="0"/>
        <v>-7.9863760850417506E-2</v>
      </c>
      <c r="G12" s="133">
        <f t="shared" si="2"/>
        <v>6.3782202971726801E-3</v>
      </c>
    </row>
    <row r="13" spans="2:7" x14ac:dyDescent="0.25">
      <c r="B13" s="529">
        <v>44364</v>
      </c>
      <c r="C13" s="530">
        <v>111.389999</v>
      </c>
      <c r="D13" s="2"/>
      <c r="E13" s="124">
        <f t="shared" si="1"/>
        <v>3.6943232016313221E-3</v>
      </c>
      <c r="F13" s="125">
        <f t="shared" si="0"/>
        <v>-1.9876962201635189E-2</v>
      </c>
      <c r="G13" s="133">
        <f t="shared" si="2"/>
        <v>3.9509362636523405E-4</v>
      </c>
    </row>
    <row r="14" spans="2:7" x14ac:dyDescent="0.25">
      <c r="B14" s="529">
        <v>44396</v>
      </c>
      <c r="C14" s="530">
        <v>115.32</v>
      </c>
      <c r="D14" s="2"/>
      <c r="E14" s="124">
        <f>+C14/C13-1</f>
        <v>3.5281452870827179E-2</v>
      </c>
      <c r="F14" s="125">
        <f t="shared" si="0"/>
        <v>1.1710167467560668E-2</v>
      </c>
      <c r="G14" s="133">
        <f t="shared" si="2"/>
        <v>1.3712802211831622E-4</v>
      </c>
    </row>
    <row r="15" spans="2:7" x14ac:dyDescent="0.25">
      <c r="B15" s="529">
        <v>44425</v>
      </c>
      <c r="C15" s="530">
        <v>116.57</v>
      </c>
      <c r="D15" s="2"/>
      <c r="E15" s="124">
        <f t="shared" si="1"/>
        <v>1.0839403399236947E-2</v>
      </c>
      <c r="F15" s="125">
        <f t="shared" si="0"/>
        <v>-1.2731882004029565E-2</v>
      </c>
      <c r="G15" s="133">
        <f t="shared" si="2"/>
        <v>1.6210081936453188E-4</v>
      </c>
    </row>
    <row r="16" spans="2:7" x14ac:dyDescent="0.25">
      <c r="B16" s="529">
        <v>44456</v>
      </c>
      <c r="C16" s="530">
        <v>113.410004</v>
      </c>
      <c r="D16" s="374"/>
      <c r="E16" s="160">
        <f>+C16/C15-1</f>
        <v>-2.710814103114001E-2</v>
      </c>
      <c r="F16" s="126">
        <f t="shared" si="0"/>
        <v>-5.0679426434406524E-2</v>
      </c>
      <c r="G16" s="134">
        <f>F16^2</f>
        <v>2.5684042637204229E-3</v>
      </c>
    </row>
    <row r="17" spans="3:7" x14ac:dyDescent="0.25">
      <c r="C17" s="121"/>
      <c r="D17" s="375" t="s">
        <v>90</v>
      </c>
      <c r="E17" s="376">
        <f>AVERAGE(E5:E16)</f>
        <v>2.3571285403266511E-2</v>
      </c>
      <c r="G17" s="122"/>
    </row>
    <row r="18" spans="3:7" x14ac:dyDescent="0.25">
      <c r="C18" s="121"/>
      <c r="F18" s="128" t="s">
        <v>91</v>
      </c>
      <c r="G18" s="138">
        <f>SUM(G5:G16)</f>
        <v>2.4548468377271496E-2</v>
      </c>
    </row>
    <row r="19" spans="3:7" x14ac:dyDescent="0.25">
      <c r="C19" s="121"/>
      <c r="F19" s="128" t="s">
        <v>92</v>
      </c>
      <c r="G19" s="138">
        <f>G18/12</f>
        <v>2.0457056981059581E-3</v>
      </c>
    </row>
    <row r="20" spans="3:7" x14ac:dyDescent="0.25">
      <c r="C20" s="121"/>
      <c r="E20" s="129"/>
      <c r="F20" s="130" t="s">
        <v>93</v>
      </c>
      <c r="G20" s="131">
        <f>SQRT(G19)</f>
        <v>4.5229478198470938E-2</v>
      </c>
    </row>
    <row r="21" spans="3:7" x14ac:dyDescent="0.25">
      <c r="C21" s="139"/>
      <c r="D21" s="123"/>
      <c r="E21" s="123"/>
      <c r="F21" s="411" t="s">
        <v>94</v>
      </c>
      <c r="G21" s="412">
        <f>_xlfn.STDEV.P(E5:E16)-G20</f>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C88A3-D426-4B39-85EC-3AAC99A7F912}">
  <sheetPr>
    <tabColor rgb="FFFF0000"/>
  </sheetPr>
  <dimension ref="B2:AI42"/>
  <sheetViews>
    <sheetView showGridLines="0" workbookViewId="0">
      <pane xSplit="4" ySplit="4" topLeftCell="E5" activePane="bottomRight" state="frozen"/>
      <selection pane="topRight" activeCell="E1" sqref="E1"/>
      <selection pane="bottomLeft" activeCell="A5" sqref="A5"/>
      <selection pane="bottomRight" activeCell="AC18" sqref="AC18"/>
    </sheetView>
  </sheetViews>
  <sheetFormatPr defaultRowHeight="15" x14ac:dyDescent="0.25"/>
  <cols>
    <col min="1" max="1" width="2.7109375" customWidth="1"/>
    <col min="2" max="2" width="20.5703125" customWidth="1"/>
    <col min="3" max="3" width="31.140625" customWidth="1"/>
    <col min="4" max="4" width="13.28515625" customWidth="1"/>
    <col min="5" max="5" width="2" customWidth="1"/>
    <col min="6" max="31" width="11.5703125" customWidth="1"/>
    <col min="32" max="32" width="2.85546875" customWidth="1"/>
    <col min="33" max="33" width="12" customWidth="1"/>
    <col min="34" max="34" width="2.85546875" customWidth="1"/>
    <col min="35" max="35" width="12" customWidth="1"/>
  </cols>
  <sheetData>
    <row r="2" spans="2:35" x14ac:dyDescent="0.25">
      <c r="D2" s="418" t="s">
        <v>323</v>
      </c>
    </row>
    <row r="3" spans="2:35" ht="15.75" x14ac:dyDescent="0.25">
      <c r="B3" s="565" t="s">
        <v>116</v>
      </c>
      <c r="C3" s="566"/>
      <c r="D3" s="419" t="s">
        <v>321</v>
      </c>
      <c r="F3" s="435"/>
      <c r="G3" s="435"/>
      <c r="H3" s="435"/>
      <c r="I3" s="435"/>
      <c r="J3" s="435"/>
      <c r="K3" s="435"/>
      <c r="L3" s="435"/>
      <c r="M3" s="435"/>
      <c r="N3" s="435"/>
      <c r="O3" s="435"/>
      <c r="P3" s="435"/>
      <c r="Q3" s="435"/>
      <c r="R3" s="435"/>
      <c r="S3" s="435"/>
      <c r="T3" s="435"/>
      <c r="U3" s="435"/>
      <c r="V3" s="435"/>
      <c r="W3" s="435"/>
      <c r="X3" s="435"/>
      <c r="Y3" s="435"/>
      <c r="Z3" s="435"/>
      <c r="AA3" s="435"/>
      <c r="AB3" s="435"/>
      <c r="AC3" s="435"/>
      <c r="AD3" s="435"/>
      <c r="AE3" s="435"/>
      <c r="AG3" s="435" t="s">
        <v>327</v>
      </c>
      <c r="AI3" s="435" t="s">
        <v>329</v>
      </c>
    </row>
    <row r="4" spans="2:35" ht="17.25" x14ac:dyDescent="0.4">
      <c r="B4" s="567" t="s">
        <v>3</v>
      </c>
      <c r="C4" s="568"/>
      <c r="D4" s="420" t="s">
        <v>322</v>
      </c>
      <c r="F4" s="436"/>
      <c r="G4" s="436"/>
      <c r="H4" s="436"/>
      <c r="I4" s="436"/>
      <c r="J4" s="436"/>
      <c r="K4" s="436"/>
      <c r="L4" s="436"/>
      <c r="M4" s="436"/>
      <c r="N4" s="436"/>
      <c r="O4" s="436"/>
      <c r="P4" s="436"/>
      <c r="Q4" s="436"/>
      <c r="R4" s="436"/>
      <c r="S4" s="436"/>
      <c r="T4" s="436"/>
      <c r="U4" s="436"/>
      <c r="V4" s="436"/>
      <c r="W4" s="436"/>
      <c r="X4" s="436"/>
      <c r="Y4" s="436"/>
      <c r="Z4" s="436"/>
      <c r="AA4" s="436"/>
      <c r="AB4" s="436"/>
      <c r="AC4" s="436"/>
      <c r="AD4" s="436"/>
      <c r="AE4" s="436"/>
      <c r="AG4" s="436" t="s">
        <v>328</v>
      </c>
      <c r="AI4" s="436" t="s">
        <v>330</v>
      </c>
    </row>
    <row r="5" spans="2:35" x14ac:dyDescent="0.25">
      <c r="B5" s="569" t="s">
        <v>263</v>
      </c>
      <c r="C5" s="570"/>
      <c r="D5" s="421">
        <f>'Earnings Model'!L13</f>
        <v>5173.6000000000004</v>
      </c>
      <c r="F5" s="447">
        <v>4907.9344999999994</v>
      </c>
      <c r="G5" s="447">
        <v>4907.9344999999994</v>
      </c>
      <c r="H5" s="447">
        <v>4749.0658200146572</v>
      </c>
      <c r="I5" s="447">
        <v>4873.7618668136183</v>
      </c>
      <c r="J5" s="447">
        <v>4898.0732748692908</v>
      </c>
      <c r="K5" s="447">
        <v>4907.2324866813233</v>
      </c>
      <c r="L5" s="447">
        <v>5527.6589258390723</v>
      </c>
      <c r="M5" s="447">
        <v>4907.9344999999994</v>
      </c>
      <c r="N5" s="447">
        <v>5031.4086078368291</v>
      </c>
      <c r="O5" s="447">
        <v>4762.4929845855013</v>
      </c>
      <c r="P5" s="447">
        <v>4966.8529332829703</v>
      </c>
      <c r="Q5" s="447">
        <v>4932.3259127201145</v>
      </c>
      <c r="R5" s="447">
        <v>4942.1456516006092</v>
      </c>
      <c r="S5" s="447">
        <v>4933.0342460534484</v>
      </c>
      <c r="T5" s="447">
        <v>4904.9824866813233</v>
      </c>
      <c r="U5" s="447">
        <v>4846.8546324920762</v>
      </c>
      <c r="V5" s="447">
        <v>4907.9344999999994</v>
      </c>
      <c r="W5" s="447">
        <v>4946.1207571729528</v>
      </c>
      <c r="X5" s="447">
        <v>4684.643406874874</v>
      </c>
      <c r="Y5" s="447">
        <v>5068.3211151279002</v>
      </c>
      <c r="Z5" s="447">
        <v>4909.9601184484391</v>
      </c>
      <c r="AA5" s="447">
        <v>5104.3483161072081</v>
      </c>
      <c r="AB5" s="447">
        <v>4935.0691154936958</v>
      </c>
      <c r="AC5" s="447">
        <v>5382.9067052606015</v>
      </c>
      <c r="AD5" s="447">
        <v>4805.0236946501527</v>
      </c>
      <c r="AE5" s="447">
        <v>5026.4987383965818</v>
      </c>
      <c r="AG5" s="447">
        <f>AVERAGE(F5:AE5)</f>
        <v>4952.7122998847399</v>
      </c>
      <c r="AI5" s="447"/>
    </row>
    <row r="6" spans="2:35" x14ac:dyDescent="0.25">
      <c r="B6" s="569" t="s">
        <v>264</v>
      </c>
      <c r="C6" s="570"/>
      <c r="D6" s="422">
        <f>'Earnings Model'!L14</f>
        <v>544.6</v>
      </c>
      <c r="F6" s="450">
        <v>648.22749999999996</v>
      </c>
      <c r="G6" s="450">
        <v>648.22749999999996</v>
      </c>
      <c r="H6" s="450">
        <v>648.22749999999996</v>
      </c>
      <c r="I6" s="450">
        <v>646.64</v>
      </c>
      <c r="J6" s="450">
        <v>647.25250000000005</v>
      </c>
      <c r="K6" s="450">
        <v>648.22749999999996</v>
      </c>
      <c r="L6" s="450">
        <v>645.99</v>
      </c>
      <c r="M6" s="450">
        <v>648.22749999999996</v>
      </c>
      <c r="N6" s="450">
        <v>648.56500000000005</v>
      </c>
      <c r="O6" s="450">
        <v>648.22749999999996</v>
      </c>
      <c r="P6" s="450">
        <v>687.09</v>
      </c>
      <c r="Q6" s="450">
        <v>648.22749999999996</v>
      </c>
      <c r="R6" s="450">
        <v>648.22749999999996</v>
      </c>
      <c r="S6" s="450">
        <v>648.22749999999996</v>
      </c>
      <c r="T6" s="450">
        <v>647.19000000000005</v>
      </c>
      <c r="U6" s="450">
        <v>648.34</v>
      </c>
      <c r="V6" s="450">
        <v>646.34</v>
      </c>
      <c r="W6" s="450">
        <v>647.06500000000005</v>
      </c>
      <c r="X6" s="450">
        <v>647.41499999999996</v>
      </c>
      <c r="Y6" s="450">
        <v>647.67750000000001</v>
      </c>
      <c r="Z6" s="450">
        <v>648.22749999999996</v>
      </c>
      <c r="AA6" s="450">
        <v>648.22749999999996</v>
      </c>
      <c r="AB6" s="450">
        <v>648.06500000000005</v>
      </c>
      <c r="AC6" s="450">
        <v>808.48250000000007</v>
      </c>
      <c r="AD6" s="450">
        <v>648.22749999999996</v>
      </c>
      <c r="AE6" s="450">
        <v>648.22749999999996</v>
      </c>
      <c r="AG6" s="450">
        <f t="shared" ref="AG6:AG35" si="0">AVERAGE(F6:AE6)</f>
        <v>655.50269230769243</v>
      </c>
      <c r="AI6" s="450"/>
    </row>
    <row r="7" spans="2:35" ht="17.25" x14ac:dyDescent="0.4">
      <c r="B7" s="569" t="s">
        <v>265</v>
      </c>
      <c r="C7" s="570"/>
      <c r="D7" s="423">
        <f>'Earnings Model'!L15</f>
        <v>484.9</v>
      </c>
      <c r="F7" s="453">
        <v>472.24299999999999</v>
      </c>
      <c r="G7" s="453">
        <v>453.44329999999997</v>
      </c>
      <c r="H7" s="453">
        <v>454.16300000000001</v>
      </c>
      <c r="I7" s="453">
        <v>456.33946999999995</v>
      </c>
      <c r="J7" s="453">
        <v>560.995</v>
      </c>
      <c r="K7" s="453">
        <v>480.2109999999999</v>
      </c>
      <c r="L7" s="453">
        <v>457.94200000000001</v>
      </c>
      <c r="M7" s="453">
        <v>446.83799999999997</v>
      </c>
      <c r="N7" s="453">
        <v>446.87</v>
      </c>
      <c r="O7" s="453">
        <v>450.03800000000001</v>
      </c>
      <c r="P7" s="453">
        <v>446.83799999999997</v>
      </c>
      <c r="Q7" s="453">
        <v>561.82000000000005</v>
      </c>
      <c r="R7" s="453">
        <v>470.36200000000002</v>
      </c>
      <c r="S7" s="453">
        <v>561.82000000000005</v>
      </c>
      <c r="T7" s="453">
        <v>561.82000000000005</v>
      </c>
      <c r="U7" s="453">
        <v>525.99700000000007</v>
      </c>
      <c r="V7" s="453">
        <v>446.83799999999997</v>
      </c>
      <c r="W7" s="453">
        <v>457.10949999999997</v>
      </c>
      <c r="X7" s="453">
        <v>446.358</v>
      </c>
      <c r="Y7" s="453">
        <v>456.99999999999994</v>
      </c>
      <c r="Z7" s="453">
        <v>450.03800000000001</v>
      </c>
      <c r="AA7" s="453">
        <v>446.83799999999997</v>
      </c>
      <c r="AB7" s="453">
        <v>454.45949999999993</v>
      </c>
      <c r="AC7" s="453">
        <v>446.83799999999997</v>
      </c>
      <c r="AD7" s="453">
        <v>446.83799999999997</v>
      </c>
      <c r="AE7" s="453">
        <v>446.83799999999997</v>
      </c>
      <c r="AG7" s="453">
        <f t="shared" si="0"/>
        <v>473.34210653846151</v>
      </c>
      <c r="AI7" s="453"/>
    </row>
    <row r="8" spans="2:35" x14ac:dyDescent="0.25">
      <c r="B8" s="571" t="s">
        <v>266</v>
      </c>
      <c r="C8" s="572"/>
      <c r="D8" s="424">
        <f>'Earnings Model'!L16</f>
        <v>6203.1</v>
      </c>
      <c r="F8" s="451">
        <v>6028.4049999999997</v>
      </c>
      <c r="G8" s="451">
        <v>6009.6052999999993</v>
      </c>
      <c r="H8" s="451">
        <v>5851.4563200146567</v>
      </c>
      <c r="I8" s="451">
        <v>5976.7413368136185</v>
      </c>
      <c r="J8" s="451">
        <v>6106.3207748692903</v>
      </c>
      <c r="K8" s="451">
        <v>6035.6709866813235</v>
      </c>
      <c r="L8" s="451">
        <v>6631.590925839072</v>
      </c>
      <c r="M8" s="451">
        <v>6002.9999999999991</v>
      </c>
      <c r="N8" s="451">
        <v>6126.8436078368295</v>
      </c>
      <c r="O8" s="451">
        <v>5860.7584845855017</v>
      </c>
      <c r="P8" s="451">
        <v>6100.7809332829702</v>
      </c>
      <c r="Q8" s="451">
        <v>6142.3734127201142</v>
      </c>
      <c r="R8" s="451">
        <v>6060.7351516006092</v>
      </c>
      <c r="S8" s="451">
        <v>6143.0817460534481</v>
      </c>
      <c r="T8" s="451">
        <v>6113.9924866813235</v>
      </c>
      <c r="U8" s="451">
        <v>6021.1916324920767</v>
      </c>
      <c r="V8" s="451">
        <v>6001.1124999999993</v>
      </c>
      <c r="W8" s="451">
        <v>6050.295257172952</v>
      </c>
      <c r="X8" s="451">
        <v>5778.4164068748742</v>
      </c>
      <c r="Y8" s="451">
        <v>6172.9986151278999</v>
      </c>
      <c r="Z8" s="451">
        <v>6008.2256184484395</v>
      </c>
      <c r="AA8" s="451">
        <v>6199.4138161072078</v>
      </c>
      <c r="AB8" s="451">
        <v>6037.5936154936962</v>
      </c>
      <c r="AC8" s="451">
        <v>6638.2272052606013</v>
      </c>
      <c r="AD8" s="451">
        <v>5900.0891946501524</v>
      </c>
      <c r="AE8" s="451">
        <v>6121.5642383965815</v>
      </c>
      <c r="AG8" s="451">
        <f t="shared" si="0"/>
        <v>6081.5570987308947</v>
      </c>
      <c r="AI8" s="451">
        <v>6054.8</v>
      </c>
    </row>
    <row r="9" spans="2:35" x14ac:dyDescent="0.25">
      <c r="B9" s="573" t="s">
        <v>262</v>
      </c>
      <c r="C9" s="574"/>
      <c r="D9" s="421">
        <f>'Earnings Model'!L17</f>
        <v>1976.8</v>
      </c>
      <c r="F9" s="450">
        <v>1661.8773932750537</v>
      </c>
      <c r="G9" s="450">
        <v>1640.8155840393606</v>
      </c>
      <c r="H9" s="450">
        <v>1792.9447366724794</v>
      </c>
      <c r="I9" s="450">
        <v>1788.236138413286</v>
      </c>
      <c r="J9" s="450">
        <v>1732.4729701828967</v>
      </c>
      <c r="K9" s="450">
        <v>1677.4388267296511</v>
      </c>
      <c r="L9" s="450">
        <v>1861.9222663584351</v>
      </c>
      <c r="M9" s="450">
        <v>1665.2961408441563</v>
      </c>
      <c r="N9" s="450">
        <v>1694.4939004535424</v>
      </c>
      <c r="O9" s="450">
        <v>1637.2642865483424</v>
      </c>
      <c r="P9" s="450">
        <v>1675.6427331789489</v>
      </c>
      <c r="Q9" s="450">
        <v>1742.9695242413809</v>
      </c>
      <c r="R9" s="450">
        <v>1685.0100219998621</v>
      </c>
      <c r="S9" s="450">
        <v>1743.164779812317</v>
      </c>
      <c r="T9" s="450">
        <v>1736.5072429318925</v>
      </c>
      <c r="U9" s="450">
        <v>1705.9696729110906</v>
      </c>
      <c r="V9" s="450">
        <v>1853.419846218789</v>
      </c>
      <c r="W9" s="450">
        <v>1671.5696017841142</v>
      </c>
      <c r="X9" s="450">
        <v>1611.0566921704301</v>
      </c>
      <c r="Y9" s="450">
        <v>1688.7730478238364</v>
      </c>
      <c r="Z9" s="450">
        <v>1670.7066308256883</v>
      </c>
      <c r="AA9" s="450">
        <v>1683.9180022481235</v>
      </c>
      <c r="AB9" s="450">
        <v>1661.9143965314522</v>
      </c>
      <c r="AC9" s="450">
        <v>1830.5275656310789</v>
      </c>
      <c r="AD9" s="450">
        <v>1646.0516180375068</v>
      </c>
      <c r="AE9" s="450">
        <v>1692.8267453568908</v>
      </c>
      <c r="AG9" s="450">
        <f t="shared" si="0"/>
        <v>1709.7227063546388</v>
      </c>
      <c r="AI9" s="450"/>
    </row>
    <row r="10" spans="2:35" x14ac:dyDescent="0.25">
      <c r="B10" s="406" t="s">
        <v>141</v>
      </c>
      <c r="C10" s="323"/>
      <c r="D10" s="422">
        <f>'Earnings Model'!L18</f>
        <v>2683.4</v>
      </c>
      <c r="F10" s="450">
        <v>2946.8049127227778</v>
      </c>
      <c r="G10" s="450">
        <v>2918.8475309346036</v>
      </c>
      <c r="H10" s="450">
        <v>2830.0496833251796</v>
      </c>
      <c r="I10" s="450">
        <v>3107.1257549505976</v>
      </c>
      <c r="J10" s="450">
        <v>3027.1025438033257</v>
      </c>
      <c r="K10" s="450">
        <v>2976.3716115460425</v>
      </c>
      <c r="L10" s="450">
        <v>3511.4662320047864</v>
      </c>
      <c r="M10" s="450">
        <v>2974.9413393516579</v>
      </c>
      <c r="N10" s="450">
        <v>3042.5868251415377</v>
      </c>
      <c r="O10" s="450">
        <v>2891.9202575977934</v>
      </c>
      <c r="P10" s="450">
        <v>2989.7519485747516</v>
      </c>
      <c r="Q10" s="450">
        <v>2990.3710803005247</v>
      </c>
      <c r="R10" s="450">
        <v>2994.8894560362505</v>
      </c>
      <c r="S10" s="450">
        <v>2991.1669418567662</v>
      </c>
      <c r="T10" s="450">
        <v>3032.4971674469098</v>
      </c>
      <c r="U10" s="450">
        <v>2937.6565048754865</v>
      </c>
      <c r="V10" s="450">
        <v>3422.6792349915941</v>
      </c>
      <c r="W10" s="450">
        <v>2967.0837851531128</v>
      </c>
      <c r="X10" s="450">
        <v>2853.5669451375575</v>
      </c>
      <c r="Y10" s="450">
        <v>3034.8114045666121</v>
      </c>
      <c r="Z10" s="450">
        <v>3043.1378784381</v>
      </c>
      <c r="AA10" s="450">
        <v>3086.5382484936031</v>
      </c>
      <c r="AB10" s="450">
        <v>2968.3905599054087</v>
      </c>
      <c r="AC10" s="450">
        <v>3306.3722198019004</v>
      </c>
      <c r="AD10" s="450">
        <v>2913.6880451890584</v>
      </c>
      <c r="AE10" s="450">
        <v>3040.1276056086308</v>
      </c>
      <c r="AG10" s="450">
        <f t="shared" si="0"/>
        <v>3030.7671429905608</v>
      </c>
      <c r="AI10" s="450"/>
    </row>
    <row r="11" spans="2:35" x14ac:dyDescent="0.25">
      <c r="B11" s="406" t="s">
        <v>142</v>
      </c>
      <c r="C11" s="323"/>
      <c r="D11" s="422">
        <f>'Earnings Model'!L19</f>
        <v>99.9</v>
      </c>
      <c r="F11" s="450">
        <v>143.52339857429544</v>
      </c>
      <c r="G11" s="450">
        <v>141.64623820231196</v>
      </c>
      <c r="H11" s="450">
        <v>114.01142762342207</v>
      </c>
      <c r="I11" s="450">
        <v>157.47247863650566</v>
      </c>
      <c r="J11" s="450">
        <v>154.16653380763827</v>
      </c>
      <c r="K11" s="450">
        <v>144.98326225460943</v>
      </c>
      <c r="L11" s="450">
        <v>154.08120998396592</v>
      </c>
      <c r="M11" s="450">
        <v>143.09718517526531</v>
      </c>
      <c r="N11" s="450">
        <v>144.86007780512961</v>
      </c>
      <c r="O11" s="450">
        <v>142.44499540771758</v>
      </c>
      <c r="P11" s="450">
        <v>144.24612569215819</v>
      </c>
      <c r="Q11" s="450">
        <v>154.89286439026324</v>
      </c>
      <c r="R11" s="450">
        <v>145.42355199692861</v>
      </c>
      <c r="S11" s="450">
        <v>154.91002463893352</v>
      </c>
      <c r="T11" s="450">
        <v>154.54619651414632</v>
      </c>
      <c r="U11" s="450">
        <v>151.50415600760019</v>
      </c>
      <c r="V11" s="450">
        <v>153.77508549993667</v>
      </c>
      <c r="W11" s="450">
        <v>143.96918829244038</v>
      </c>
      <c r="X11" s="450">
        <v>139.57695052038329</v>
      </c>
      <c r="Y11" s="450">
        <v>143.99141155168846</v>
      </c>
      <c r="Z11" s="450">
        <v>143.55541760945488</v>
      </c>
      <c r="AA11" s="450">
        <v>143.69757572084848</v>
      </c>
      <c r="AB11" s="450">
        <v>142.66010045011811</v>
      </c>
      <c r="AC11" s="450">
        <v>156.01375849023904</v>
      </c>
      <c r="AD11" s="450">
        <v>142.88910305482469</v>
      </c>
      <c r="AE11" s="450">
        <v>144.67911278719333</v>
      </c>
      <c r="AG11" s="450">
        <f t="shared" si="0"/>
        <v>146.1775934880007</v>
      </c>
      <c r="AI11" s="450"/>
    </row>
    <row r="12" spans="2:35" x14ac:dyDescent="0.25">
      <c r="B12" s="406" t="s">
        <v>143</v>
      </c>
      <c r="C12" s="323"/>
      <c r="D12" s="422">
        <f>'Earnings Model'!L20</f>
        <v>362.9</v>
      </c>
      <c r="F12" s="450">
        <v>368.49523072332948</v>
      </c>
      <c r="G12" s="450">
        <v>368.49523072332948</v>
      </c>
      <c r="H12" s="450">
        <v>373.28185372452236</v>
      </c>
      <c r="I12" s="450">
        <v>368.49523072332948</v>
      </c>
      <c r="J12" s="450">
        <v>374.38234431425735</v>
      </c>
      <c r="K12" s="450">
        <v>374.38234431425735</v>
      </c>
      <c r="L12" s="450">
        <v>368.49523072332948</v>
      </c>
      <c r="M12" s="450">
        <v>368.49523072332948</v>
      </c>
      <c r="N12" s="450">
        <v>368.49523072332948</v>
      </c>
      <c r="O12" s="450">
        <v>374.38234431425735</v>
      </c>
      <c r="P12" s="450">
        <v>368.49523072332948</v>
      </c>
      <c r="Q12" s="450">
        <v>374.38234431425735</v>
      </c>
      <c r="R12" s="450">
        <v>374.38234431425735</v>
      </c>
      <c r="S12" s="450">
        <v>374.38234431425735</v>
      </c>
      <c r="T12" s="450">
        <v>374.38234431425735</v>
      </c>
      <c r="U12" s="450">
        <v>374.38234431425735</v>
      </c>
      <c r="V12" s="450">
        <v>368.49523072332948</v>
      </c>
      <c r="W12" s="450">
        <v>374.38234431425735</v>
      </c>
      <c r="X12" s="450">
        <v>368.49523072332948</v>
      </c>
      <c r="Y12" s="450">
        <v>368.49523072332948</v>
      </c>
      <c r="Z12" s="450">
        <v>374.38234431425735</v>
      </c>
      <c r="AA12" s="450">
        <v>374.38234431425735</v>
      </c>
      <c r="AB12" s="450">
        <v>374.38234431425735</v>
      </c>
      <c r="AC12" s="450">
        <v>368.49523072332948</v>
      </c>
      <c r="AD12" s="450">
        <v>368.49523072332948</v>
      </c>
      <c r="AE12" s="450">
        <v>368.49523072332948</v>
      </c>
      <c r="AG12" s="450">
        <f t="shared" si="0"/>
        <v>371.39646095764971</v>
      </c>
      <c r="AI12" s="450"/>
    </row>
    <row r="13" spans="2:35" x14ac:dyDescent="0.25">
      <c r="B13" s="406" t="s">
        <v>245</v>
      </c>
      <c r="C13" s="323"/>
      <c r="D13" s="422">
        <f>'Earnings Model'!L21</f>
        <v>439</v>
      </c>
      <c r="F13" s="450">
        <v>411.18409437424225</v>
      </c>
      <c r="G13" s="450">
        <v>413.14935152128169</v>
      </c>
      <c r="H13" s="450">
        <v>415.5924427330479</v>
      </c>
      <c r="I13" s="450">
        <v>424.64050705463262</v>
      </c>
      <c r="J13" s="450">
        <v>435.64082824238562</v>
      </c>
      <c r="K13" s="450">
        <v>435.02149901005851</v>
      </c>
      <c r="L13" s="450">
        <v>450.29087027217224</v>
      </c>
      <c r="M13" s="450">
        <v>414.90457004348445</v>
      </c>
      <c r="N13" s="450">
        <v>417.72249043822853</v>
      </c>
      <c r="O13" s="450">
        <v>434.21797753597906</v>
      </c>
      <c r="P13" s="450">
        <v>416.92976919459431</v>
      </c>
      <c r="Q13" s="450">
        <v>435.92392505859186</v>
      </c>
      <c r="R13" s="450">
        <v>436.06414859372342</v>
      </c>
      <c r="S13" s="450">
        <v>435.95328804046824</v>
      </c>
      <c r="T13" s="450">
        <v>435.38544688813676</v>
      </c>
      <c r="U13" s="450">
        <v>436.57439340851113</v>
      </c>
      <c r="V13" s="450">
        <v>431.72789010482552</v>
      </c>
      <c r="W13" s="450">
        <v>429.51599151168745</v>
      </c>
      <c r="X13" s="450">
        <v>409.18929479122863</v>
      </c>
      <c r="Y13" s="450">
        <v>414.2938817433951</v>
      </c>
      <c r="Z13" s="450">
        <v>435.6659130012182</v>
      </c>
      <c r="AA13" s="450">
        <v>435.6572456771936</v>
      </c>
      <c r="AB13" s="450">
        <v>432.7144578968157</v>
      </c>
      <c r="AC13" s="450">
        <v>436.60937790310459</v>
      </c>
      <c r="AD13" s="450">
        <v>414.91522614264272</v>
      </c>
      <c r="AE13" s="450">
        <v>417.40432434922673</v>
      </c>
      <c r="AG13" s="450">
        <f t="shared" si="0"/>
        <v>427.18804636657217</v>
      </c>
      <c r="AI13" s="450"/>
    </row>
    <row r="14" spans="2:35" ht="17.25" x14ac:dyDescent="0.4">
      <c r="B14" s="406" t="s">
        <v>152</v>
      </c>
      <c r="C14" s="323"/>
      <c r="D14" s="425">
        <f>'Earnings Model'!L22</f>
        <v>195</v>
      </c>
      <c r="F14" s="453">
        <v>129.01164105363202</v>
      </c>
      <c r="G14" s="453">
        <v>126.05044992428782</v>
      </c>
      <c r="H14" s="453">
        <v>35.423733665464219</v>
      </c>
      <c r="I14" s="453">
        <v>133.34185691624651</v>
      </c>
      <c r="J14" s="453">
        <v>128.44433548109731</v>
      </c>
      <c r="K14" s="453">
        <v>129.08435168651425</v>
      </c>
      <c r="L14" s="453">
        <v>84.025059543414883</v>
      </c>
      <c r="M14" s="453">
        <v>128.99999999999989</v>
      </c>
      <c r="N14" s="453">
        <v>132.19625649189226</v>
      </c>
      <c r="O14" s="453">
        <v>123.60008637976559</v>
      </c>
      <c r="P14" s="453">
        <v>128.99387231724313</v>
      </c>
      <c r="Q14" s="453">
        <v>129.82047810239771</v>
      </c>
      <c r="R14" s="453">
        <v>129.81860868753242</v>
      </c>
      <c r="S14" s="453">
        <v>129.39283775097454</v>
      </c>
      <c r="T14" s="453">
        <v>129.29126307592972</v>
      </c>
      <c r="U14" s="453">
        <v>125.81376018437334</v>
      </c>
      <c r="V14" s="453">
        <v>151.07210995937254</v>
      </c>
      <c r="W14" s="453">
        <v>131.26151271349801</v>
      </c>
      <c r="X14" s="453">
        <v>123.59547634898001</v>
      </c>
      <c r="Y14" s="453">
        <v>131.30591793380987</v>
      </c>
      <c r="Z14" s="453">
        <v>129.31376554738921</v>
      </c>
      <c r="AA14" s="453">
        <v>72.848896633074759</v>
      </c>
      <c r="AB14" s="453">
        <v>129.67090002895461</v>
      </c>
      <c r="AC14" s="453">
        <v>140.70079889066355</v>
      </c>
      <c r="AD14" s="453">
        <v>124.82132471753985</v>
      </c>
      <c r="AE14" s="453">
        <v>132.1881971209703</v>
      </c>
      <c r="AG14" s="453">
        <f t="shared" si="0"/>
        <v>122.69567273673147</v>
      </c>
      <c r="AI14" s="453"/>
    </row>
    <row r="15" spans="2:35" ht="17.25" x14ac:dyDescent="0.4">
      <c r="B15" s="325" t="s">
        <v>50</v>
      </c>
      <c r="C15" s="326"/>
      <c r="D15" s="426">
        <f>'Earnings Model'!L23</f>
        <v>5757</v>
      </c>
      <c r="F15" s="455">
        <v>5660.8966707233303</v>
      </c>
      <c r="G15" s="455">
        <v>5609.0043853451753</v>
      </c>
      <c r="H15" s="455">
        <v>5561.3038777441152</v>
      </c>
      <c r="I15" s="455">
        <v>5979.3119666945968</v>
      </c>
      <c r="J15" s="455">
        <v>5852.2095558316005</v>
      </c>
      <c r="K15" s="455">
        <v>5737.2818955411331</v>
      </c>
      <c r="L15" s="455">
        <v>6430.2808688861032</v>
      </c>
      <c r="M15" s="455">
        <v>5695.7344661378929</v>
      </c>
      <c r="N15" s="455">
        <v>5800.3547810536602</v>
      </c>
      <c r="O15" s="455">
        <v>5603.8299477838545</v>
      </c>
      <c r="P15" s="455">
        <v>5724.059679681026</v>
      </c>
      <c r="Q15" s="455">
        <v>5828.3602164074164</v>
      </c>
      <c r="R15" s="455">
        <v>5765.588131628554</v>
      </c>
      <c r="S15" s="455">
        <v>5828.970216413717</v>
      </c>
      <c r="T15" s="455">
        <v>5862.6096611712728</v>
      </c>
      <c r="U15" s="455">
        <v>5731.9008317013195</v>
      </c>
      <c r="V15" s="455">
        <v>6381.1693974978471</v>
      </c>
      <c r="W15" s="455">
        <v>5717.7824237691102</v>
      </c>
      <c r="X15" s="455">
        <v>5505.4805896919088</v>
      </c>
      <c r="Y15" s="455">
        <v>5781.6708943426711</v>
      </c>
      <c r="Z15" s="455">
        <v>5796.7619497361084</v>
      </c>
      <c r="AA15" s="455">
        <v>5797.0423130871013</v>
      </c>
      <c r="AB15" s="455">
        <v>5709.7327591270068</v>
      </c>
      <c r="AC15" s="455">
        <v>6238.7189514403153</v>
      </c>
      <c r="AD15" s="455">
        <v>5610.8605478649024</v>
      </c>
      <c r="AE15" s="455">
        <v>5795.7212159462415</v>
      </c>
      <c r="AG15" s="455">
        <f t="shared" si="0"/>
        <v>5807.947622894153</v>
      </c>
      <c r="AI15" s="455"/>
    </row>
    <row r="16" spans="2:35" ht="17.25" x14ac:dyDescent="0.4">
      <c r="B16" s="575" t="s">
        <v>145</v>
      </c>
      <c r="C16" s="576"/>
      <c r="D16" s="423">
        <f>'Earnings Model'!L24</f>
        <v>112.2</v>
      </c>
      <c r="F16" s="453">
        <v>75.524999999999991</v>
      </c>
      <c r="G16" s="453">
        <v>75.524999999999991</v>
      </c>
      <c r="H16" s="453">
        <v>75.55</v>
      </c>
      <c r="I16" s="453">
        <v>75.524999999999991</v>
      </c>
      <c r="J16" s="453">
        <v>75.524999999999991</v>
      </c>
      <c r="K16" s="453">
        <v>75.525000000000006</v>
      </c>
      <c r="L16" s="453">
        <v>70.066666666666663</v>
      </c>
      <c r="M16" s="453">
        <v>75.524999999999991</v>
      </c>
      <c r="N16" s="453">
        <v>75.524999999999991</v>
      </c>
      <c r="O16" s="453">
        <v>75.525000000000006</v>
      </c>
      <c r="P16" s="453">
        <v>75.524999999999991</v>
      </c>
      <c r="Q16" s="453">
        <v>75.524999999999991</v>
      </c>
      <c r="R16" s="453">
        <v>75.524999999999991</v>
      </c>
      <c r="S16" s="453">
        <v>75.524999999999991</v>
      </c>
      <c r="T16" s="453">
        <v>75.524999999999991</v>
      </c>
      <c r="U16" s="453">
        <v>75.525000000000006</v>
      </c>
      <c r="V16" s="453">
        <v>75.524999999999991</v>
      </c>
      <c r="W16" s="453">
        <v>75.524999999999991</v>
      </c>
      <c r="X16" s="453">
        <v>75.524999999999991</v>
      </c>
      <c r="Y16" s="453">
        <v>75.524999999999991</v>
      </c>
      <c r="Z16" s="453">
        <v>75.525000000000006</v>
      </c>
      <c r="AA16" s="453">
        <v>75.525000000000006</v>
      </c>
      <c r="AB16" s="453">
        <v>75.524999999999991</v>
      </c>
      <c r="AC16" s="453">
        <v>75.524999999999991</v>
      </c>
      <c r="AD16" s="453">
        <v>75.524999999999991</v>
      </c>
      <c r="AE16" s="453">
        <v>75.524999999999991</v>
      </c>
      <c r="AG16" s="453">
        <f t="shared" si="0"/>
        <v>75.316025641025675</v>
      </c>
      <c r="AI16" s="453"/>
    </row>
    <row r="17" spans="2:35" x14ac:dyDescent="0.25">
      <c r="B17" s="327" t="s">
        <v>66</v>
      </c>
      <c r="C17" s="328"/>
      <c r="D17" s="427">
        <f>'Earnings Model'!L25</f>
        <v>558.30000000000041</v>
      </c>
      <c r="F17" s="451">
        <v>443.03332927666941</v>
      </c>
      <c r="G17" s="451">
        <v>476.12591465482399</v>
      </c>
      <c r="H17" s="451">
        <v>365.70244227054155</v>
      </c>
      <c r="I17" s="451">
        <v>72.95437011902176</v>
      </c>
      <c r="J17" s="451">
        <v>329.63621903768978</v>
      </c>
      <c r="K17" s="451">
        <v>373.91409114019041</v>
      </c>
      <c r="L17" s="451">
        <v>271.37672361963547</v>
      </c>
      <c r="M17" s="451">
        <v>382.79053386210614</v>
      </c>
      <c r="N17" s="451">
        <v>402.01382678316929</v>
      </c>
      <c r="O17" s="451">
        <v>332.45353680164715</v>
      </c>
      <c r="P17" s="451">
        <v>452.2462536019442</v>
      </c>
      <c r="Q17" s="451">
        <v>389.53819631269778</v>
      </c>
      <c r="R17" s="451">
        <v>370.67201997205518</v>
      </c>
      <c r="S17" s="451">
        <v>389.63652963973107</v>
      </c>
      <c r="T17" s="451">
        <v>326.90782551005066</v>
      </c>
      <c r="U17" s="451">
        <v>364.81580079075718</v>
      </c>
      <c r="V17" s="451">
        <v>-304.53189749784781</v>
      </c>
      <c r="W17" s="451">
        <v>408.03783340384177</v>
      </c>
      <c r="X17" s="451">
        <v>348.46081718296534</v>
      </c>
      <c r="Y17" s="451">
        <v>466.85272078522883</v>
      </c>
      <c r="Z17" s="451">
        <v>286.9886687123311</v>
      </c>
      <c r="AA17" s="451">
        <v>477.89650302010648</v>
      </c>
      <c r="AB17" s="451">
        <v>403.38585636668938</v>
      </c>
      <c r="AC17" s="451">
        <v>475.03325382028595</v>
      </c>
      <c r="AD17" s="451">
        <v>364.75364678525</v>
      </c>
      <c r="AE17" s="451">
        <v>401.36802245033994</v>
      </c>
      <c r="AG17" s="451">
        <f t="shared" si="0"/>
        <v>348.92550147776609</v>
      </c>
      <c r="AI17" s="451"/>
    </row>
    <row r="18" spans="2:35" ht="17.25" x14ac:dyDescent="0.4">
      <c r="B18" s="293" t="s">
        <v>194</v>
      </c>
      <c r="C18" s="223"/>
      <c r="D18" s="431">
        <f>'Earnings Model'!L26</f>
        <v>259.5</v>
      </c>
      <c r="F18" s="456">
        <v>187.04000000000002</v>
      </c>
      <c r="G18" s="456">
        <v>187.04000000000002</v>
      </c>
      <c r="H18" s="456">
        <v>187</v>
      </c>
      <c r="I18" s="456">
        <v>187.04000000000002</v>
      </c>
      <c r="J18" s="456">
        <v>187</v>
      </c>
      <c r="K18" s="456">
        <v>186.59</v>
      </c>
      <c r="L18" s="456">
        <v>187</v>
      </c>
      <c r="M18" s="456">
        <v>187.04000000000002</v>
      </c>
      <c r="N18" s="456">
        <v>187.04000000000002</v>
      </c>
      <c r="O18" s="456">
        <v>187.04000000000002</v>
      </c>
      <c r="P18" s="456">
        <v>187.04000000000002</v>
      </c>
      <c r="Q18" s="456">
        <v>187.04000000000002</v>
      </c>
      <c r="R18" s="456">
        <v>187</v>
      </c>
      <c r="S18" s="456">
        <v>187.04000000000002</v>
      </c>
      <c r="T18" s="456">
        <v>187.04000000000002</v>
      </c>
      <c r="U18" s="456">
        <v>187.04000000000002</v>
      </c>
      <c r="V18" s="456">
        <v>187.04000000000002</v>
      </c>
      <c r="W18" s="456">
        <v>187</v>
      </c>
      <c r="X18" s="456">
        <v>187.04000000000002</v>
      </c>
      <c r="Y18" s="456">
        <v>187.04000000000002</v>
      </c>
      <c r="Z18" s="456">
        <v>187.04000000000002</v>
      </c>
      <c r="AA18" s="456">
        <v>187.04000000000002</v>
      </c>
      <c r="AB18" s="456">
        <v>187.04000000000002</v>
      </c>
      <c r="AC18" s="456">
        <v>187.04000000000002</v>
      </c>
      <c r="AD18" s="456">
        <v>187.04000000000002</v>
      </c>
      <c r="AE18" s="456">
        <v>187.04000000000002</v>
      </c>
      <c r="AG18" s="456">
        <f t="shared" si="0"/>
        <v>187.01499999999999</v>
      </c>
      <c r="AI18" s="456"/>
    </row>
    <row r="19" spans="2:35" x14ac:dyDescent="0.25">
      <c r="B19" s="294" t="s">
        <v>195</v>
      </c>
      <c r="C19" s="213"/>
      <c r="D19" s="432">
        <f>'Earnings Model'!L27</f>
        <v>817.80000000000041</v>
      </c>
      <c r="F19" s="457">
        <v>630.07332927666948</v>
      </c>
      <c r="G19" s="457">
        <v>663.16591465482406</v>
      </c>
      <c r="H19" s="457">
        <v>552.7024422705415</v>
      </c>
      <c r="I19" s="457">
        <v>259.99437011902177</v>
      </c>
      <c r="J19" s="457">
        <v>516.63621903768978</v>
      </c>
      <c r="K19" s="457">
        <v>560.50409114019044</v>
      </c>
      <c r="L19" s="457">
        <v>458.37672361963547</v>
      </c>
      <c r="M19" s="457">
        <v>569.83053386210622</v>
      </c>
      <c r="N19" s="457">
        <v>589.05382678316937</v>
      </c>
      <c r="O19" s="457">
        <v>519.49353680164722</v>
      </c>
      <c r="P19" s="457">
        <v>639.28625360194428</v>
      </c>
      <c r="Q19" s="457">
        <v>576.57819631269786</v>
      </c>
      <c r="R19" s="457">
        <v>557.67201997205518</v>
      </c>
      <c r="S19" s="457">
        <v>576.67652963973114</v>
      </c>
      <c r="T19" s="457">
        <v>513.94782551005073</v>
      </c>
      <c r="U19" s="457">
        <v>551.85580079075726</v>
      </c>
      <c r="V19" s="457">
        <v>-117.49189749784779</v>
      </c>
      <c r="W19" s="457">
        <v>595.03783340384177</v>
      </c>
      <c r="X19" s="457">
        <v>535.50081718296542</v>
      </c>
      <c r="Y19" s="457">
        <v>653.8927207852289</v>
      </c>
      <c r="Z19" s="457">
        <v>474.02866871233113</v>
      </c>
      <c r="AA19" s="457">
        <v>664.93650302010656</v>
      </c>
      <c r="AB19" s="457">
        <v>590.42585636668946</v>
      </c>
      <c r="AC19" s="457">
        <v>662.07325382028603</v>
      </c>
      <c r="AD19" s="457">
        <v>551.79364678525008</v>
      </c>
      <c r="AE19" s="457">
        <v>588.40802245034001</v>
      </c>
      <c r="AG19" s="457">
        <f t="shared" si="0"/>
        <v>535.94050147776625</v>
      </c>
      <c r="AI19" s="457">
        <v>600.9</v>
      </c>
    </row>
    <row r="20" spans="2:35" x14ac:dyDescent="0.25">
      <c r="B20" s="78" t="s">
        <v>185</v>
      </c>
      <c r="C20" s="36"/>
      <c r="D20" s="421">
        <f>'Earnings Model'!L28</f>
        <v>0</v>
      </c>
      <c r="F20" s="450">
        <v>0</v>
      </c>
      <c r="G20" s="450">
        <v>0</v>
      </c>
      <c r="H20" s="450">
        <v>0</v>
      </c>
      <c r="I20" s="450">
        <v>0</v>
      </c>
      <c r="J20" s="450">
        <v>0</v>
      </c>
      <c r="K20" s="450">
        <v>0</v>
      </c>
      <c r="L20" s="450">
        <v>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G20" s="450">
        <f t="shared" si="0"/>
        <v>0</v>
      </c>
      <c r="AI20" s="450"/>
    </row>
    <row r="21" spans="2:35" x14ac:dyDescent="0.25">
      <c r="B21" s="78" t="s">
        <v>146</v>
      </c>
      <c r="C21" s="36"/>
      <c r="D21" s="422">
        <f>'Earnings Model'!L29</f>
        <v>9.1</v>
      </c>
      <c r="F21" s="450">
        <v>9.8318996517576309</v>
      </c>
      <c r="G21" s="450">
        <v>9.8318996517576309</v>
      </c>
      <c r="H21" s="450">
        <v>9.8318996517576309</v>
      </c>
      <c r="I21" s="450">
        <v>9.8318996517576309</v>
      </c>
      <c r="J21" s="450">
        <v>9.8318996517576309</v>
      </c>
      <c r="K21" s="450">
        <v>12.7</v>
      </c>
      <c r="L21" s="450">
        <v>9.8318996517576309</v>
      </c>
      <c r="M21" s="450">
        <v>9.8318996517576309</v>
      </c>
      <c r="N21" s="450">
        <v>9.8318996517576309</v>
      </c>
      <c r="O21" s="450">
        <v>12.7</v>
      </c>
      <c r="P21" s="450">
        <v>9.8318996517576309</v>
      </c>
      <c r="Q21" s="450">
        <v>9.8318996517576309</v>
      </c>
      <c r="R21" s="450">
        <v>15.496973713275899</v>
      </c>
      <c r="S21" s="450">
        <v>12.7</v>
      </c>
      <c r="T21" s="450">
        <v>9.8318996517576309</v>
      </c>
      <c r="U21" s="450">
        <v>12.7</v>
      </c>
      <c r="V21" s="450">
        <v>9.8318996517576309</v>
      </c>
      <c r="W21" s="450">
        <v>9.8319673812156498</v>
      </c>
      <c r="X21" s="450">
        <v>9.8318996517576309</v>
      </c>
      <c r="Y21" s="450">
        <v>9.8318996517576309</v>
      </c>
      <c r="Z21" s="450">
        <v>9.8318996517576309</v>
      </c>
      <c r="AA21" s="450">
        <v>9.8318996517576309</v>
      </c>
      <c r="AB21" s="450">
        <v>9.8318996517576309</v>
      </c>
      <c r="AC21" s="450">
        <v>9.8318996517576309</v>
      </c>
      <c r="AD21" s="450">
        <v>9.8318996517576309</v>
      </c>
      <c r="AE21" s="450">
        <v>9.8318996517576309</v>
      </c>
      <c r="AG21" s="450">
        <f t="shared" si="0"/>
        <v>10.491035928063233</v>
      </c>
      <c r="AI21" s="450"/>
    </row>
    <row r="22" spans="2:35" ht="17.25" x14ac:dyDescent="0.4">
      <c r="B22" s="78" t="s">
        <v>147</v>
      </c>
      <c r="C22" s="74"/>
      <c r="D22" s="423">
        <f>'Earnings Model'!L30</f>
        <v>-125</v>
      </c>
      <c r="F22" s="453">
        <v>-131.82973718590847</v>
      </c>
      <c r="G22" s="453">
        <v>-131.82973718590847</v>
      </c>
      <c r="H22" s="453">
        <v>-131.82973718590847</v>
      </c>
      <c r="I22" s="453">
        <v>-131.82973718590847</v>
      </c>
      <c r="J22" s="453">
        <v>-131.82973718590847</v>
      </c>
      <c r="K22" s="453">
        <v>-131.82973718590847</v>
      </c>
      <c r="L22" s="453">
        <v>-131.82973718590847</v>
      </c>
      <c r="M22" s="453">
        <v>-131.82973718590847</v>
      </c>
      <c r="N22" s="453">
        <v>-131.82973718590847</v>
      </c>
      <c r="O22" s="453">
        <v>-134.65360000000001</v>
      </c>
      <c r="P22" s="453">
        <v>-131.82973718590847</v>
      </c>
      <c r="Q22" s="453">
        <v>-131.82973718590847</v>
      </c>
      <c r="R22" s="453">
        <v>-131.82973718590847</v>
      </c>
      <c r="S22" s="453">
        <v>-131.82973718590847</v>
      </c>
      <c r="T22" s="453">
        <v>-131.82973718590847</v>
      </c>
      <c r="U22" s="453">
        <v>-131.82973718590847</v>
      </c>
      <c r="V22" s="453">
        <v>-131.82973718590847</v>
      </c>
      <c r="W22" s="453">
        <v>-134.65360000000001</v>
      </c>
      <c r="X22" s="453">
        <v>-131.82973718590847</v>
      </c>
      <c r="Y22" s="453">
        <v>-131.82973718590847</v>
      </c>
      <c r="Z22" s="453">
        <v>-131.82973718590847</v>
      </c>
      <c r="AA22" s="453">
        <v>-131.82973718590847</v>
      </c>
      <c r="AB22" s="453">
        <v>-131.82973718590847</v>
      </c>
      <c r="AC22" s="453">
        <v>-131.82973718590847</v>
      </c>
      <c r="AD22" s="453">
        <v>-131.82973718590847</v>
      </c>
      <c r="AE22" s="453">
        <v>-131.82973718590847</v>
      </c>
      <c r="AG22" s="453">
        <f t="shared" si="0"/>
        <v>-132.04695740237705</v>
      </c>
      <c r="AI22" s="453"/>
    </row>
    <row r="23" spans="2:35" x14ac:dyDescent="0.25">
      <c r="B23" s="591" t="s">
        <v>67</v>
      </c>
      <c r="C23" s="592"/>
      <c r="D23" s="427">
        <f>'Earnings Model'!L31</f>
        <v>442.40000000000043</v>
      </c>
      <c r="F23" s="451">
        <v>321.03549174251856</v>
      </c>
      <c r="G23" s="451">
        <v>354.12807712067314</v>
      </c>
      <c r="H23" s="451">
        <v>243.70460473639071</v>
      </c>
      <c r="I23" s="451">
        <v>-49.043467415129072</v>
      </c>
      <c r="J23" s="451">
        <v>207.63838150353894</v>
      </c>
      <c r="K23" s="451">
        <v>254.78435395428193</v>
      </c>
      <c r="L23" s="451">
        <v>149.37888608548462</v>
      </c>
      <c r="M23" s="451">
        <v>260.7926963279553</v>
      </c>
      <c r="N23" s="451">
        <v>280.01598924901845</v>
      </c>
      <c r="O23" s="451">
        <v>210.49993680164712</v>
      </c>
      <c r="P23" s="451">
        <v>330.24841606779336</v>
      </c>
      <c r="Q23" s="451">
        <v>267.54035877854693</v>
      </c>
      <c r="R23" s="451">
        <v>254.33925649942262</v>
      </c>
      <c r="S23" s="451">
        <v>270.50679245382258</v>
      </c>
      <c r="T23" s="451">
        <v>204.90998797589981</v>
      </c>
      <c r="U23" s="451">
        <v>245.6860636048487</v>
      </c>
      <c r="V23" s="451">
        <v>-426.52973503199865</v>
      </c>
      <c r="W23" s="451">
        <v>283.21620078505737</v>
      </c>
      <c r="X23" s="451">
        <v>226.4629796488145</v>
      </c>
      <c r="Y23" s="451">
        <v>344.85488325107798</v>
      </c>
      <c r="Z23" s="451">
        <v>164.99083117818026</v>
      </c>
      <c r="AA23" s="451">
        <v>355.89866548595563</v>
      </c>
      <c r="AB23" s="451">
        <v>281.38801883253853</v>
      </c>
      <c r="AC23" s="451">
        <v>353.0354162861351</v>
      </c>
      <c r="AD23" s="451">
        <v>242.75580925109915</v>
      </c>
      <c r="AE23" s="451">
        <v>279.37018491618909</v>
      </c>
      <c r="AG23" s="451">
        <f t="shared" si="0"/>
        <v>227.36958000345234</v>
      </c>
      <c r="AI23" s="451"/>
    </row>
    <row r="24" spans="2:35" ht="17.25" x14ac:dyDescent="0.4">
      <c r="B24" s="593" t="s">
        <v>34</v>
      </c>
      <c r="C24" s="594"/>
      <c r="D24" s="423">
        <f>'Earnings Model'!L32</f>
        <v>49.7</v>
      </c>
      <c r="F24" s="453">
        <v>80.25887293562964</v>
      </c>
      <c r="G24" s="453">
        <v>88.532019280168285</v>
      </c>
      <c r="H24" s="453">
        <v>60.926151184097677</v>
      </c>
      <c r="I24" s="453">
        <v>-12.260866853782268</v>
      </c>
      <c r="J24" s="453">
        <v>51.909595375884734</v>
      </c>
      <c r="K24" s="453">
        <v>63.696088488570481</v>
      </c>
      <c r="L24" s="453">
        <v>33.61024936923404</v>
      </c>
      <c r="M24" s="453">
        <v>65.198174081988824</v>
      </c>
      <c r="N24" s="453">
        <v>70.003997312254612</v>
      </c>
      <c r="O24" s="453">
        <v>52.624984200411781</v>
      </c>
      <c r="P24" s="453">
        <v>82.562104016948339</v>
      </c>
      <c r="Q24" s="453">
        <v>66.885089694636733</v>
      </c>
      <c r="R24" s="453">
        <v>63.584814124855654</v>
      </c>
      <c r="S24" s="453">
        <v>67.626698113455646</v>
      </c>
      <c r="T24" s="453">
        <v>51.227496993974952</v>
      </c>
      <c r="U24" s="453">
        <v>63.878376537260664</v>
      </c>
      <c r="V24" s="453">
        <v>-106.63243375799966</v>
      </c>
      <c r="W24" s="453">
        <v>70.804050196264342</v>
      </c>
      <c r="X24" s="453">
        <v>56.615744912203624</v>
      </c>
      <c r="Y24" s="453">
        <v>86.213720812769495</v>
      </c>
      <c r="Z24" s="453">
        <v>41.247707794545065</v>
      </c>
      <c r="AA24" s="453">
        <v>78.297706406910237</v>
      </c>
      <c r="AB24" s="453">
        <v>75.974765084785403</v>
      </c>
      <c r="AC24" s="453">
        <v>88.258854071533776</v>
      </c>
      <c r="AD24" s="453">
        <v>60.688952312774788</v>
      </c>
      <c r="AE24" s="453">
        <v>69.842546229047272</v>
      </c>
      <c r="AG24" s="453">
        <f t="shared" si="0"/>
        <v>56.599056112247062</v>
      </c>
      <c r="AI24" s="453"/>
    </row>
    <row r="25" spans="2:35" x14ac:dyDescent="0.25">
      <c r="B25" s="591" t="s">
        <v>148</v>
      </c>
      <c r="C25" s="592"/>
      <c r="D25" s="427">
        <f>'Earnings Model'!L33</f>
        <v>392.70000000000044</v>
      </c>
      <c r="F25" s="451">
        <v>240.77661880688891</v>
      </c>
      <c r="G25" s="451">
        <v>265.59605784050484</v>
      </c>
      <c r="H25" s="451">
        <v>182.77845355229303</v>
      </c>
      <c r="I25" s="451">
        <v>-36.782600561346804</v>
      </c>
      <c r="J25" s="451">
        <v>155.72878612765419</v>
      </c>
      <c r="K25" s="451">
        <v>191.08826546571146</v>
      </c>
      <c r="L25" s="451">
        <v>115.76863671625058</v>
      </c>
      <c r="M25" s="451">
        <v>195.59452224596646</v>
      </c>
      <c r="N25" s="451">
        <v>210.01199193676382</v>
      </c>
      <c r="O25" s="451">
        <v>157.87495260123535</v>
      </c>
      <c r="P25" s="451">
        <v>247.686312050845</v>
      </c>
      <c r="Q25" s="451">
        <v>200.65526908391018</v>
      </c>
      <c r="R25" s="451">
        <v>190.75444237456696</v>
      </c>
      <c r="S25" s="451">
        <v>202.88009434036695</v>
      </c>
      <c r="T25" s="451">
        <v>153.68249098192484</v>
      </c>
      <c r="U25" s="451">
        <v>181.80768706758803</v>
      </c>
      <c r="V25" s="451">
        <v>-319.89730127399901</v>
      </c>
      <c r="W25" s="451">
        <v>212.41215058879303</v>
      </c>
      <c r="X25" s="451">
        <v>169.84723473661086</v>
      </c>
      <c r="Y25" s="451">
        <v>258.64116243830847</v>
      </c>
      <c r="Z25" s="451">
        <v>123.74312338363519</v>
      </c>
      <c r="AA25" s="451">
        <v>277.60095907904542</v>
      </c>
      <c r="AB25" s="451">
        <v>205.41325374775312</v>
      </c>
      <c r="AC25" s="451">
        <v>264.77656221460131</v>
      </c>
      <c r="AD25" s="451">
        <v>182.06685693832435</v>
      </c>
      <c r="AE25" s="451">
        <v>209.5276386871418</v>
      </c>
      <c r="AG25" s="451">
        <f t="shared" si="0"/>
        <v>170.77052389120536</v>
      </c>
      <c r="AI25" s="451"/>
    </row>
    <row r="26" spans="2:35" ht="17.25" x14ac:dyDescent="0.4">
      <c r="B26" s="404" t="s">
        <v>149</v>
      </c>
      <c r="C26" s="395"/>
      <c r="D26" s="425">
        <f>'Earnings Model'!L34</f>
        <v>0.1</v>
      </c>
      <c r="F26" s="453">
        <v>-1.0249999999999999</v>
      </c>
      <c r="G26" s="453">
        <v>-1.0249999999999999</v>
      </c>
      <c r="H26" s="453">
        <v>-1.0249999999999999</v>
      </c>
      <c r="I26" s="453">
        <v>-1.0249999999999999</v>
      </c>
      <c r="J26" s="453">
        <v>-1.0249999999999999</v>
      </c>
      <c r="K26" s="453">
        <v>-1.0249999999999999</v>
      </c>
      <c r="L26" s="453">
        <v>0.3</v>
      </c>
      <c r="M26" s="453">
        <v>-1.0249999999999999</v>
      </c>
      <c r="N26" s="453">
        <v>-1.0249999999999999</v>
      </c>
      <c r="O26" s="453">
        <v>-1.0249999999999999</v>
      </c>
      <c r="P26" s="453">
        <v>-1.0249999999999999</v>
      </c>
      <c r="Q26" s="453">
        <v>-1.0249999999999999</v>
      </c>
      <c r="R26" s="453">
        <v>-1.0249999999999999</v>
      </c>
      <c r="S26" s="453">
        <v>-1.0249999999999999</v>
      </c>
      <c r="T26" s="453">
        <v>-1.0249999999999999</v>
      </c>
      <c r="U26" s="453">
        <v>-1.0249999999999999</v>
      </c>
      <c r="V26" s="453">
        <v>-1.0249999999999999</v>
      </c>
      <c r="W26" s="453">
        <v>-1.0249999999999999</v>
      </c>
      <c r="X26" s="453">
        <v>-1.0249999999999999</v>
      </c>
      <c r="Y26" s="453">
        <v>-1.0249999999999999</v>
      </c>
      <c r="Z26" s="453">
        <v>-1.0249999999999999</v>
      </c>
      <c r="AA26" s="453">
        <v>-1.0249999999999999</v>
      </c>
      <c r="AB26" s="453">
        <v>-1.0249999999999999</v>
      </c>
      <c r="AC26" s="453">
        <v>-1.0249999999999999</v>
      </c>
      <c r="AD26" s="453">
        <v>-1.0249999999999999</v>
      </c>
      <c r="AE26" s="453">
        <v>-1.0249999999999999</v>
      </c>
      <c r="AG26" s="453">
        <f t="shared" si="0"/>
        <v>-0.97403846153846108</v>
      </c>
      <c r="AI26" s="453"/>
    </row>
    <row r="27" spans="2:35" x14ac:dyDescent="0.25">
      <c r="B27" s="403" t="s">
        <v>107</v>
      </c>
      <c r="C27" s="402"/>
      <c r="D27" s="427">
        <f>'Earnings Model'!L35</f>
        <v>392.60000000000042</v>
      </c>
      <c r="F27" s="451">
        <v>241.80161880688891</v>
      </c>
      <c r="G27" s="451">
        <v>266.62105784050482</v>
      </c>
      <c r="H27" s="451">
        <v>183.80345355229304</v>
      </c>
      <c r="I27" s="451">
        <v>-35.757600561346806</v>
      </c>
      <c r="J27" s="451">
        <v>156.75378612765419</v>
      </c>
      <c r="K27" s="451">
        <v>192.11326546571146</v>
      </c>
      <c r="L27" s="451">
        <v>115.46863671625059</v>
      </c>
      <c r="M27" s="451">
        <v>196.61952224596646</v>
      </c>
      <c r="N27" s="451">
        <v>211.03699193676383</v>
      </c>
      <c r="O27" s="451">
        <v>158.89995260123536</v>
      </c>
      <c r="P27" s="451">
        <v>248.71131205084501</v>
      </c>
      <c r="Q27" s="451">
        <v>201.68026908391019</v>
      </c>
      <c r="R27" s="451">
        <v>191.77944237456697</v>
      </c>
      <c r="S27" s="451">
        <v>203.90509434036696</v>
      </c>
      <c r="T27" s="451">
        <v>154.70749098192485</v>
      </c>
      <c r="U27" s="451">
        <v>182.83268706758804</v>
      </c>
      <c r="V27" s="451">
        <v>-318.87230127399903</v>
      </c>
      <c r="W27" s="451">
        <v>213.43715058879303</v>
      </c>
      <c r="X27" s="451">
        <v>170.87223473661086</v>
      </c>
      <c r="Y27" s="451">
        <v>259.66616243830845</v>
      </c>
      <c r="Z27" s="451">
        <v>124.7681233836352</v>
      </c>
      <c r="AA27" s="451">
        <v>278.6259590790454</v>
      </c>
      <c r="AB27" s="451">
        <v>206.43825374775312</v>
      </c>
      <c r="AC27" s="451">
        <v>265.80156221460129</v>
      </c>
      <c r="AD27" s="451">
        <v>183.09185693832436</v>
      </c>
      <c r="AE27" s="451">
        <v>210.55263868714181</v>
      </c>
      <c r="AG27" s="451">
        <f t="shared" si="0"/>
        <v>171.74456235274377</v>
      </c>
      <c r="AI27" s="451"/>
    </row>
    <row r="28" spans="2:35" ht="17.25" x14ac:dyDescent="0.4">
      <c r="B28" s="222" t="s">
        <v>196</v>
      </c>
      <c r="C28" s="219"/>
      <c r="D28" s="433">
        <f>'Earnings Model'!L36</f>
        <v>-50.810000000000372</v>
      </c>
      <c r="F28" s="458">
        <v>-46.76</v>
      </c>
      <c r="G28" s="458">
        <v>-46.76</v>
      </c>
      <c r="H28" s="458">
        <v>-37.4</v>
      </c>
      <c r="I28" s="458">
        <v>-46.76</v>
      </c>
      <c r="J28" s="458">
        <v>-47</v>
      </c>
      <c r="K28" s="458">
        <v>-47</v>
      </c>
      <c r="L28" s="458">
        <v>-34.932877010284066</v>
      </c>
      <c r="M28" s="458">
        <v>-46.76</v>
      </c>
      <c r="N28" s="458">
        <v>-46.76</v>
      </c>
      <c r="O28" s="458">
        <v>-47</v>
      </c>
      <c r="P28" s="458">
        <v>-46.76</v>
      </c>
      <c r="Q28" s="458">
        <v>-47</v>
      </c>
      <c r="R28" s="458">
        <v>-47</v>
      </c>
      <c r="S28" s="458">
        <v>-47</v>
      </c>
      <c r="T28" s="458">
        <v>-47</v>
      </c>
      <c r="U28" s="458">
        <v>-47</v>
      </c>
      <c r="V28" s="458">
        <v>-46.76</v>
      </c>
      <c r="W28" s="458">
        <v>-47</v>
      </c>
      <c r="X28" s="458">
        <v>-46.76</v>
      </c>
      <c r="Y28" s="458">
        <v>-46.76</v>
      </c>
      <c r="Z28" s="458">
        <v>-46.76</v>
      </c>
      <c r="AA28" s="458">
        <v>-47</v>
      </c>
      <c r="AB28" s="458">
        <v>-46.76</v>
      </c>
      <c r="AC28" s="458">
        <v>-46.76</v>
      </c>
      <c r="AD28" s="458">
        <v>-46.76</v>
      </c>
      <c r="AE28" s="458">
        <v>-46.76</v>
      </c>
      <c r="AG28" s="458">
        <f t="shared" si="0"/>
        <v>-46.037418346549387</v>
      </c>
      <c r="AI28" s="458"/>
    </row>
    <row r="29" spans="2:35" x14ac:dyDescent="0.25">
      <c r="B29" s="220" t="s">
        <v>197</v>
      </c>
      <c r="C29" s="221"/>
      <c r="D29" s="432">
        <f>'Earnings Model'!L37</f>
        <v>601.29</v>
      </c>
      <c r="F29" s="457">
        <v>382.08161880688903</v>
      </c>
      <c r="G29" s="457">
        <v>406.90105784050496</v>
      </c>
      <c r="H29" s="457">
        <v>333.40345355229306</v>
      </c>
      <c r="I29" s="457">
        <v>104.5223994386532</v>
      </c>
      <c r="J29" s="457">
        <v>296.75378612765422</v>
      </c>
      <c r="K29" s="457">
        <v>331.70326546571152</v>
      </c>
      <c r="L29" s="457">
        <v>267.53575970596648</v>
      </c>
      <c r="M29" s="457">
        <v>336.89952224596658</v>
      </c>
      <c r="N29" s="457">
        <v>351.31699193676394</v>
      </c>
      <c r="O29" s="457">
        <v>298.93995260123546</v>
      </c>
      <c r="P29" s="457">
        <v>388.99131205084512</v>
      </c>
      <c r="Q29" s="457">
        <v>341.7202690839103</v>
      </c>
      <c r="R29" s="457">
        <v>331.77944237456694</v>
      </c>
      <c r="S29" s="457">
        <v>343.94509434036706</v>
      </c>
      <c r="T29" s="457">
        <v>294.74749098192495</v>
      </c>
      <c r="U29" s="457">
        <v>322.87268706758812</v>
      </c>
      <c r="V29" s="457">
        <v>-178.59230127399897</v>
      </c>
      <c r="W29" s="457">
        <v>353.43715058879309</v>
      </c>
      <c r="X29" s="457">
        <v>311.15223473661098</v>
      </c>
      <c r="Y29" s="457">
        <v>399.94616243830859</v>
      </c>
      <c r="Z29" s="457">
        <v>265.04812338363519</v>
      </c>
      <c r="AA29" s="457">
        <v>418.66595907904548</v>
      </c>
      <c r="AB29" s="457">
        <v>346.71825374775324</v>
      </c>
      <c r="AC29" s="457">
        <v>406.08156221460143</v>
      </c>
      <c r="AD29" s="457">
        <v>323.37185693832447</v>
      </c>
      <c r="AE29" s="457">
        <v>350.83263868714192</v>
      </c>
      <c r="AG29" s="457">
        <f t="shared" si="0"/>
        <v>312.72214400619447</v>
      </c>
      <c r="AI29" s="457">
        <v>359.8</v>
      </c>
    </row>
    <row r="30" spans="2:35" x14ac:dyDescent="0.25">
      <c r="B30" s="595" t="s">
        <v>0</v>
      </c>
      <c r="C30" s="596"/>
      <c r="D30" s="106">
        <f>'Earnings Model'!L38</f>
        <v>1167.3874645009873</v>
      </c>
      <c r="F30" s="449">
        <v>1167.5263533898762</v>
      </c>
      <c r="G30" s="449">
        <v>1167.3874645009873</v>
      </c>
      <c r="H30" s="449">
        <v>1167.3874645009873</v>
      </c>
      <c r="I30" s="449">
        <v>1167.3874645009873</v>
      </c>
      <c r="J30" s="449">
        <v>1167.3874645009873</v>
      </c>
      <c r="K30" s="449">
        <v>1167.5263533898762</v>
      </c>
      <c r="L30" s="449">
        <v>1167.3874645009873</v>
      </c>
      <c r="M30" s="449">
        <v>1167.3874645009873</v>
      </c>
      <c r="N30" s="449">
        <v>1167.5263533898762</v>
      </c>
      <c r="O30" s="449">
        <v>1167.3874645009873</v>
      </c>
      <c r="P30" s="449">
        <v>1167.3874645009873</v>
      </c>
      <c r="Q30" s="449">
        <v>1167.3874645009873</v>
      </c>
      <c r="R30" s="449">
        <v>1168.1513533898762</v>
      </c>
      <c r="S30" s="449">
        <v>1167.3874645009873</v>
      </c>
      <c r="T30" s="449">
        <v>1167.3874645009873</v>
      </c>
      <c r="U30" s="449">
        <v>1167.494302107825</v>
      </c>
      <c r="V30" s="449">
        <v>1167.5263533898762</v>
      </c>
      <c r="W30" s="449">
        <v>1167.3874645009873</v>
      </c>
      <c r="X30" s="449">
        <v>1167.6527578842583</v>
      </c>
      <c r="Y30" s="449">
        <v>1167.5263533898762</v>
      </c>
      <c r="Z30" s="449">
        <v>1167.3874645009873</v>
      </c>
      <c r="AA30" s="449">
        <v>1167.3874645009873</v>
      </c>
      <c r="AB30" s="449">
        <v>1166.1096867232095</v>
      </c>
      <c r="AC30" s="449">
        <v>1165.2469416251704</v>
      </c>
      <c r="AD30" s="449">
        <v>1167.5263533898762</v>
      </c>
      <c r="AE30" s="449">
        <v>1167.3874645009873</v>
      </c>
      <c r="AG30" s="449">
        <f t="shared" si="0"/>
        <v>1167.3317357532464</v>
      </c>
      <c r="AI30" s="449"/>
    </row>
    <row r="31" spans="2:35" x14ac:dyDescent="0.25">
      <c r="B31" s="595" t="s">
        <v>1</v>
      </c>
      <c r="C31" s="596"/>
      <c r="D31" s="106">
        <f>'Earnings Model'!L39</f>
        <v>1179</v>
      </c>
      <c r="F31" s="449">
        <v>1164.5681225650246</v>
      </c>
      <c r="G31" s="449">
        <v>1164.4292336761357</v>
      </c>
      <c r="H31" s="449">
        <v>1164.4292336761357</v>
      </c>
      <c r="I31" s="449">
        <v>1164.4292336761357</v>
      </c>
      <c r="J31" s="449">
        <v>1164.4292336761357</v>
      </c>
      <c r="K31" s="449">
        <v>1164.5681225650246</v>
      </c>
      <c r="L31" s="449">
        <v>1164.4292336761357</v>
      </c>
      <c r="M31" s="449">
        <v>1164.4292336761357</v>
      </c>
      <c r="N31" s="449">
        <v>1164.5681225650246</v>
      </c>
      <c r="O31" s="449">
        <v>1164.4292336761357</v>
      </c>
      <c r="P31" s="449">
        <v>1164.4292336761357</v>
      </c>
      <c r="Q31" s="449">
        <v>1164.4292336761357</v>
      </c>
      <c r="R31" s="449">
        <v>1165.1931225650246</v>
      </c>
      <c r="S31" s="449">
        <v>1164.4292336761357</v>
      </c>
      <c r="T31" s="449">
        <v>1164.4292336761357</v>
      </c>
      <c r="U31" s="449">
        <v>1164.5360712829734</v>
      </c>
      <c r="V31" s="449">
        <v>1164.5681225650246</v>
      </c>
      <c r="W31" s="449">
        <v>1164.4292336761357</v>
      </c>
      <c r="X31" s="449">
        <v>1164.6945270594067</v>
      </c>
      <c r="Y31" s="449">
        <v>1164.5681225650246</v>
      </c>
      <c r="Z31" s="449">
        <v>1165.8181225650246</v>
      </c>
      <c r="AA31" s="449">
        <v>1164.4292336761357</v>
      </c>
      <c r="AB31" s="449">
        <v>1163.1514558983579</v>
      </c>
      <c r="AC31" s="449">
        <v>1162.2887108003188</v>
      </c>
      <c r="AD31" s="449">
        <v>1164.5681225650246</v>
      </c>
      <c r="AE31" s="449">
        <v>1164.4292336761357</v>
      </c>
      <c r="AG31" s="449">
        <f t="shared" si="0"/>
        <v>1164.426923731814</v>
      </c>
      <c r="AI31" s="449"/>
    </row>
    <row r="32" spans="2:35" x14ac:dyDescent="0.25">
      <c r="B32" s="585" t="s">
        <v>44</v>
      </c>
      <c r="C32" s="586"/>
      <c r="D32" s="428">
        <f>'Earnings Model'!L40</f>
        <v>0.3363065065700544</v>
      </c>
      <c r="F32" s="454">
        <v>0.20710591936946474</v>
      </c>
      <c r="G32" s="454">
        <v>0.22839122908902823</v>
      </c>
      <c r="H32" s="454">
        <v>0.15744854141539188</v>
      </c>
      <c r="I32" s="454">
        <v>-3.0630447600901545E-2</v>
      </c>
      <c r="J32" s="454">
        <v>0.13427742792720523</v>
      </c>
      <c r="K32" s="454">
        <v>0.16454726260175337</v>
      </c>
      <c r="L32" s="454">
        <v>9.8912006705167879E-2</v>
      </c>
      <c r="M32" s="454">
        <v>0.16842696039229241</v>
      </c>
      <c r="N32" s="454">
        <v>0.18075565602782714</v>
      </c>
      <c r="O32" s="454">
        <v>0.13611586335575301</v>
      </c>
      <c r="P32" s="454">
        <v>0.21304949694415248</v>
      </c>
      <c r="Q32" s="454">
        <v>0.17276206505277206</v>
      </c>
      <c r="R32" s="454">
        <v>0.1641734539090669</v>
      </c>
      <c r="S32" s="454">
        <v>0.17466788066593505</v>
      </c>
      <c r="T32" s="454">
        <v>0.13252454363817953</v>
      </c>
      <c r="U32" s="454">
        <v>0.15660263757818527</v>
      </c>
      <c r="V32" s="454">
        <v>-0.27311786183512116</v>
      </c>
      <c r="W32" s="454">
        <v>0.18283316985935694</v>
      </c>
      <c r="X32" s="454">
        <v>0.146338227339286</v>
      </c>
      <c r="Y32" s="454">
        <v>0.22240711028438534</v>
      </c>
      <c r="Z32" s="454">
        <v>0.10687807362825222</v>
      </c>
      <c r="AA32" s="454">
        <v>0.23867479097708758</v>
      </c>
      <c r="AB32" s="454">
        <v>0.1770315915373695</v>
      </c>
      <c r="AC32" s="454">
        <v>0.22810749611913828</v>
      </c>
      <c r="AD32" s="454">
        <v>0.15682032050644756</v>
      </c>
      <c r="AE32" s="454">
        <v>0.1803622576820669</v>
      </c>
      <c r="AG32" s="454">
        <f t="shared" si="0"/>
        <v>0.14713329512190551</v>
      </c>
      <c r="AI32" s="454"/>
    </row>
    <row r="33" spans="2:35" x14ac:dyDescent="0.25">
      <c r="B33" s="585" t="s">
        <v>45</v>
      </c>
      <c r="C33" s="586"/>
      <c r="D33" s="429">
        <f>'Earnings Model'!L41</f>
        <v>0.3329940627650555</v>
      </c>
      <c r="F33" s="454">
        <v>0.20763200891529446</v>
      </c>
      <c r="G33" s="454">
        <v>0.22897145668421143</v>
      </c>
      <c r="H33" s="454">
        <v>0.15784853921265818</v>
      </c>
      <c r="I33" s="454">
        <v>-3.0708264209804367E-2</v>
      </c>
      <c r="J33" s="454">
        <v>0.13461855954335508</v>
      </c>
      <c r="K33" s="454">
        <v>0.16496524483477321</v>
      </c>
      <c r="L33" s="454">
        <v>9.9163292518612625E-2</v>
      </c>
      <c r="M33" s="454">
        <v>0.16885484884747623</v>
      </c>
      <c r="N33" s="454">
        <v>0.18121481075056681</v>
      </c>
      <c r="O33" s="454">
        <v>0.13646166551451458</v>
      </c>
      <c r="P33" s="454">
        <v>0.21359074889047266</v>
      </c>
      <c r="Q33" s="454">
        <v>0.17320096683522787</v>
      </c>
      <c r="R33" s="454">
        <v>0.16459026290198905</v>
      </c>
      <c r="S33" s="454">
        <v>0.17511162417026654</v>
      </c>
      <c r="T33" s="454">
        <v>0.13286122205426684</v>
      </c>
      <c r="U33" s="454">
        <v>0.15700044985825184</v>
      </c>
      <c r="V33" s="454">
        <v>-0.27381163462697694</v>
      </c>
      <c r="W33" s="454">
        <v>0.18329765726936104</v>
      </c>
      <c r="X33" s="454">
        <v>0.14670991471731654</v>
      </c>
      <c r="Y33" s="454">
        <v>0.22297206784810458</v>
      </c>
      <c r="Z33" s="454">
        <v>0.10702194533493893</v>
      </c>
      <c r="AA33" s="454">
        <v>0.23928114394673469</v>
      </c>
      <c r="AB33" s="454">
        <v>0.17748183411618645</v>
      </c>
      <c r="AC33" s="454">
        <v>0.22868807013670289</v>
      </c>
      <c r="AD33" s="454">
        <v>0.15721867479512885</v>
      </c>
      <c r="AE33" s="454">
        <v>0.18082046774317168</v>
      </c>
      <c r="AG33" s="454">
        <f t="shared" si="0"/>
        <v>0.14750221456164619</v>
      </c>
      <c r="AI33" s="454"/>
    </row>
    <row r="34" spans="2:35" x14ac:dyDescent="0.25">
      <c r="B34" s="228" t="s">
        <v>198</v>
      </c>
      <c r="C34" s="255"/>
      <c r="D34" s="434">
        <f>'Earnings Model'!L42</f>
        <v>0.51</v>
      </c>
      <c r="F34" s="452">
        <v>0.32808868060490398</v>
      </c>
      <c r="G34" s="452">
        <v>0.34944249600802868</v>
      </c>
      <c r="H34" s="452">
        <v>0.28632349988305345</v>
      </c>
      <c r="I34" s="452">
        <v>8.9762775114012774E-2</v>
      </c>
      <c r="J34" s="452">
        <v>0.25484913771083728</v>
      </c>
      <c r="K34" s="452">
        <v>0.28482942220255614</v>
      </c>
      <c r="L34" s="452">
        <v>0.22975699335660665</v>
      </c>
      <c r="M34" s="452">
        <v>0.28932588817129345</v>
      </c>
      <c r="N34" s="452">
        <v>0.30167148244017633</v>
      </c>
      <c r="O34" s="452">
        <v>0.25672659527575897</v>
      </c>
      <c r="P34" s="452">
        <v>0.33406178821428989</v>
      </c>
      <c r="Q34" s="452">
        <v>0.29346589659647226</v>
      </c>
      <c r="R34" s="452">
        <v>0.28474201911198777</v>
      </c>
      <c r="S34" s="452">
        <v>0.29537655393151097</v>
      </c>
      <c r="T34" s="452">
        <v>0.25312615181551124</v>
      </c>
      <c r="U34" s="452">
        <v>0.27725434619803419</v>
      </c>
      <c r="V34" s="452">
        <v>-0.15335496293736747</v>
      </c>
      <c r="W34" s="452">
        <v>0.30352823543684326</v>
      </c>
      <c r="X34" s="452">
        <v>0.26715351322393588</v>
      </c>
      <c r="Y34" s="452">
        <v>0.34342873953771413</v>
      </c>
      <c r="Z34" s="452">
        <v>0.22734946236766179</v>
      </c>
      <c r="AA34" s="452">
        <v>0.35954607370797909</v>
      </c>
      <c r="AB34" s="452">
        <v>0.29808521666678911</v>
      </c>
      <c r="AC34" s="452">
        <v>0.34938097431488024</v>
      </c>
      <c r="AD34" s="452">
        <v>0.27767534648473835</v>
      </c>
      <c r="AE34" s="452">
        <v>0.30129150706698893</v>
      </c>
      <c r="AG34" s="452">
        <f t="shared" si="0"/>
        <v>0.26857260894250756</v>
      </c>
      <c r="AI34" s="452">
        <v>0.31</v>
      </c>
    </row>
    <row r="35" spans="2:35" x14ac:dyDescent="0.25">
      <c r="B35" s="351" t="s">
        <v>150</v>
      </c>
      <c r="C35" s="352"/>
      <c r="D35" s="430">
        <f>'Earnings Model'!L43</f>
        <v>0.45100000000000001</v>
      </c>
      <c r="F35" s="417">
        <v>0.45100000000000001</v>
      </c>
      <c r="G35" s="417">
        <v>0.45100000000000001</v>
      </c>
      <c r="H35" s="417">
        <v>0.43049999999999999</v>
      </c>
      <c r="I35" s="417">
        <v>0.45100000000000001</v>
      </c>
      <c r="J35" s="417">
        <v>0.43869999999999998</v>
      </c>
      <c r="K35" s="417">
        <v>0.45100000000000001</v>
      </c>
      <c r="L35" s="417">
        <v>0.45100000000000001</v>
      </c>
      <c r="M35" s="417">
        <v>0.45100000000000001</v>
      </c>
      <c r="N35" s="417">
        <v>0.45100000000000001</v>
      </c>
      <c r="O35" s="417">
        <v>0.43869999999999998</v>
      </c>
      <c r="P35" s="417">
        <v>0.45100000000000001</v>
      </c>
      <c r="Q35" s="417">
        <v>0.43869999999999998</v>
      </c>
      <c r="R35" s="417">
        <v>0.45100000000000001</v>
      </c>
      <c r="S35" s="417">
        <v>0.45100000000000001</v>
      </c>
      <c r="T35" s="417">
        <v>0.43869999999999998</v>
      </c>
      <c r="U35" s="417">
        <v>0.43869999999999998</v>
      </c>
      <c r="V35" s="417">
        <v>0.45100000000000001</v>
      </c>
      <c r="W35" s="417">
        <v>0.45100000000000001</v>
      </c>
      <c r="X35" s="417">
        <v>0.41</v>
      </c>
      <c r="Y35" s="417">
        <v>0.45100000000000001</v>
      </c>
      <c r="Z35" s="417">
        <v>0.45100000000000001</v>
      </c>
      <c r="AA35" s="417">
        <v>0.43869999999999998</v>
      </c>
      <c r="AB35" s="417">
        <v>0.43869999999999998</v>
      </c>
      <c r="AC35" s="417">
        <v>0.45100000000000001</v>
      </c>
      <c r="AD35" s="417">
        <v>0.45100000000000001</v>
      </c>
      <c r="AE35" s="417">
        <v>0.45100000000000001</v>
      </c>
      <c r="AG35" s="417">
        <f t="shared" si="0"/>
        <v>0.44532307692307699</v>
      </c>
      <c r="AI35" s="417"/>
    </row>
    <row r="37" spans="2:35" x14ac:dyDescent="0.25">
      <c r="C37" s="446"/>
      <c r="D37" s="445" t="s">
        <v>324</v>
      </c>
      <c r="E37" s="448"/>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5"/>
      <c r="AE37" s="435"/>
      <c r="AG37" s="435"/>
      <c r="AI37" s="435"/>
    </row>
    <row r="38" spans="2:35" x14ac:dyDescent="0.25">
      <c r="C38" s="444"/>
      <c r="D38" s="442" t="s">
        <v>325</v>
      </c>
      <c r="E38" s="448"/>
      <c r="F38" s="449">
        <f>ABS($D8-F8)</f>
        <v>174.69500000000062</v>
      </c>
      <c r="G38" s="449">
        <f t="shared" ref="G38:AE38" si="1">ABS($D8-G8)</f>
        <v>193.4947000000011</v>
      </c>
      <c r="H38" s="449">
        <f t="shared" si="1"/>
        <v>351.64367998534362</v>
      </c>
      <c r="I38" s="449">
        <f t="shared" si="1"/>
        <v>226.35866318638182</v>
      </c>
      <c r="J38" s="449">
        <f t="shared" si="1"/>
        <v>96.779225130710074</v>
      </c>
      <c r="K38" s="449">
        <f t="shared" si="1"/>
        <v>167.42901331867688</v>
      </c>
      <c r="L38" s="449">
        <f t="shared" si="1"/>
        <v>428.49092583907168</v>
      </c>
      <c r="M38" s="449">
        <f t="shared" si="1"/>
        <v>200.10000000000127</v>
      </c>
      <c r="N38" s="449">
        <f t="shared" si="1"/>
        <v>76.256392163170858</v>
      </c>
      <c r="O38" s="449">
        <f t="shared" si="1"/>
        <v>342.34151541449864</v>
      </c>
      <c r="P38" s="449">
        <f t="shared" si="1"/>
        <v>102.31906671703018</v>
      </c>
      <c r="Q38" s="449">
        <f t="shared" si="1"/>
        <v>60.726587279886189</v>
      </c>
      <c r="R38" s="449">
        <f t="shared" si="1"/>
        <v>142.36484839939112</v>
      </c>
      <c r="S38" s="449">
        <f t="shared" si="1"/>
        <v>60.01825394655225</v>
      </c>
      <c r="T38" s="449">
        <f t="shared" si="1"/>
        <v>89.107513318676865</v>
      </c>
      <c r="U38" s="449">
        <f t="shared" si="1"/>
        <v>181.90836750792369</v>
      </c>
      <c r="V38" s="449">
        <f t="shared" si="1"/>
        <v>201.98750000000109</v>
      </c>
      <c r="W38" s="449">
        <f t="shared" si="1"/>
        <v>152.80474282704836</v>
      </c>
      <c r="X38" s="449">
        <f t="shared" si="1"/>
        <v>424.68359312512621</v>
      </c>
      <c r="Y38" s="449">
        <f t="shared" si="1"/>
        <v>30.101384872100425</v>
      </c>
      <c r="Z38" s="449">
        <f t="shared" si="1"/>
        <v>194.87438155156087</v>
      </c>
      <c r="AA38" s="449">
        <f t="shared" si="1"/>
        <v>3.6861838927925419</v>
      </c>
      <c r="AB38" s="449">
        <f t="shared" si="1"/>
        <v>165.50638450630413</v>
      </c>
      <c r="AC38" s="449">
        <f t="shared" si="1"/>
        <v>435.12720526060093</v>
      </c>
      <c r="AD38" s="449">
        <f t="shared" si="1"/>
        <v>303.01080534984794</v>
      </c>
      <c r="AE38" s="449">
        <f t="shared" si="1"/>
        <v>81.535761603418905</v>
      </c>
      <c r="AF38" s="463"/>
      <c r="AG38" s="449">
        <f t="shared" ref="AG38" si="2">ABS($D8-AG8)</f>
        <v>121.54290126910564</v>
      </c>
      <c r="AH38" s="463"/>
      <c r="AI38" s="449">
        <f t="shared" ref="AI38" si="3">ABS($D8-AI8)</f>
        <v>148.30000000000018</v>
      </c>
    </row>
    <row r="39" spans="2:35" x14ac:dyDescent="0.25">
      <c r="C39" s="437"/>
      <c r="D39" s="441" t="s">
        <v>331</v>
      </c>
      <c r="E39" s="448"/>
      <c r="F39" s="449">
        <f>ABS($D19-F19)</f>
        <v>187.72667072333093</v>
      </c>
      <c r="G39" s="449">
        <f t="shared" ref="G39:AE39" si="4">ABS($D19-G19)</f>
        <v>154.63408534517635</v>
      </c>
      <c r="H39" s="449">
        <f t="shared" si="4"/>
        <v>265.09755772945891</v>
      </c>
      <c r="I39" s="449">
        <f t="shared" si="4"/>
        <v>557.80562988097859</v>
      </c>
      <c r="J39" s="449">
        <f t="shared" si="4"/>
        <v>301.16378096231063</v>
      </c>
      <c r="K39" s="449">
        <f t="shared" si="4"/>
        <v>257.29590885980997</v>
      </c>
      <c r="L39" s="449">
        <f t="shared" si="4"/>
        <v>359.42327638036494</v>
      </c>
      <c r="M39" s="449">
        <f t="shared" si="4"/>
        <v>247.96946613789419</v>
      </c>
      <c r="N39" s="449">
        <f t="shared" si="4"/>
        <v>228.74617321683104</v>
      </c>
      <c r="O39" s="449">
        <f t="shared" si="4"/>
        <v>298.30646319835319</v>
      </c>
      <c r="P39" s="449">
        <f t="shared" si="4"/>
        <v>178.51374639805613</v>
      </c>
      <c r="Q39" s="449">
        <f t="shared" si="4"/>
        <v>241.22180368730255</v>
      </c>
      <c r="R39" s="449">
        <f t="shared" si="4"/>
        <v>260.12798002794523</v>
      </c>
      <c r="S39" s="449">
        <f t="shared" si="4"/>
        <v>241.12347036026927</v>
      </c>
      <c r="T39" s="449">
        <f t="shared" si="4"/>
        <v>303.85217448994968</v>
      </c>
      <c r="U39" s="449">
        <f t="shared" si="4"/>
        <v>265.94419920924315</v>
      </c>
      <c r="V39" s="449">
        <f t="shared" si="4"/>
        <v>935.29189749784814</v>
      </c>
      <c r="W39" s="449">
        <f t="shared" si="4"/>
        <v>222.76216659615864</v>
      </c>
      <c r="X39" s="449">
        <f t="shared" si="4"/>
        <v>282.29918281703499</v>
      </c>
      <c r="Y39" s="449">
        <f t="shared" si="4"/>
        <v>163.90727921477151</v>
      </c>
      <c r="Z39" s="449">
        <f t="shared" si="4"/>
        <v>343.77133128766928</v>
      </c>
      <c r="AA39" s="449">
        <f t="shared" si="4"/>
        <v>152.86349697989385</v>
      </c>
      <c r="AB39" s="449">
        <f t="shared" si="4"/>
        <v>227.37414363331095</v>
      </c>
      <c r="AC39" s="449">
        <f t="shared" si="4"/>
        <v>155.72674617971438</v>
      </c>
      <c r="AD39" s="449">
        <f t="shared" si="4"/>
        <v>266.00635321475033</v>
      </c>
      <c r="AE39" s="449">
        <f t="shared" si="4"/>
        <v>229.3919775496604</v>
      </c>
      <c r="AF39" s="463"/>
      <c r="AG39" s="449">
        <f t="shared" ref="AG39" si="5">ABS($D19-AG19)</f>
        <v>281.85949852223416</v>
      </c>
      <c r="AH39" s="463"/>
      <c r="AI39" s="449">
        <f t="shared" ref="AI39" si="6">ABS($D19-AI19)</f>
        <v>216.90000000000043</v>
      </c>
    </row>
    <row r="40" spans="2:35" x14ac:dyDescent="0.25">
      <c r="C40" s="443"/>
      <c r="D40" s="440" t="s">
        <v>332</v>
      </c>
      <c r="E40" s="448"/>
      <c r="F40" s="449">
        <f>ABS($D29-F29)</f>
        <v>219.20838119311094</v>
      </c>
      <c r="G40" s="449">
        <f>ABS($D29-G29)</f>
        <v>194.388942159495</v>
      </c>
      <c r="H40" s="449">
        <f t="shared" ref="H40:AE40" si="7">ABS($D29-H29)</f>
        <v>267.88654644770691</v>
      </c>
      <c r="I40" s="449">
        <f t="shared" si="7"/>
        <v>496.76760056134674</v>
      </c>
      <c r="J40" s="449">
        <f t="shared" si="7"/>
        <v>304.53621387234574</v>
      </c>
      <c r="K40" s="449">
        <f t="shared" si="7"/>
        <v>269.58673453428844</v>
      </c>
      <c r="L40" s="449">
        <f t="shared" si="7"/>
        <v>333.75424029403348</v>
      </c>
      <c r="M40" s="449">
        <f t="shared" si="7"/>
        <v>264.39047775403338</v>
      </c>
      <c r="N40" s="449">
        <f t="shared" si="7"/>
        <v>249.97300806323602</v>
      </c>
      <c r="O40" s="449">
        <f t="shared" si="7"/>
        <v>302.3500473987645</v>
      </c>
      <c r="P40" s="449">
        <f t="shared" si="7"/>
        <v>212.29868794915484</v>
      </c>
      <c r="Q40" s="449">
        <f t="shared" si="7"/>
        <v>259.56973091608967</v>
      </c>
      <c r="R40" s="449">
        <f t="shared" si="7"/>
        <v>269.51055762543302</v>
      </c>
      <c r="S40" s="449">
        <f t="shared" si="7"/>
        <v>257.3449056596329</v>
      </c>
      <c r="T40" s="449">
        <f t="shared" si="7"/>
        <v>306.54250901807501</v>
      </c>
      <c r="U40" s="449">
        <f t="shared" si="7"/>
        <v>278.41731293241185</v>
      </c>
      <c r="V40" s="449">
        <f t="shared" si="7"/>
        <v>779.88230127399891</v>
      </c>
      <c r="W40" s="449">
        <f t="shared" si="7"/>
        <v>247.85284941120688</v>
      </c>
      <c r="X40" s="449">
        <f t="shared" si="7"/>
        <v>290.13776526338899</v>
      </c>
      <c r="Y40" s="449">
        <f t="shared" si="7"/>
        <v>201.34383756169137</v>
      </c>
      <c r="Z40" s="449">
        <f t="shared" si="7"/>
        <v>336.24187661636478</v>
      </c>
      <c r="AA40" s="449">
        <f>ABS($D29-AA29)</f>
        <v>182.62404092095449</v>
      </c>
      <c r="AB40" s="449">
        <f t="shared" si="7"/>
        <v>254.57174625224673</v>
      </c>
      <c r="AC40" s="449">
        <f t="shared" si="7"/>
        <v>195.20843778539853</v>
      </c>
      <c r="AD40" s="449">
        <f t="shared" si="7"/>
        <v>277.91814306167549</v>
      </c>
      <c r="AE40" s="449">
        <f t="shared" si="7"/>
        <v>250.45736131285804</v>
      </c>
      <c r="AF40" s="463"/>
      <c r="AG40" s="449">
        <f t="shared" ref="AG40" si="8">ABS($D29-AG29)</f>
        <v>288.56785599380549</v>
      </c>
      <c r="AH40" s="463"/>
      <c r="AI40" s="449">
        <f t="shared" ref="AI40" si="9">ABS($D29-AI29)</f>
        <v>241.48999999999995</v>
      </c>
    </row>
    <row r="41" spans="2:35" x14ac:dyDescent="0.25">
      <c r="C41" s="439"/>
      <c r="D41" s="438" t="s">
        <v>326</v>
      </c>
      <c r="E41" s="448"/>
      <c r="F41" s="464">
        <f>SUM(F38:F40)</f>
        <v>581.63005191644243</v>
      </c>
      <c r="G41" s="464">
        <f>SUM(G38:G40)</f>
        <v>542.51772750467239</v>
      </c>
      <c r="H41" s="464">
        <f t="shared" ref="H41:AE41" si="10">SUM(H38:H40)</f>
        <v>884.62778416250944</v>
      </c>
      <c r="I41" s="464">
        <f t="shared" si="10"/>
        <v>1280.9318936287073</v>
      </c>
      <c r="J41" s="464">
        <f t="shared" si="10"/>
        <v>702.47921996536638</v>
      </c>
      <c r="K41" s="464">
        <f t="shared" si="10"/>
        <v>694.31165671277529</v>
      </c>
      <c r="L41" s="464">
        <f t="shared" si="10"/>
        <v>1121.6684425134702</v>
      </c>
      <c r="M41" s="464">
        <f t="shared" si="10"/>
        <v>712.45994389192879</v>
      </c>
      <c r="N41" s="464">
        <f t="shared" si="10"/>
        <v>554.97557344323786</v>
      </c>
      <c r="O41" s="464">
        <f t="shared" si="10"/>
        <v>942.99802601161628</v>
      </c>
      <c r="P41" s="464">
        <f t="shared" si="10"/>
        <v>493.13150106424115</v>
      </c>
      <c r="Q41" s="464">
        <f t="shared" si="10"/>
        <v>561.51812188327835</v>
      </c>
      <c r="R41" s="464">
        <f t="shared" si="10"/>
        <v>672.00338605276943</v>
      </c>
      <c r="S41" s="464">
        <f t="shared" si="10"/>
        <v>558.48662996645442</v>
      </c>
      <c r="T41" s="464">
        <f t="shared" si="10"/>
        <v>699.50219682670149</v>
      </c>
      <c r="U41" s="464">
        <f t="shared" si="10"/>
        <v>726.26987964957868</v>
      </c>
      <c r="V41" s="464">
        <f t="shared" si="10"/>
        <v>1917.161698771848</v>
      </c>
      <c r="W41" s="464">
        <f t="shared" si="10"/>
        <v>623.41975883441387</v>
      </c>
      <c r="X41" s="464">
        <f t="shared" si="10"/>
        <v>997.12054120555013</v>
      </c>
      <c r="Y41" s="464">
        <f t="shared" si="10"/>
        <v>395.3525016485633</v>
      </c>
      <c r="Z41" s="464">
        <f t="shared" si="10"/>
        <v>874.88758945559493</v>
      </c>
      <c r="AA41" s="464">
        <f t="shared" si="10"/>
        <v>339.17372179364088</v>
      </c>
      <c r="AB41" s="464">
        <f t="shared" si="10"/>
        <v>647.45227439186181</v>
      </c>
      <c r="AC41" s="464">
        <f t="shared" si="10"/>
        <v>786.06238922571379</v>
      </c>
      <c r="AD41" s="464">
        <f t="shared" si="10"/>
        <v>846.93530162627371</v>
      </c>
      <c r="AE41" s="464">
        <f t="shared" si="10"/>
        <v>561.38510046593728</v>
      </c>
      <c r="AF41" s="463"/>
      <c r="AG41" s="464">
        <f t="shared" ref="AG41" si="11">SUM(AG38:AG40)</f>
        <v>691.97025578514535</v>
      </c>
      <c r="AH41" s="463"/>
      <c r="AI41" s="464">
        <f t="shared" ref="AI41" si="12">SUM(AI38:AI40)</f>
        <v>606.69000000000051</v>
      </c>
    </row>
    <row r="42" spans="2:35" x14ac:dyDescent="0.25">
      <c r="F42" s="465"/>
      <c r="G42" s="465"/>
      <c r="H42" s="465"/>
      <c r="I42" s="465"/>
      <c r="J42" s="465"/>
      <c r="K42" s="465"/>
      <c r="L42" s="465"/>
      <c r="M42" s="465"/>
      <c r="N42" s="465"/>
      <c r="O42" s="465"/>
      <c r="P42" s="465"/>
      <c r="Q42" s="465"/>
      <c r="R42" s="465"/>
      <c r="S42" s="465"/>
      <c r="T42" s="465"/>
      <c r="U42" s="465"/>
      <c r="V42" s="465"/>
      <c r="W42" s="465"/>
      <c r="X42" s="465"/>
      <c r="Y42" s="465"/>
      <c r="Z42" s="465"/>
      <c r="AA42" s="124"/>
      <c r="AB42" s="465"/>
      <c r="AC42" s="465"/>
      <c r="AD42" s="465"/>
      <c r="AE42" s="465"/>
    </row>
  </sheetData>
  <mergeCells count="15">
    <mergeCell ref="B31:C31"/>
    <mergeCell ref="B32:C32"/>
    <mergeCell ref="B33:C33"/>
    <mergeCell ref="B9:C9"/>
    <mergeCell ref="B16:C16"/>
    <mergeCell ref="B23:C23"/>
    <mergeCell ref="B24:C24"/>
    <mergeCell ref="B25:C25"/>
    <mergeCell ref="B30:C30"/>
    <mergeCell ref="B8:C8"/>
    <mergeCell ref="B3:C3"/>
    <mergeCell ref="B4:C4"/>
    <mergeCell ref="B5:C5"/>
    <mergeCell ref="B6:C6"/>
    <mergeCell ref="B7:C7"/>
  </mergeCells>
  <conditionalFormatting sqref="F38:AE38">
    <cfRule type="top10" dxfId="3" priority="16" bottom="1" rank="1"/>
  </conditionalFormatting>
  <conditionalFormatting sqref="F39:AE39">
    <cfRule type="top10" dxfId="2" priority="15" bottom="1" rank="1"/>
  </conditionalFormatting>
  <conditionalFormatting sqref="F40:AE40">
    <cfRule type="top10" dxfId="1" priority="14" bottom="1" rank="1"/>
  </conditionalFormatting>
  <conditionalFormatting sqref="F41:AE41">
    <cfRule type="top10" dxfId="0" priority="13" bottom="1" rank="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Earnings Model (adjusted)</vt:lpstr>
      <vt:lpstr>Earnings Model</vt:lpstr>
      <vt:lpstr>Recon of ASRs</vt:lpstr>
      <vt:lpstr>CHANGE</vt:lpstr>
      <vt:lpstr>Charts</vt:lpstr>
      <vt:lpstr>Std Dev</vt:lpstr>
      <vt:lpstr>Class</vt:lpstr>
      <vt:lpstr>CHANGE!Print_Area</vt:lpstr>
      <vt:lpstr>'Earnings Model'!Print_Area</vt:lpstr>
      <vt:lpstr>'Earnings Model (adjusted)'!Print_Area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John Moschella</cp:lastModifiedBy>
  <cp:lastPrinted>2015-01-03T01:11:29Z</cp:lastPrinted>
  <dcterms:created xsi:type="dcterms:W3CDTF">2014-10-18T18:34:10Z</dcterms:created>
  <dcterms:modified xsi:type="dcterms:W3CDTF">2021-10-23T15:03:05Z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