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C:\Users\Gutenberg Research\Documents\AFTER FILES WERE TRANSFERED TO NEW M17\Final Submission\"/>
    </mc:Choice>
  </mc:AlternateContent>
  <xr:revisionPtr revIDLastSave="0" documentId="13_ncr:1_{BA47391D-D953-4550-9BF1-830139719FFC}" xr6:coauthVersionLast="45" xr6:coauthVersionMax="45" xr10:uidLastSave="{00000000-0000-0000-0000-000000000000}"/>
  <bookViews>
    <workbookView xWindow="-120" yWindow="-120" windowWidth="51840" windowHeight="21240" tabRatio="767" activeTab="1" xr2:uid="{00000000-000D-0000-FFFF-FFFF00000000}"/>
  </bookViews>
  <sheets>
    <sheet name="Instructions" sheetId="30" state="hidden" r:id="rId1"/>
    <sheet name="Earnings Model" sheetId="3" r:id="rId2"/>
    <sheet name="Recon of ASRs" sheetId="31" state="hidden" r:id="rId3"/>
    <sheet name="Charts" sheetId="21" state="hidden" r:id="rId4"/>
    <sheet name="Std Dev" sheetId="29" r:id="rId5"/>
  </sheets>
  <definedNames>
    <definedName name="DATA" localSheetId="3">#REF!</definedName>
    <definedName name="DATA">#REF!</definedName>
    <definedName name="_xlnm.Print_Area" localSheetId="1">'Earnings Model'!$B$2:$AB$333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8" i="3" l="1"/>
  <c r="I49" i="3"/>
  <c r="J49" i="3"/>
  <c r="K49" i="3"/>
  <c r="N49" i="3"/>
  <c r="N48" i="3"/>
  <c r="O49" i="3"/>
  <c r="O48" i="3"/>
  <c r="P49" i="3"/>
  <c r="P48" i="3"/>
  <c r="Q49" i="3"/>
  <c r="Q48" i="3"/>
  <c r="S49" i="3"/>
  <c r="S48" i="3"/>
  <c r="T49" i="3"/>
  <c r="T48" i="3"/>
  <c r="U49" i="3"/>
  <c r="U48" i="3"/>
  <c r="V49" i="3"/>
  <c r="V48" i="3"/>
  <c r="X49" i="3"/>
  <c r="X48" i="3"/>
  <c r="Y49" i="3"/>
  <c r="Y48" i="3"/>
  <c r="Z49" i="3"/>
  <c r="Z48" i="3"/>
  <c r="AA49" i="3"/>
  <c r="AA48" i="3"/>
  <c r="AC48" i="3"/>
  <c r="AD48" i="3"/>
  <c r="AE48" i="3"/>
  <c r="AF48" i="3"/>
  <c r="AH49" i="3"/>
  <c r="AH48" i="3"/>
  <c r="AH50" i="3"/>
  <c r="I51" i="3"/>
  <c r="N51" i="3"/>
  <c r="S51" i="3"/>
  <c r="X51" i="3"/>
  <c r="AC51" i="3"/>
  <c r="AH51" i="3"/>
  <c r="L55" i="3"/>
  <c r="N55" i="3"/>
  <c r="O55" i="3"/>
  <c r="P55" i="3"/>
  <c r="Q55" i="3"/>
  <c r="S55" i="3"/>
  <c r="T55" i="3"/>
  <c r="U55" i="3"/>
  <c r="V55" i="3"/>
  <c r="X55" i="3"/>
  <c r="Y55" i="3"/>
  <c r="Z55" i="3"/>
  <c r="AA55" i="3"/>
  <c r="AC55" i="3"/>
  <c r="AD55" i="3"/>
  <c r="AE55" i="3"/>
  <c r="AF55" i="3"/>
  <c r="AH55" i="3"/>
  <c r="AH56" i="3"/>
  <c r="L81" i="3"/>
  <c r="N81" i="3"/>
  <c r="O81" i="3"/>
  <c r="P81" i="3"/>
  <c r="Q81" i="3"/>
  <c r="S81" i="3"/>
  <c r="T81" i="3"/>
  <c r="U81" i="3"/>
  <c r="V81" i="3"/>
  <c r="X81" i="3"/>
  <c r="Y81" i="3"/>
  <c r="Z81" i="3"/>
  <c r="AA81" i="3"/>
  <c r="AC81" i="3"/>
  <c r="AH83" i="3"/>
  <c r="I84" i="3"/>
  <c r="N84" i="3"/>
  <c r="S84" i="3"/>
  <c r="X84" i="3"/>
  <c r="AC84" i="3"/>
  <c r="AH84" i="3"/>
  <c r="L88" i="3"/>
  <c r="N88" i="3"/>
  <c r="O88" i="3"/>
  <c r="P88" i="3"/>
  <c r="Q88" i="3"/>
  <c r="S88" i="3"/>
  <c r="T88" i="3"/>
  <c r="U88" i="3"/>
  <c r="V88" i="3"/>
  <c r="X88" i="3"/>
  <c r="Y88" i="3"/>
  <c r="Z88" i="3"/>
  <c r="AA88" i="3"/>
  <c r="AC88" i="3"/>
  <c r="AD88" i="3"/>
  <c r="AE88" i="3"/>
  <c r="AF88" i="3"/>
  <c r="AH88" i="3"/>
  <c r="AH89" i="3"/>
  <c r="AH13" i="3"/>
  <c r="AI49" i="3"/>
  <c r="AI48" i="3"/>
  <c r="AI50" i="3"/>
  <c r="J51" i="3"/>
  <c r="O51" i="3"/>
  <c r="T51" i="3"/>
  <c r="Y51" i="3"/>
  <c r="AD51" i="3"/>
  <c r="AI51" i="3"/>
  <c r="AI55" i="3"/>
  <c r="AI56" i="3"/>
  <c r="AD81" i="3"/>
  <c r="AI83" i="3"/>
  <c r="J84" i="3"/>
  <c r="O84" i="3"/>
  <c r="T84" i="3"/>
  <c r="Y87" i="3"/>
  <c r="Y84" i="3"/>
  <c r="AD84" i="3"/>
  <c r="AI84" i="3"/>
  <c r="AI88" i="3"/>
  <c r="AI89" i="3"/>
  <c r="AI13" i="3"/>
  <c r="AJ49" i="3"/>
  <c r="AJ48" i="3"/>
  <c r="AJ50" i="3"/>
  <c r="K51" i="3"/>
  <c r="P51" i="3"/>
  <c r="U51" i="3"/>
  <c r="Z51" i="3"/>
  <c r="AE51" i="3"/>
  <c r="AJ51" i="3"/>
  <c r="AJ55" i="3"/>
  <c r="AJ56" i="3"/>
  <c r="AE81" i="3"/>
  <c r="AJ83" i="3"/>
  <c r="K84" i="3"/>
  <c r="P84" i="3"/>
  <c r="U84" i="3"/>
  <c r="Z87" i="3"/>
  <c r="Z84" i="3"/>
  <c r="AE84" i="3"/>
  <c r="AJ84" i="3"/>
  <c r="AJ88" i="3"/>
  <c r="AJ89" i="3"/>
  <c r="AJ13" i="3"/>
  <c r="AK49" i="3"/>
  <c r="AK48" i="3"/>
  <c r="AK50" i="3"/>
  <c r="L51" i="3"/>
  <c r="Q51" i="3"/>
  <c r="V51" i="3"/>
  <c r="AA51" i="3"/>
  <c r="AF51" i="3"/>
  <c r="AK51" i="3"/>
  <c r="AK55" i="3"/>
  <c r="AK56" i="3"/>
  <c r="AF81" i="3"/>
  <c r="AK83" i="3"/>
  <c r="G84" i="3"/>
  <c r="L84" i="3"/>
  <c r="Q84" i="3"/>
  <c r="V84" i="3"/>
  <c r="AA87" i="3"/>
  <c r="AA84" i="3"/>
  <c r="AF84" i="3"/>
  <c r="AK84" i="3"/>
  <c r="AK88" i="3"/>
  <c r="AK89" i="3"/>
  <c r="AK13" i="3"/>
  <c r="AL13" i="3"/>
  <c r="L59" i="3"/>
  <c r="I60" i="3"/>
  <c r="J60" i="3"/>
  <c r="K60" i="3"/>
  <c r="N60" i="3"/>
  <c r="N59" i="3"/>
  <c r="O60" i="3"/>
  <c r="O59" i="3"/>
  <c r="P60" i="3"/>
  <c r="P59" i="3"/>
  <c r="Q60" i="3"/>
  <c r="Q59" i="3"/>
  <c r="S60" i="3"/>
  <c r="S59" i="3"/>
  <c r="T60" i="3"/>
  <c r="T59" i="3"/>
  <c r="U60" i="3"/>
  <c r="U59" i="3"/>
  <c r="V60" i="3"/>
  <c r="V59" i="3"/>
  <c r="X60" i="3"/>
  <c r="X59" i="3"/>
  <c r="Y60" i="3"/>
  <c r="Y59" i="3"/>
  <c r="Z60" i="3"/>
  <c r="Z59" i="3"/>
  <c r="AA60" i="3"/>
  <c r="AA59" i="3"/>
  <c r="AC59" i="3"/>
  <c r="AD59" i="3"/>
  <c r="AE59" i="3"/>
  <c r="AF59" i="3"/>
  <c r="AH60" i="3"/>
  <c r="AH59" i="3"/>
  <c r="AH61" i="3"/>
  <c r="X62" i="3"/>
  <c r="AC62" i="3"/>
  <c r="AH62" i="3"/>
  <c r="AH63" i="3"/>
  <c r="L92" i="3"/>
  <c r="N92" i="3"/>
  <c r="O92" i="3"/>
  <c r="P92" i="3"/>
  <c r="Q92" i="3"/>
  <c r="S92" i="3"/>
  <c r="T92" i="3"/>
  <c r="U92" i="3"/>
  <c r="V92" i="3"/>
  <c r="X92" i="3"/>
  <c r="Y92" i="3"/>
  <c r="Z92" i="3"/>
  <c r="AA92" i="3"/>
  <c r="AC93" i="3"/>
  <c r="AC92" i="3"/>
  <c r="AD93" i="3"/>
  <c r="AD92" i="3"/>
  <c r="AE93" i="3"/>
  <c r="AE92" i="3"/>
  <c r="AF93" i="3"/>
  <c r="AF92" i="3"/>
  <c r="AH93" i="3"/>
  <c r="AH92" i="3"/>
  <c r="AH94" i="3"/>
  <c r="X95" i="3"/>
  <c r="AC95" i="3"/>
  <c r="AH95" i="3"/>
  <c r="AH96" i="3"/>
  <c r="AH14" i="3"/>
  <c r="AI60" i="3"/>
  <c r="AI59" i="3"/>
  <c r="AI61" i="3"/>
  <c r="T62" i="3"/>
  <c r="Y62" i="3"/>
  <c r="AD62" i="3"/>
  <c r="AI62" i="3"/>
  <c r="AI63" i="3"/>
  <c r="AI93" i="3"/>
  <c r="AI92" i="3"/>
  <c r="AI94" i="3"/>
  <c r="Y95" i="3"/>
  <c r="AD95" i="3"/>
  <c r="AI95" i="3"/>
  <c r="AI96" i="3"/>
  <c r="AI14" i="3"/>
  <c r="AJ60" i="3"/>
  <c r="AJ59" i="3"/>
  <c r="AJ61" i="3"/>
  <c r="U62" i="3"/>
  <c r="Z62" i="3"/>
  <c r="AE62" i="3"/>
  <c r="AJ62" i="3"/>
  <c r="AJ63" i="3"/>
  <c r="AJ93" i="3"/>
  <c r="AJ92" i="3"/>
  <c r="AJ94" i="3"/>
  <c r="Z95" i="3"/>
  <c r="AE95" i="3"/>
  <c r="AJ95" i="3"/>
  <c r="AJ96" i="3"/>
  <c r="AJ14" i="3"/>
  <c r="AK60" i="3"/>
  <c r="AK59" i="3"/>
  <c r="AK61" i="3"/>
  <c r="V62" i="3"/>
  <c r="AA62" i="3"/>
  <c r="AF62" i="3"/>
  <c r="AK62" i="3"/>
  <c r="AK63" i="3"/>
  <c r="AK93" i="3"/>
  <c r="AK92" i="3"/>
  <c r="AK94" i="3"/>
  <c r="V95" i="3"/>
  <c r="AA95" i="3"/>
  <c r="AF95" i="3"/>
  <c r="AK95" i="3"/>
  <c r="AK96" i="3"/>
  <c r="AK14" i="3"/>
  <c r="AL14" i="3"/>
  <c r="N64" i="3"/>
  <c r="S64" i="3"/>
  <c r="X64" i="3"/>
  <c r="AC64" i="3"/>
  <c r="AH64" i="3"/>
  <c r="N97" i="3"/>
  <c r="S97" i="3"/>
  <c r="X97" i="3"/>
  <c r="AC97" i="3"/>
  <c r="AH97" i="3"/>
  <c r="N115" i="3"/>
  <c r="S115" i="3"/>
  <c r="X116" i="3"/>
  <c r="X115" i="3"/>
  <c r="Y116" i="3"/>
  <c r="Z116" i="3"/>
  <c r="AA116" i="3"/>
  <c r="AC116" i="3"/>
  <c r="AC115" i="3"/>
  <c r="AD116" i="3"/>
  <c r="AE116" i="3"/>
  <c r="AF116" i="3"/>
  <c r="AH116" i="3"/>
  <c r="AH115" i="3"/>
  <c r="N129" i="3"/>
  <c r="S129" i="3"/>
  <c r="U130" i="3"/>
  <c r="V130" i="3"/>
  <c r="X130" i="3"/>
  <c r="X129" i="3"/>
  <c r="Y130" i="3"/>
  <c r="Z130" i="3"/>
  <c r="AA130" i="3"/>
  <c r="AC130" i="3"/>
  <c r="AC129" i="3"/>
  <c r="AD130" i="3"/>
  <c r="AE130" i="3"/>
  <c r="AF130" i="3"/>
  <c r="AH130" i="3"/>
  <c r="AH129" i="3"/>
  <c r="AH15" i="3"/>
  <c r="O64" i="3"/>
  <c r="T64" i="3"/>
  <c r="Y64" i="3"/>
  <c r="AD64" i="3"/>
  <c r="AI64" i="3"/>
  <c r="O97" i="3"/>
  <c r="T97" i="3"/>
  <c r="Y97" i="3"/>
  <c r="AD97" i="3"/>
  <c r="AI97" i="3"/>
  <c r="O115" i="3"/>
  <c r="T115" i="3"/>
  <c r="Y115" i="3"/>
  <c r="AD115" i="3"/>
  <c r="AI116" i="3"/>
  <c r="AI115" i="3"/>
  <c r="O129" i="3"/>
  <c r="T129" i="3"/>
  <c r="Y129" i="3"/>
  <c r="AD129" i="3"/>
  <c r="AI130" i="3"/>
  <c r="AI129" i="3"/>
  <c r="AI15" i="3"/>
  <c r="P64" i="3"/>
  <c r="U64" i="3"/>
  <c r="Z64" i="3"/>
  <c r="AE64" i="3"/>
  <c r="AJ64" i="3"/>
  <c r="P97" i="3"/>
  <c r="U97" i="3"/>
  <c r="Z97" i="3"/>
  <c r="AE97" i="3"/>
  <c r="AJ97" i="3"/>
  <c r="P115" i="3"/>
  <c r="U115" i="3"/>
  <c r="Z115" i="3"/>
  <c r="AE115" i="3"/>
  <c r="AJ116" i="3"/>
  <c r="AJ115" i="3"/>
  <c r="P129" i="3"/>
  <c r="U129" i="3"/>
  <c r="Z129" i="3"/>
  <c r="AE129" i="3"/>
  <c r="AJ130" i="3"/>
  <c r="AJ129" i="3"/>
  <c r="AJ15" i="3"/>
  <c r="L64" i="3"/>
  <c r="Q64" i="3"/>
  <c r="V64" i="3"/>
  <c r="AA64" i="3"/>
  <c r="AF64" i="3"/>
  <c r="AK64" i="3"/>
  <c r="L97" i="3"/>
  <c r="Q97" i="3"/>
  <c r="V97" i="3"/>
  <c r="AA97" i="3"/>
  <c r="AF97" i="3"/>
  <c r="AK97" i="3"/>
  <c r="L115" i="3"/>
  <c r="Q115" i="3"/>
  <c r="V115" i="3"/>
  <c r="AA115" i="3"/>
  <c r="AF115" i="3"/>
  <c r="AK116" i="3"/>
  <c r="AK115" i="3"/>
  <c r="L129" i="3"/>
  <c r="Q129" i="3"/>
  <c r="V129" i="3"/>
  <c r="AA129" i="3"/>
  <c r="AF129" i="3"/>
  <c r="AK130" i="3"/>
  <c r="AK129" i="3"/>
  <c r="AK15" i="3"/>
  <c r="AL15" i="3"/>
  <c r="AL16" i="3"/>
  <c r="AH68" i="3"/>
  <c r="X79" i="3"/>
  <c r="AC79" i="3"/>
  <c r="AH79" i="3"/>
  <c r="AF61" i="3"/>
  <c r="AF63" i="3"/>
  <c r="AF50" i="3"/>
  <c r="AF56" i="3"/>
  <c r="AF68" i="3"/>
  <c r="AA79" i="3"/>
  <c r="AF79" i="3"/>
  <c r="AE61" i="3"/>
  <c r="AE63" i="3"/>
  <c r="AE50" i="3"/>
  <c r="AE56" i="3"/>
  <c r="AE68" i="3"/>
  <c r="Z79" i="3"/>
  <c r="AE79" i="3"/>
  <c r="AD61" i="3"/>
  <c r="AD63" i="3"/>
  <c r="AD50" i="3"/>
  <c r="AD56" i="3"/>
  <c r="AD68" i="3"/>
  <c r="Y79" i="3"/>
  <c r="AD79" i="3"/>
  <c r="AC61" i="3"/>
  <c r="AC63" i="3"/>
  <c r="AC50" i="3"/>
  <c r="AC56" i="3"/>
  <c r="AC68" i="3"/>
  <c r="AA61" i="3"/>
  <c r="AA63" i="3"/>
  <c r="AA50" i="3"/>
  <c r="AA56" i="3"/>
  <c r="AA68" i="3"/>
  <c r="Z61" i="3"/>
  <c r="Z63" i="3"/>
  <c r="Z50" i="3"/>
  <c r="Z56" i="3"/>
  <c r="Z68" i="3"/>
  <c r="Y61" i="3"/>
  <c r="Y63" i="3"/>
  <c r="Y50" i="3"/>
  <c r="Y56" i="3"/>
  <c r="Y68" i="3"/>
  <c r="X61" i="3"/>
  <c r="X63" i="3"/>
  <c r="X50" i="3"/>
  <c r="X56" i="3"/>
  <c r="X68" i="3"/>
  <c r="V61" i="3"/>
  <c r="V63" i="3"/>
  <c r="V50" i="3"/>
  <c r="V56" i="3"/>
  <c r="V68" i="3"/>
  <c r="U61" i="3"/>
  <c r="U63" i="3"/>
  <c r="U50" i="3"/>
  <c r="U56" i="3"/>
  <c r="U68" i="3"/>
  <c r="T61" i="3"/>
  <c r="T63" i="3"/>
  <c r="T50" i="3"/>
  <c r="T56" i="3"/>
  <c r="T68" i="3"/>
  <c r="S61" i="3"/>
  <c r="S63" i="3"/>
  <c r="S50" i="3"/>
  <c r="S56" i="3"/>
  <c r="S68" i="3"/>
  <c r="Q61" i="3"/>
  <c r="Q63" i="3"/>
  <c r="Q50" i="3"/>
  <c r="Q56" i="3"/>
  <c r="Q68" i="3"/>
  <c r="P61" i="3"/>
  <c r="P63" i="3"/>
  <c r="P50" i="3"/>
  <c r="P56" i="3"/>
  <c r="P68" i="3"/>
  <c r="O61" i="3"/>
  <c r="O63" i="3"/>
  <c r="O50" i="3"/>
  <c r="O56" i="3"/>
  <c r="O68" i="3"/>
  <c r="N61" i="3"/>
  <c r="N63" i="3"/>
  <c r="N50" i="3"/>
  <c r="N56" i="3"/>
  <c r="N68" i="3"/>
  <c r="N70" i="3"/>
  <c r="L61" i="3"/>
  <c r="L63" i="3"/>
  <c r="L50" i="3"/>
  <c r="L56" i="3"/>
  <c r="L68" i="3"/>
  <c r="K75" i="3"/>
  <c r="K78" i="3"/>
  <c r="L69" i="3"/>
  <c r="L70" i="3"/>
  <c r="L71" i="3"/>
  <c r="E242" i="3"/>
  <c r="F242" i="3"/>
  <c r="G242" i="3"/>
  <c r="G236" i="3"/>
  <c r="I236" i="3"/>
  <c r="J242" i="3"/>
  <c r="J236" i="3"/>
  <c r="K242" i="3"/>
  <c r="K236" i="3"/>
  <c r="L236" i="3"/>
  <c r="L242" i="3"/>
  <c r="L72" i="3"/>
  <c r="L73" i="3"/>
  <c r="L74" i="3"/>
  <c r="L75" i="3"/>
  <c r="L78" i="3"/>
  <c r="N69" i="3"/>
  <c r="N71" i="3"/>
  <c r="L105" i="3"/>
  <c r="L119" i="3"/>
  <c r="L133" i="3"/>
  <c r="L83" i="3"/>
  <c r="L89" i="3"/>
  <c r="L13" i="3"/>
  <c r="L94" i="3"/>
  <c r="L96" i="3"/>
  <c r="L14" i="3"/>
  <c r="L15" i="3"/>
  <c r="L16" i="3"/>
  <c r="L260" i="3"/>
  <c r="L192" i="3"/>
  <c r="M192" i="3"/>
  <c r="N236" i="3"/>
  <c r="N242" i="3"/>
  <c r="N72" i="3"/>
  <c r="N73" i="3"/>
  <c r="N74" i="3"/>
  <c r="N75" i="3"/>
  <c r="N78" i="3"/>
  <c r="O70" i="3"/>
  <c r="O69" i="3"/>
  <c r="O71" i="3"/>
  <c r="N105" i="3"/>
  <c r="N119" i="3"/>
  <c r="N133" i="3"/>
  <c r="N83" i="3"/>
  <c r="N89" i="3"/>
  <c r="N13" i="3"/>
  <c r="N94" i="3"/>
  <c r="N96" i="3"/>
  <c r="N14" i="3"/>
  <c r="N15" i="3"/>
  <c r="N16" i="3"/>
  <c r="I16" i="3"/>
  <c r="I291" i="3"/>
  <c r="J260" i="3"/>
  <c r="J16" i="3"/>
  <c r="J291" i="3"/>
  <c r="K260" i="3"/>
  <c r="K16" i="3"/>
  <c r="K291" i="3"/>
  <c r="N291" i="3"/>
  <c r="N260" i="3"/>
  <c r="N192" i="3"/>
  <c r="O236" i="3"/>
  <c r="O242" i="3"/>
  <c r="O72" i="3"/>
  <c r="O73" i="3"/>
  <c r="O74" i="3"/>
  <c r="O75" i="3"/>
  <c r="O78" i="3"/>
  <c r="P70" i="3"/>
  <c r="P69" i="3"/>
  <c r="P71" i="3"/>
  <c r="O105" i="3"/>
  <c r="O119" i="3"/>
  <c r="O133" i="3"/>
  <c r="O83" i="3"/>
  <c r="O89" i="3"/>
  <c r="O13" i="3"/>
  <c r="O94" i="3"/>
  <c r="O96" i="3"/>
  <c r="O14" i="3"/>
  <c r="O15" i="3"/>
  <c r="O16" i="3"/>
  <c r="O291" i="3"/>
  <c r="O260" i="3"/>
  <c r="O192" i="3"/>
  <c r="P236" i="3"/>
  <c r="P242" i="3"/>
  <c r="P72" i="3"/>
  <c r="P73" i="3"/>
  <c r="P74" i="3"/>
  <c r="P75" i="3"/>
  <c r="P78" i="3"/>
  <c r="Q70" i="3"/>
  <c r="Q69" i="3"/>
  <c r="Q71" i="3"/>
  <c r="P105" i="3"/>
  <c r="P119" i="3"/>
  <c r="P133" i="3"/>
  <c r="P83" i="3"/>
  <c r="P89" i="3"/>
  <c r="P13" i="3"/>
  <c r="P94" i="3"/>
  <c r="P96" i="3"/>
  <c r="P14" i="3"/>
  <c r="P15" i="3"/>
  <c r="P16" i="3"/>
  <c r="P291" i="3"/>
  <c r="P260" i="3"/>
  <c r="P192" i="3"/>
  <c r="Q236" i="3"/>
  <c r="Q242" i="3"/>
  <c r="Q72" i="3"/>
  <c r="Q73" i="3"/>
  <c r="Q74" i="3"/>
  <c r="Q75" i="3"/>
  <c r="Q78" i="3"/>
  <c r="S70" i="3"/>
  <c r="S69" i="3"/>
  <c r="S71" i="3"/>
  <c r="Q105" i="3"/>
  <c r="Q119" i="3"/>
  <c r="Q133" i="3"/>
  <c r="Q83" i="3"/>
  <c r="Q89" i="3"/>
  <c r="Q13" i="3"/>
  <c r="Q94" i="3"/>
  <c r="Q96" i="3"/>
  <c r="Q14" i="3"/>
  <c r="Q15" i="3"/>
  <c r="Q16" i="3"/>
  <c r="Q291" i="3"/>
  <c r="Q260" i="3"/>
  <c r="Q192" i="3"/>
  <c r="R192" i="3"/>
  <c r="S236" i="3"/>
  <c r="S242" i="3"/>
  <c r="S72" i="3"/>
  <c r="S73" i="3"/>
  <c r="S74" i="3"/>
  <c r="S75" i="3"/>
  <c r="S78" i="3"/>
  <c r="T70" i="3"/>
  <c r="T69" i="3"/>
  <c r="T71" i="3"/>
  <c r="S105" i="3"/>
  <c r="S119" i="3"/>
  <c r="S133" i="3"/>
  <c r="S83" i="3"/>
  <c r="S89" i="3"/>
  <c r="S13" i="3"/>
  <c r="S94" i="3"/>
  <c r="S96" i="3"/>
  <c r="S14" i="3"/>
  <c r="S15" i="3"/>
  <c r="S16" i="3"/>
  <c r="S260" i="3"/>
  <c r="S192" i="3"/>
  <c r="T236" i="3"/>
  <c r="T242" i="3"/>
  <c r="T72" i="3"/>
  <c r="T73" i="3"/>
  <c r="T74" i="3"/>
  <c r="T75" i="3"/>
  <c r="T78" i="3"/>
  <c r="U70" i="3"/>
  <c r="U69" i="3"/>
  <c r="U71" i="3"/>
  <c r="T105" i="3"/>
  <c r="T119" i="3"/>
  <c r="T133" i="3"/>
  <c r="T83" i="3"/>
  <c r="T89" i="3"/>
  <c r="T13" i="3"/>
  <c r="T94" i="3"/>
  <c r="T96" i="3"/>
  <c r="T14" i="3"/>
  <c r="T15" i="3"/>
  <c r="T16" i="3"/>
  <c r="T260" i="3"/>
  <c r="T192" i="3"/>
  <c r="U236" i="3"/>
  <c r="U242" i="3"/>
  <c r="U72" i="3"/>
  <c r="U73" i="3"/>
  <c r="U74" i="3"/>
  <c r="U75" i="3"/>
  <c r="U78" i="3"/>
  <c r="V70" i="3"/>
  <c r="V69" i="3"/>
  <c r="V71" i="3"/>
  <c r="U105" i="3"/>
  <c r="U119" i="3"/>
  <c r="U133" i="3"/>
  <c r="U83" i="3"/>
  <c r="U89" i="3"/>
  <c r="U13" i="3"/>
  <c r="U94" i="3"/>
  <c r="U96" i="3"/>
  <c r="U14" i="3"/>
  <c r="U15" i="3"/>
  <c r="U16" i="3"/>
  <c r="U260" i="3"/>
  <c r="U192" i="3"/>
  <c r="V236" i="3"/>
  <c r="V242" i="3"/>
  <c r="V72" i="3"/>
  <c r="V73" i="3"/>
  <c r="V74" i="3"/>
  <c r="V75" i="3"/>
  <c r="V78" i="3"/>
  <c r="X70" i="3"/>
  <c r="X69" i="3"/>
  <c r="X71" i="3"/>
  <c r="V105" i="3"/>
  <c r="V119" i="3"/>
  <c r="V133" i="3"/>
  <c r="V83" i="3"/>
  <c r="V89" i="3"/>
  <c r="V13" i="3"/>
  <c r="V94" i="3"/>
  <c r="V96" i="3"/>
  <c r="V14" i="3"/>
  <c r="V15" i="3"/>
  <c r="V16" i="3"/>
  <c r="V260" i="3"/>
  <c r="V192" i="3"/>
  <c r="W192" i="3"/>
  <c r="X236" i="3"/>
  <c r="X242" i="3"/>
  <c r="X72" i="3"/>
  <c r="X73" i="3"/>
  <c r="X74" i="3"/>
  <c r="X75" i="3"/>
  <c r="X78" i="3"/>
  <c r="Y70" i="3"/>
  <c r="Y69" i="3"/>
  <c r="Y71" i="3"/>
  <c r="X105" i="3"/>
  <c r="X119" i="3"/>
  <c r="X133" i="3"/>
  <c r="X83" i="3"/>
  <c r="X89" i="3"/>
  <c r="X13" i="3"/>
  <c r="X94" i="3"/>
  <c r="X96" i="3"/>
  <c r="X14" i="3"/>
  <c r="X15" i="3"/>
  <c r="X16" i="3"/>
  <c r="X260" i="3"/>
  <c r="X192" i="3"/>
  <c r="Y236" i="3"/>
  <c r="Y242" i="3"/>
  <c r="Y72" i="3"/>
  <c r="Y73" i="3"/>
  <c r="Y74" i="3"/>
  <c r="Y75" i="3"/>
  <c r="Y78" i="3"/>
  <c r="Z70" i="3"/>
  <c r="Z69" i="3"/>
  <c r="Z71" i="3"/>
  <c r="Y105" i="3"/>
  <c r="Y119" i="3"/>
  <c r="Y133" i="3"/>
  <c r="Y83" i="3"/>
  <c r="Y89" i="3"/>
  <c r="Y13" i="3"/>
  <c r="Y94" i="3"/>
  <c r="Y96" i="3"/>
  <c r="Y14" i="3"/>
  <c r="Y15" i="3"/>
  <c r="Y16" i="3"/>
  <c r="Y260" i="3"/>
  <c r="Y192" i="3"/>
  <c r="Z236" i="3"/>
  <c r="Z242" i="3"/>
  <c r="Z72" i="3"/>
  <c r="Z73" i="3"/>
  <c r="Z74" i="3"/>
  <c r="Z75" i="3"/>
  <c r="Z78" i="3"/>
  <c r="AA70" i="3"/>
  <c r="AA69" i="3"/>
  <c r="AA71" i="3"/>
  <c r="Z105" i="3"/>
  <c r="Z119" i="3"/>
  <c r="Z133" i="3"/>
  <c r="Z83" i="3"/>
  <c r="Z89" i="3"/>
  <c r="Z13" i="3"/>
  <c r="Z94" i="3"/>
  <c r="Z96" i="3"/>
  <c r="Z14" i="3"/>
  <c r="Z15" i="3"/>
  <c r="Z16" i="3"/>
  <c r="Z260" i="3"/>
  <c r="Z192" i="3"/>
  <c r="AA236" i="3"/>
  <c r="AA242" i="3"/>
  <c r="AA72" i="3"/>
  <c r="AA73" i="3"/>
  <c r="AA74" i="3"/>
  <c r="AA75" i="3"/>
  <c r="AA78" i="3"/>
  <c r="AC70" i="3"/>
  <c r="AC69" i="3"/>
  <c r="AC71" i="3"/>
  <c r="AA105" i="3"/>
  <c r="AA119" i="3"/>
  <c r="AA133" i="3"/>
  <c r="AA83" i="3"/>
  <c r="AA89" i="3"/>
  <c r="AA13" i="3"/>
  <c r="AA94" i="3"/>
  <c r="AA96" i="3"/>
  <c r="AA14" i="3"/>
  <c r="AA15" i="3"/>
  <c r="AA16" i="3"/>
  <c r="AA260" i="3"/>
  <c r="AA192" i="3"/>
  <c r="AB192" i="3"/>
  <c r="AC236" i="3"/>
  <c r="AC242" i="3"/>
  <c r="AC72" i="3"/>
  <c r="AC73" i="3"/>
  <c r="AC74" i="3"/>
  <c r="AC75" i="3"/>
  <c r="AC78" i="3"/>
  <c r="AD70" i="3"/>
  <c r="AD69" i="3"/>
  <c r="AD71" i="3"/>
  <c r="AC105" i="3"/>
  <c r="AC119" i="3"/>
  <c r="AC133" i="3"/>
  <c r="AC83" i="3"/>
  <c r="AC89" i="3"/>
  <c r="AC13" i="3"/>
  <c r="AC94" i="3"/>
  <c r="AC96" i="3"/>
  <c r="AC14" i="3"/>
  <c r="AC15" i="3"/>
  <c r="AC16" i="3"/>
  <c r="AC291" i="3"/>
  <c r="AC260" i="3"/>
  <c r="AC192" i="3"/>
  <c r="AD236" i="3"/>
  <c r="AD242" i="3"/>
  <c r="AD72" i="3"/>
  <c r="AD73" i="3"/>
  <c r="AD74" i="3"/>
  <c r="AD75" i="3"/>
  <c r="AD78" i="3"/>
  <c r="AE70" i="3"/>
  <c r="AE69" i="3"/>
  <c r="AE71" i="3"/>
  <c r="AD105" i="3"/>
  <c r="AD119" i="3"/>
  <c r="AD133" i="3"/>
  <c r="AD83" i="3"/>
  <c r="AD89" i="3"/>
  <c r="AD13" i="3"/>
  <c r="AD94" i="3"/>
  <c r="AD96" i="3"/>
  <c r="AD14" i="3"/>
  <c r="AD15" i="3"/>
  <c r="AD16" i="3"/>
  <c r="AD291" i="3"/>
  <c r="AD260" i="3"/>
  <c r="AD192" i="3"/>
  <c r="AE236" i="3"/>
  <c r="AE242" i="3"/>
  <c r="AE72" i="3"/>
  <c r="AE73" i="3"/>
  <c r="AE74" i="3"/>
  <c r="AE75" i="3"/>
  <c r="AE78" i="3"/>
  <c r="AF70" i="3"/>
  <c r="AF69" i="3"/>
  <c r="AF71" i="3"/>
  <c r="AE105" i="3"/>
  <c r="AE119" i="3"/>
  <c r="AE133" i="3"/>
  <c r="AE83" i="3"/>
  <c r="AE89" i="3"/>
  <c r="AE13" i="3"/>
  <c r="AE94" i="3"/>
  <c r="AE96" i="3"/>
  <c r="AE14" i="3"/>
  <c r="AE15" i="3"/>
  <c r="AE16" i="3"/>
  <c r="AE291" i="3"/>
  <c r="AE260" i="3"/>
  <c r="AE192" i="3"/>
  <c r="AF236" i="3"/>
  <c r="AF242" i="3"/>
  <c r="AF72" i="3"/>
  <c r="AF73" i="3"/>
  <c r="AF74" i="3"/>
  <c r="AF75" i="3"/>
  <c r="AF78" i="3"/>
  <c r="AH70" i="3"/>
  <c r="AH101" i="3"/>
  <c r="AC113" i="3"/>
  <c r="AH113" i="3"/>
  <c r="AF94" i="3"/>
  <c r="AF96" i="3"/>
  <c r="AF83" i="3"/>
  <c r="AF89" i="3"/>
  <c r="AF101" i="3"/>
  <c r="AA113" i="3"/>
  <c r="AF113" i="3"/>
  <c r="AE101" i="3"/>
  <c r="AE113" i="3"/>
  <c r="AD101" i="3"/>
  <c r="AD113" i="3"/>
  <c r="AC101" i="3"/>
  <c r="AA101" i="3"/>
  <c r="Z101" i="3"/>
  <c r="Y101" i="3"/>
  <c r="X101" i="3"/>
  <c r="V101" i="3"/>
  <c r="U101" i="3"/>
  <c r="T101" i="3"/>
  <c r="S101" i="3"/>
  <c r="Q101" i="3"/>
  <c r="P101" i="3"/>
  <c r="O101" i="3"/>
  <c r="N101" i="3"/>
  <c r="L101" i="3"/>
  <c r="K108" i="3"/>
  <c r="K112" i="3"/>
  <c r="L103" i="3"/>
  <c r="L102" i="3"/>
  <c r="L104" i="3"/>
  <c r="L106" i="3"/>
  <c r="L107" i="3"/>
  <c r="L108" i="3"/>
  <c r="L112" i="3"/>
  <c r="N103" i="3"/>
  <c r="N102" i="3"/>
  <c r="N104" i="3"/>
  <c r="N106" i="3"/>
  <c r="N107" i="3"/>
  <c r="N108" i="3"/>
  <c r="N112" i="3"/>
  <c r="O103" i="3"/>
  <c r="O102" i="3"/>
  <c r="O104" i="3"/>
  <c r="O106" i="3"/>
  <c r="O107" i="3"/>
  <c r="O108" i="3"/>
  <c r="O112" i="3"/>
  <c r="P103" i="3"/>
  <c r="P102" i="3"/>
  <c r="P104" i="3"/>
  <c r="P106" i="3"/>
  <c r="P107" i="3"/>
  <c r="P108" i="3"/>
  <c r="P112" i="3"/>
  <c r="Q103" i="3"/>
  <c r="Q102" i="3"/>
  <c r="Q104" i="3"/>
  <c r="Q106" i="3"/>
  <c r="Q107" i="3"/>
  <c r="Q108" i="3"/>
  <c r="Q112" i="3"/>
  <c r="S103" i="3"/>
  <c r="S102" i="3"/>
  <c r="S104" i="3"/>
  <c r="S106" i="3"/>
  <c r="S107" i="3"/>
  <c r="S108" i="3"/>
  <c r="S112" i="3"/>
  <c r="T103" i="3"/>
  <c r="T102" i="3"/>
  <c r="T104" i="3"/>
  <c r="T106" i="3"/>
  <c r="T107" i="3"/>
  <c r="T108" i="3"/>
  <c r="T112" i="3"/>
  <c r="U103" i="3"/>
  <c r="U102" i="3"/>
  <c r="U104" i="3"/>
  <c r="U106" i="3"/>
  <c r="U107" i="3"/>
  <c r="U108" i="3"/>
  <c r="U112" i="3"/>
  <c r="V103" i="3"/>
  <c r="V102" i="3"/>
  <c r="V104" i="3"/>
  <c r="V106" i="3"/>
  <c r="V107" i="3"/>
  <c r="V108" i="3"/>
  <c r="V112" i="3"/>
  <c r="X103" i="3"/>
  <c r="X102" i="3"/>
  <c r="X104" i="3"/>
  <c r="X106" i="3"/>
  <c r="X107" i="3"/>
  <c r="X108" i="3"/>
  <c r="X112" i="3"/>
  <c r="Y103" i="3"/>
  <c r="Y102" i="3"/>
  <c r="Y104" i="3"/>
  <c r="Y106" i="3"/>
  <c r="Y107" i="3"/>
  <c r="Y108" i="3"/>
  <c r="Y112" i="3"/>
  <c r="Z103" i="3"/>
  <c r="Z102" i="3"/>
  <c r="Z104" i="3"/>
  <c r="Z106" i="3"/>
  <c r="Z107" i="3"/>
  <c r="Z108" i="3"/>
  <c r="Z112" i="3"/>
  <c r="AA103" i="3"/>
  <c r="AA102" i="3"/>
  <c r="AA104" i="3"/>
  <c r="AA106" i="3"/>
  <c r="AA107" i="3"/>
  <c r="AA108" i="3"/>
  <c r="AA112" i="3"/>
  <c r="AC103" i="3"/>
  <c r="AC102" i="3"/>
  <c r="AC104" i="3"/>
  <c r="AC106" i="3"/>
  <c r="AC107" i="3"/>
  <c r="AC108" i="3"/>
  <c r="AC112" i="3"/>
  <c r="AD103" i="3"/>
  <c r="AD102" i="3"/>
  <c r="AD104" i="3"/>
  <c r="AD106" i="3"/>
  <c r="AD107" i="3"/>
  <c r="AD108" i="3"/>
  <c r="AD112" i="3"/>
  <c r="AE103" i="3"/>
  <c r="AE102" i="3"/>
  <c r="AE104" i="3"/>
  <c r="AE106" i="3"/>
  <c r="AE107" i="3"/>
  <c r="AE108" i="3"/>
  <c r="AE112" i="3"/>
  <c r="AF103" i="3"/>
  <c r="AF102" i="3"/>
  <c r="AF104" i="3"/>
  <c r="AF105" i="3"/>
  <c r="AF106" i="3"/>
  <c r="AF107" i="3"/>
  <c r="AF108" i="3"/>
  <c r="AF112" i="3"/>
  <c r="AH103" i="3"/>
  <c r="AH18" i="3"/>
  <c r="AI68" i="3"/>
  <c r="AI79" i="3"/>
  <c r="AH69" i="3"/>
  <c r="AH71" i="3"/>
  <c r="AF119" i="3"/>
  <c r="AF133" i="3"/>
  <c r="AF13" i="3"/>
  <c r="AF14" i="3"/>
  <c r="AF15" i="3"/>
  <c r="AF16" i="3"/>
  <c r="AF291" i="3"/>
  <c r="AF260" i="3"/>
  <c r="AF192" i="3"/>
  <c r="AG192" i="3"/>
  <c r="AH236" i="3"/>
  <c r="AH242" i="3"/>
  <c r="AH72" i="3"/>
  <c r="AH73" i="3"/>
  <c r="AH74" i="3"/>
  <c r="AH75" i="3"/>
  <c r="AH78" i="3"/>
  <c r="AI70" i="3"/>
  <c r="AI101" i="3"/>
  <c r="AI113" i="3"/>
  <c r="AH102" i="3"/>
  <c r="AH104" i="3"/>
  <c r="AH105" i="3"/>
  <c r="AH106" i="3"/>
  <c r="AH107" i="3"/>
  <c r="AH108" i="3"/>
  <c r="AH112" i="3"/>
  <c r="AI103" i="3"/>
  <c r="AI18" i="3"/>
  <c r="AJ68" i="3"/>
  <c r="AJ79" i="3"/>
  <c r="AI69" i="3"/>
  <c r="AI71" i="3"/>
  <c r="AH119" i="3"/>
  <c r="AH133" i="3"/>
  <c r="AH16" i="3"/>
  <c r="AH291" i="3"/>
  <c r="AH260" i="3"/>
  <c r="AH192" i="3"/>
  <c r="AI236" i="3"/>
  <c r="AI242" i="3"/>
  <c r="AI72" i="3"/>
  <c r="AI73" i="3"/>
  <c r="AI74" i="3"/>
  <c r="AI75" i="3"/>
  <c r="AI78" i="3"/>
  <c r="AJ70" i="3"/>
  <c r="AJ101" i="3"/>
  <c r="AJ113" i="3"/>
  <c r="AI102" i="3"/>
  <c r="AI104" i="3"/>
  <c r="AI105" i="3"/>
  <c r="AI106" i="3"/>
  <c r="AI107" i="3"/>
  <c r="AI108" i="3"/>
  <c r="AI112" i="3"/>
  <c r="AJ103" i="3"/>
  <c r="AJ18" i="3"/>
  <c r="AK68" i="3"/>
  <c r="AK79" i="3"/>
  <c r="AJ69" i="3"/>
  <c r="AJ71" i="3"/>
  <c r="AI119" i="3"/>
  <c r="AI133" i="3"/>
  <c r="AI16" i="3"/>
  <c r="AI291" i="3"/>
  <c r="AI260" i="3"/>
  <c r="AI192" i="3"/>
  <c r="AJ236" i="3"/>
  <c r="AJ242" i="3"/>
  <c r="AJ72" i="3"/>
  <c r="AJ73" i="3"/>
  <c r="AJ74" i="3"/>
  <c r="AJ75" i="3"/>
  <c r="AJ78" i="3"/>
  <c r="AK70" i="3"/>
  <c r="AK101" i="3"/>
  <c r="AK113" i="3"/>
  <c r="AJ102" i="3"/>
  <c r="AJ104" i="3"/>
  <c r="AJ105" i="3"/>
  <c r="AJ106" i="3"/>
  <c r="AJ107" i="3"/>
  <c r="AJ108" i="3"/>
  <c r="AJ112" i="3"/>
  <c r="AK103" i="3"/>
  <c r="AK18" i="3"/>
  <c r="AL18" i="3"/>
  <c r="S127" i="3"/>
  <c r="X127" i="3"/>
  <c r="AC127" i="3"/>
  <c r="AH127" i="3"/>
  <c r="V127" i="3"/>
  <c r="AA127" i="3"/>
  <c r="AF127" i="3"/>
  <c r="U127" i="3"/>
  <c r="Z127" i="3"/>
  <c r="AE127" i="3"/>
  <c r="T127" i="3"/>
  <c r="Y127" i="3"/>
  <c r="AD127" i="3"/>
  <c r="G122" i="3"/>
  <c r="G126" i="3"/>
  <c r="G127" i="3"/>
  <c r="L127" i="3"/>
  <c r="K122" i="3"/>
  <c r="K126" i="3"/>
  <c r="L118" i="3"/>
  <c r="L117" i="3"/>
  <c r="L120" i="3"/>
  <c r="L121" i="3"/>
  <c r="L122" i="3"/>
  <c r="L126" i="3"/>
  <c r="N118" i="3"/>
  <c r="N117" i="3"/>
  <c r="N120" i="3"/>
  <c r="N121" i="3"/>
  <c r="N122" i="3"/>
  <c r="N126" i="3"/>
  <c r="O118" i="3"/>
  <c r="O117" i="3"/>
  <c r="O120" i="3"/>
  <c r="O121" i="3"/>
  <c r="O122" i="3"/>
  <c r="O126" i="3"/>
  <c r="P118" i="3"/>
  <c r="P117" i="3"/>
  <c r="P120" i="3"/>
  <c r="P121" i="3"/>
  <c r="P122" i="3"/>
  <c r="P126" i="3"/>
  <c r="Q118" i="3"/>
  <c r="Q117" i="3"/>
  <c r="Q120" i="3"/>
  <c r="Q121" i="3"/>
  <c r="Q122" i="3"/>
  <c r="Q126" i="3"/>
  <c r="S118" i="3"/>
  <c r="S117" i="3"/>
  <c r="S120" i="3"/>
  <c r="S121" i="3"/>
  <c r="S122" i="3"/>
  <c r="S126" i="3"/>
  <c r="T118" i="3"/>
  <c r="T117" i="3"/>
  <c r="T120" i="3"/>
  <c r="T121" i="3"/>
  <c r="T122" i="3"/>
  <c r="T126" i="3"/>
  <c r="U118" i="3"/>
  <c r="U117" i="3"/>
  <c r="U120" i="3"/>
  <c r="U121" i="3"/>
  <c r="U122" i="3"/>
  <c r="U126" i="3"/>
  <c r="V118" i="3"/>
  <c r="V117" i="3"/>
  <c r="V120" i="3"/>
  <c r="V121" i="3"/>
  <c r="V122" i="3"/>
  <c r="V126" i="3"/>
  <c r="X118" i="3"/>
  <c r="X117" i="3"/>
  <c r="X120" i="3"/>
  <c r="X121" i="3"/>
  <c r="X122" i="3"/>
  <c r="X126" i="3"/>
  <c r="Y118" i="3"/>
  <c r="Y117" i="3"/>
  <c r="Y120" i="3"/>
  <c r="Y121" i="3"/>
  <c r="Y122" i="3"/>
  <c r="Y126" i="3"/>
  <c r="Z118" i="3"/>
  <c r="Z117" i="3"/>
  <c r="Z120" i="3"/>
  <c r="Z121" i="3"/>
  <c r="Z122" i="3"/>
  <c r="Z126" i="3"/>
  <c r="AA118" i="3"/>
  <c r="AA117" i="3"/>
  <c r="AA120" i="3"/>
  <c r="AA121" i="3"/>
  <c r="AA122" i="3"/>
  <c r="AA126" i="3"/>
  <c r="AC118" i="3"/>
  <c r="AC117" i="3"/>
  <c r="AC120" i="3"/>
  <c r="AC121" i="3"/>
  <c r="AC122" i="3"/>
  <c r="AC126" i="3"/>
  <c r="AD118" i="3"/>
  <c r="AD117" i="3"/>
  <c r="AD120" i="3"/>
  <c r="AD121" i="3"/>
  <c r="AD122" i="3"/>
  <c r="AD126" i="3"/>
  <c r="AE118" i="3"/>
  <c r="AE117" i="3"/>
  <c r="AE120" i="3"/>
  <c r="AE121" i="3"/>
  <c r="AE122" i="3"/>
  <c r="AE126" i="3"/>
  <c r="AF118" i="3"/>
  <c r="AF117" i="3"/>
  <c r="AF120" i="3"/>
  <c r="AF121" i="3"/>
  <c r="AF122" i="3"/>
  <c r="AF126" i="3"/>
  <c r="AH118" i="3"/>
  <c r="G132" i="3"/>
  <c r="L132" i="3"/>
  <c r="N132" i="3"/>
  <c r="O132" i="3"/>
  <c r="P132" i="3"/>
  <c r="Q132" i="3"/>
  <c r="S132" i="3"/>
  <c r="T132" i="3"/>
  <c r="U132" i="3"/>
  <c r="V132" i="3"/>
  <c r="X132" i="3"/>
  <c r="Y132" i="3"/>
  <c r="Z132" i="3"/>
  <c r="AA132" i="3"/>
  <c r="AC132" i="3"/>
  <c r="AD132" i="3"/>
  <c r="AE132" i="3"/>
  <c r="AF132" i="3"/>
  <c r="AH132" i="3"/>
  <c r="AH19" i="3"/>
  <c r="AI127" i="3"/>
  <c r="AH117" i="3"/>
  <c r="AH120" i="3"/>
  <c r="AH121" i="3"/>
  <c r="AH122" i="3"/>
  <c r="AH126" i="3"/>
  <c r="AI118" i="3"/>
  <c r="AI132" i="3"/>
  <c r="AI19" i="3"/>
  <c r="AJ127" i="3"/>
  <c r="AI117" i="3"/>
  <c r="AI120" i="3"/>
  <c r="AI121" i="3"/>
  <c r="AI122" i="3"/>
  <c r="AI126" i="3"/>
  <c r="AJ118" i="3"/>
  <c r="AJ132" i="3"/>
  <c r="AJ19" i="3"/>
  <c r="AK71" i="3"/>
  <c r="AK104" i="3"/>
  <c r="AK127" i="3"/>
  <c r="AJ117" i="3"/>
  <c r="AJ119" i="3"/>
  <c r="AJ120" i="3"/>
  <c r="AJ121" i="3"/>
  <c r="AJ122" i="3"/>
  <c r="AJ126" i="3"/>
  <c r="AK118" i="3"/>
  <c r="AK132" i="3"/>
  <c r="AK19" i="3"/>
  <c r="AL19" i="3"/>
  <c r="AH20" i="3"/>
  <c r="AI20" i="3"/>
  <c r="AJ133" i="3"/>
  <c r="AJ20" i="3"/>
  <c r="AJ16" i="3"/>
  <c r="AJ291" i="3"/>
  <c r="AJ260" i="3"/>
  <c r="AJ192" i="3"/>
  <c r="AK236" i="3"/>
  <c r="AK242" i="3"/>
  <c r="AK72" i="3"/>
  <c r="AK105" i="3"/>
  <c r="AK119" i="3"/>
  <c r="AK133" i="3"/>
  <c r="AK20" i="3"/>
  <c r="AL20" i="3"/>
  <c r="L134" i="3"/>
  <c r="N134" i="3"/>
  <c r="O134" i="3"/>
  <c r="P134" i="3"/>
  <c r="Q134" i="3"/>
  <c r="S134" i="3"/>
  <c r="T134" i="3"/>
  <c r="U134" i="3"/>
  <c r="V134" i="3"/>
  <c r="X134" i="3"/>
  <c r="Y134" i="3"/>
  <c r="Z134" i="3"/>
  <c r="AA134" i="3"/>
  <c r="AC134" i="3"/>
  <c r="AD134" i="3"/>
  <c r="AE134" i="3"/>
  <c r="AF134" i="3"/>
  <c r="AH134" i="3"/>
  <c r="AH21" i="3"/>
  <c r="AI134" i="3"/>
  <c r="AI21" i="3"/>
  <c r="AJ134" i="3"/>
  <c r="AJ21" i="3"/>
  <c r="AK73" i="3"/>
  <c r="AK106" i="3"/>
  <c r="AK120" i="3"/>
  <c r="AK134" i="3"/>
  <c r="AK21" i="3"/>
  <c r="AL21" i="3"/>
  <c r="L135" i="3"/>
  <c r="N135" i="3"/>
  <c r="O135" i="3"/>
  <c r="P135" i="3"/>
  <c r="Q135" i="3"/>
  <c r="S135" i="3"/>
  <c r="T135" i="3"/>
  <c r="U135" i="3"/>
  <c r="V135" i="3"/>
  <c r="X135" i="3"/>
  <c r="Y135" i="3"/>
  <c r="Z135" i="3"/>
  <c r="AA135" i="3"/>
  <c r="AC135" i="3"/>
  <c r="AD135" i="3"/>
  <c r="AE135" i="3"/>
  <c r="AF135" i="3"/>
  <c r="AH135" i="3"/>
  <c r="AH22" i="3"/>
  <c r="AI135" i="3"/>
  <c r="AI22" i="3"/>
  <c r="AJ135" i="3"/>
  <c r="AJ22" i="3"/>
  <c r="AK74" i="3"/>
  <c r="AK107" i="3"/>
  <c r="AK121" i="3"/>
  <c r="AK135" i="3"/>
  <c r="AK22" i="3"/>
  <c r="AL22" i="3"/>
  <c r="L131" i="3"/>
  <c r="N131" i="3"/>
  <c r="O131" i="3"/>
  <c r="P131" i="3"/>
  <c r="Q131" i="3"/>
  <c r="S131" i="3"/>
  <c r="T131" i="3"/>
  <c r="U131" i="3"/>
  <c r="V131" i="3"/>
  <c r="X131" i="3"/>
  <c r="Y131" i="3"/>
  <c r="Z131" i="3"/>
  <c r="AA131" i="3"/>
  <c r="AC131" i="3"/>
  <c r="AD131" i="3"/>
  <c r="AE131" i="3"/>
  <c r="AF131" i="3"/>
  <c r="AH131" i="3"/>
  <c r="AH17" i="3"/>
  <c r="AI131" i="3"/>
  <c r="AI17" i="3"/>
  <c r="AJ131" i="3"/>
  <c r="AJ17" i="3"/>
  <c r="AK69" i="3"/>
  <c r="AK102" i="3"/>
  <c r="AK117" i="3"/>
  <c r="AK131" i="3"/>
  <c r="AK17" i="3"/>
  <c r="AL17" i="3"/>
  <c r="AL23" i="3"/>
  <c r="L109" i="3"/>
  <c r="N109" i="3"/>
  <c r="O109" i="3"/>
  <c r="P109" i="3"/>
  <c r="Q109" i="3"/>
  <c r="S109" i="3"/>
  <c r="T109" i="3"/>
  <c r="U109" i="3"/>
  <c r="V109" i="3"/>
  <c r="X109" i="3"/>
  <c r="Y109" i="3"/>
  <c r="Z109" i="3"/>
  <c r="AA109" i="3"/>
  <c r="AC109" i="3"/>
  <c r="AD109" i="3"/>
  <c r="AE109" i="3"/>
  <c r="AF109" i="3"/>
  <c r="AH109" i="3"/>
  <c r="L123" i="3"/>
  <c r="N123" i="3"/>
  <c r="O123" i="3"/>
  <c r="P123" i="3"/>
  <c r="Q123" i="3"/>
  <c r="S123" i="3"/>
  <c r="T123" i="3"/>
  <c r="U123" i="3"/>
  <c r="V123" i="3"/>
  <c r="X123" i="3"/>
  <c r="Y123" i="3"/>
  <c r="Z123" i="3"/>
  <c r="AA123" i="3"/>
  <c r="AC123" i="3"/>
  <c r="AD123" i="3"/>
  <c r="AE123" i="3"/>
  <c r="AF123" i="3"/>
  <c r="AH123" i="3"/>
  <c r="AH24" i="3"/>
  <c r="AI109" i="3"/>
  <c r="AI123" i="3"/>
  <c r="AI24" i="3"/>
  <c r="AJ109" i="3"/>
  <c r="AJ123" i="3"/>
  <c r="AJ24" i="3"/>
  <c r="AK109" i="3"/>
  <c r="AK123" i="3"/>
  <c r="AK24" i="3"/>
  <c r="AL24" i="3"/>
  <c r="AL25" i="3"/>
  <c r="E264" i="3"/>
  <c r="F264" i="3"/>
  <c r="G264" i="3"/>
  <c r="H264" i="3"/>
  <c r="F265" i="3"/>
  <c r="G265" i="3"/>
  <c r="H265" i="3"/>
  <c r="G266" i="3"/>
  <c r="H266" i="3"/>
  <c r="E267" i="3"/>
  <c r="F267" i="3"/>
  <c r="G267" i="3"/>
  <c r="H267" i="3"/>
  <c r="E268" i="3"/>
  <c r="F268" i="3"/>
  <c r="G268" i="3"/>
  <c r="H268" i="3"/>
  <c r="E269" i="3"/>
  <c r="F269" i="3"/>
  <c r="G269" i="3"/>
  <c r="H269" i="3"/>
  <c r="E270" i="3"/>
  <c r="F270" i="3"/>
  <c r="G270" i="3"/>
  <c r="H270" i="3"/>
  <c r="E271" i="3"/>
  <c r="F271" i="3"/>
  <c r="G271" i="3"/>
  <c r="H271" i="3"/>
  <c r="H272" i="3"/>
  <c r="D259" i="3"/>
  <c r="E259" i="3"/>
  <c r="F259" i="3"/>
  <c r="G259" i="3"/>
  <c r="H259" i="3"/>
  <c r="E260" i="3"/>
  <c r="F260" i="3"/>
  <c r="G260" i="3"/>
  <c r="H260" i="3"/>
  <c r="E261" i="3"/>
  <c r="F261" i="3"/>
  <c r="G261" i="3"/>
  <c r="H261" i="3"/>
  <c r="H262" i="3"/>
  <c r="H16" i="3"/>
  <c r="H23" i="3"/>
  <c r="H25" i="3"/>
  <c r="H31" i="3"/>
  <c r="H33" i="3"/>
  <c r="H241" i="3"/>
  <c r="H242" i="3"/>
  <c r="E243" i="3"/>
  <c r="F243" i="3"/>
  <c r="G243" i="3"/>
  <c r="H243" i="3"/>
  <c r="E244" i="3"/>
  <c r="F244" i="3"/>
  <c r="G244" i="3"/>
  <c r="H244" i="3"/>
  <c r="E245" i="3"/>
  <c r="F245" i="3"/>
  <c r="G245" i="3"/>
  <c r="H245" i="3"/>
  <c r="E246" i="3"/>
  <c r="F246" i="3"/>
  <c r="G246" i="3"/>
  <c r="H246" i="3"/>
  <c r="E247" i="3"/>
  <c r="F247" i="3"/>
  <c r="G247" i="3"/>
  <c r="H247" i="3"/>
  <c r="E248" i="3"/>
  <c r="F248" i="3"/>
  <c r="G248" i="3"/>
  <c r="H248" i="3"/>
  <c r="E250" i="3"/>
  <c r="F250" i="3"/>
  <c r="G250" i="3"/>
  <c r="H250" i="3"/>
  <c r="E251" i="3"/>
  <c r="F251" i="3"/>
  <c r="G251" i="3"/>
  <c r="H251" i="3"/>
  <c r="E252" i="3"/>
  <c r="F252" i="3"/>
  <c r="G252" i="3"/>
  <c r="H252" i="3"/>
  <c r="E253" i="3"/>
  <c r="F253" i="3"/>
  <c r="G253" i="3"/>
  <c r="H253" i="3"/>
  <c r="E254" i="3"/>
  <c r="F254" i="3"/>
  <c r="G254" i="3"/>
  <c r="H254" i="3"/>
  <c r="F255" i="3"/>
  <c r="G255" i="3"/>
  <c r="H255" i="3"/>
  <c r="E256" i="3"/>
  <c r="F256" i="3"/>
  <c r="G256" i="3"/>
  <c r="H256" i="3"/>
  <c r="H257" i="3"/>
  <c r="D273" i="3"/>
  <c r="E273" i="3"/>
  <c r="F273" i="3"/>
  <c r="G273" i="3"/>
  <c r="H273" i="3"/>
  <c r="H274" i="3"/>
  <c r="H276" i="3"/>
  <c r="I275" i="3"/>
  <c r="J264" i="3"/>
  <c r="K264" i="3"/>
  <c r="K206" i="3"/>
  <c r="L206" i="3"/>
  <c r="L209" i="3"/>
  <c r="L264" i="3"/>
  <c r="M264" i="3"/>
  <c r="J265" i="3"/>
  <c r="M265" i="3"/>
  <c r="I266" i="3"/>
  <c r="J266" i="3"/>
  <c r="K266" i="3"/>
  <c r="M266" i="3"/>
  <c r="J267" i="3"/>
  <c r="K267" i="3"/>
  <c r="M267" i="3"/>
  <c r="J268" i="3"/>
  <c r="K268" i="3"/>
  <c r="L43" i="3"/>
  <c r="G161" i="3"/>
  <c r="G157" i="3"/>
  <c r="I161" i="3"/>
  <c r="I157" i="3"/>
  <c r="J161" i="3"/>
  <c r="J157" i="3"/>
  <c r="K161" i="3"/>
  <c r="K157" i="3"/>
  <c r="L157" i="3"/>
  <c r="L161" i="3"/>
  <c r="L38" i="3"/>
  <c r="L268" i="3"/>
  <c r="M268" i="3"/>
  <c r="J269" i="3"/>
  <c r="K269" i="3"/>
  <c r="L269" i="3"/>
  <c r="M269" i="3"/>
  <c r="J270" i="3"/>
  <c r="K270" i="3"/>
  <c r="J247" i="3"/>
  <c r="K247" i="3"/>
  <c r="K288" i="3"/>
  <c r="J288" i="3"/>
  <c r="I288" i="3"/>
  <c r="G13" i="3"/>
  <c r="G14" i="3"/>
  <c r="G15" i="3"/>
  <c r="G16" i="3"/>
  <c r="G288" i="3"/>
  <c r="L288" i="3"/>
  <c r="L247" i="3"/>
  <c r="L270" i="3"/>
  <c r="M270" i="3"/>
  <c r="J271" i="3"/>
  <c r="K271" i="3"/>
  <c r="M271" i="3"/>
  <c r="M272" i="3"/>
  <c r="I259" i="3"/>
  <c r="J259" i="3"/>
  <c r="K259" i="3"/>
  <c r="D272" i="3"/>
  <c r="D262" i="3"/>
  <c r="D16" i="3"/>
  <c r="D23" i="3"/>
  <c r="D25" i="3"/>
  <c r="D31" i="3"/>
  <c r="D33" i="3"/>
  <c r="D241" i="3"/>
  <c r="D257" i="3"/>
  <c r="D274" i="3"/>
  <c r="D276" i="3"/>
  <c r="E275" i="3"/>
  <c r="E272" i="3"/>
  <c r="E262" i="3"/>
  <c r="E16" i="3"/>
  <c r="E23" i="3"/>
  <c r="E25" i="3"/>
  <c r="E31" i="3"/>
  <c r="E33" i="3"/>
  <c r="E241" i="3"/>
  <c r="E257" i="3"/>
  <c r="E274" i="3"/>
  <c r="E276" i="3"/>
  <c r="F275" i="3"/>
  <c r="F272" i="3"/>
  <c r="F262" i="3"/>
  <c r="F16" i="3"/>
  <c r="F23" i="3"/>
  <c r="F25" i="3"/>
  <c r="F31" i="3"/>
  <c r="F33" i="3"/>
  <c r="F241" i="3"/>
  <c r="F257" i="3"/>
  <c r="F274" i="3"/>
  <c r="F276" i="3"/>
  <c r="G275" i="3"/>
  <c r="G272" i="3"/>
  <c r="G262" i="3"/>
  <c r="G18" i="3"/>
  <c r="G19" i="3"/>
  <c r="G20" i="3"/>
  <c r="G21" i="3"/>
  <c r="G22" i="3"/>
  <c r="G17" i="3"/>
  <c r="G23" i="3"/>
  <c r="G24" i="3"/>
  <c r="G25" i="3"/>
  <c r="G29" i="3"/>
  <c r="G30" i="3"/>
  <c r="G28" i="3"/>
  <c r="G31" i="3"/>
  <c r="G32" i="3"/>
  <c r="G33" i="3"/>
  <c r="G241" i="3"/>
  <c r="G257" i="3"/>
  <c r="G274" i="3"/>
  <c r="G276" i="3"/>
  <c r="G184" i="3"/>
  <c r="G189" i="3"/>
  <c r="G198" i="3"/>
  <c r="G231" i="3"/>
  <c r="I272" i="3"/>
  <c r="I262" i="3"/>
  <c r="I23" i="3"/>
  <c r="I25" i="3"/>
  <c r="I31" i="3"/>
  <c r="I33" i="3"/>
  <c r="I241" i="3"/>
  <c r="I248" i="3"/>
  <c r="I256" i="3"/>
  <c r="I257" i="3"/>
  <c r="I274" i="3"/>
  <c r="I276" i="3"/>
  <c r="I184" i="3"/>
  <c r="I189" i="3"/>
  <c r="I198" i="3"/>
  <c r="I231" i="3"/>
  <c r="J275" i="3"/>
  <c r="J272" i="3"/>
  <c r="J261" i="3"/>
  <c r="J262" i="3"/>
  <c r="J23" i="3"/>
  <c r="J25" i="3"/>
  <c r="J31" i="3"/>
  <c r="J33" i="3"/>
  <c r="J241" i="3"/>
  <c r="J243" i="3"/>
  <c r="J244" i="3"/>
  <c r="J245" i="3"/>
  <c r="J246" i="3"/>
  <c r="J248" i="3"/>
  <c r="J250" i="3"/>
  <c r="J251" i="3"/>
  <c r="J252" i="3"/>
  <c r="J253" i="3"/>
  <c r="J254" i="3"/>
  <c r="J255" i="3"/>
  <c r="J256" i="3"/>
  <c r="J257" i="3"/>
  <c r="J273" i="3"/>
  <c r="J274" i="3"/>
  <c r="J276" i="3"/>
  <c r="J184" i="3"/>
  <c r="J189" i="3"/>
  <c r="J198" i="3"/>
  <c r="J231" i="3"/>
  <c r="K275" i="3"/>
  <c r="K272" i="3"/>
  <c r="K261" i="3"/>
  <c r="K262" i="3"/>
  <c r="K23" i="3"/>
  <c r="K25" i="3"/>
  <c r="K31" i="3"/>
  <c r="K33" i="3"/>
  <c r="K241" i="3"/>
  <c r="K243" i="3"/>
  <c r="K244" i="3"/>
  <c r="K245" i="3"/>
  <c r="K246" i="3"/>
  <c r="K248" i="3"/>
  <c r="K250" i="3"/>
  <c r="K251" i="3"/>
  <c r="K252" i="3"/>
  <c r="K253" i="3"/>
  <c r="K254" i="3"/>
  <c r="K255" i="3"/>
  <c r="K256" i="3"/>
  <c r="K257" i="3"/>
  <c r="K273" i="3"/>
  <c r="K274" i="3"/>
  <c r="K276" i="3"/>
  <c r="K184" i="3"/>
  <c r="K189" i="3"/>
  <c r="K198" i="3"/>
  <c r="K231" i="3"/>
  <c r="L231" i="3"/>
  <c r="K215" i="3"/>
  <c r="L215" i="3"/>
  <c r="L18" i="3"/>
  <c r="L19" i="3"/>
  <c r="L20" i="3"/>
  <c r="L21" i="3"/>
  <c r="L22" i="3"/>
  <c r="L17" i="3"/>
  <c r="L23" i="3"/>
  <c r="L24" i="3"/>
  <c r="L25" i="3"/>
  <c r="K151" i="3"/>
  <c r="J151" i="3"/>
  <c r="I151" i="3"/>
  <c r="F184" i="3"/>
  <c r="G151" i="3"/>
  <c r="L151" i="3"/>
  <c r="L29" i="3"/>
  <c r="J206" i="3"/>
  <c r="K152" i="3"/>
  <c r="L152" i="3"/>
  <c r="L30" i="3"/>
  <c r="L31" i="3"/>
  <c r="L32" i="3"/>
  <c r="L33" i="3"/>
  <c r="L241" i="3"/>
  <c r="L216" i="3"/>
  <c r="L217" i="3"/>
  <c r="L218" i="3"/>
  <c r="L219" i="3"/>
  <c r="L200" i="3"/>
  <c r="L201" i="3"/>
  <c r="L202" i="3"/>
  <c r="L203" i="3"/>
  <c r="L204" i="3"/>
  <c r="L205" i="3"/>
  <c r="L208" i="3"/>
  <c r="L210" i="3"/>
  <c r="L211" i="3"/>
  <c r="L212" i="3"/>
  <c r="L213" i="3"/>
  <c r="L220" i="3"/>
  <c r="G232" i="3"/>
  <c r="I232" i="3"/>
  <c r="J232" i="3"/>
  <c r="K232" i="3"/>
  <c r="L232" i="3"/>
  <c r="L185" i="3"/>
  <c r="L190" i="3"/>
  <c r="L259" i="3"/>
  <c r="M259" i="3"/>
  <c r="M260" i="3"/>
  <c r="L191" i="3"/>
  <c r="K219" i="3"/>
  <c r="K208" i="3"/>
  <c r="K213" i="3"/>
  <c r="K220" i="3"/>
  <c r="L195" i="3"/>
  <c r="L193" i="3"/>
  <c r="L196" i="3"/>
  <c r="L197" i="3"/>
  <c r="L261" i="3"/>
  <c r="M261" i="3"/>
  <c r="M262" i="3"/>
  <c r="M13" i="3"/>
  <c r="M14" i="3"/>
  <c r="M15" i="3"/>
  <c r="M16" i="3"/>
  <c r="M18" i="3"/>
  <c r="M19" i="3"/>
  <c r="M20" i="3"/>
  <c r="M21" i="3"/>
  <c r="M22" i="3"/>
  <c r="M17" i="3"/>
  <c r="M23" i="3"/>
  <c r="M24" i="3"/>
  <c r="M25" i="3"/>
  <c r="M29" i="3"/>
  <c r="M30" i="3"/>
  <c r="M28" i="3"/>
  <c r="M31" i="3"/>
  <c r="M32" i="3"/>
  <c r="M33" i="3"/>
  <c r="M241" i="3"/>
  <c r="M242" i="3"/>
  <c r="G235" i="3"/>
  <c r="I235" i="3"/>
  <c r="J235" i="3"/>
  <c r="K235" i="3"/>
  <c r="L235" i="3"/>
  <c r="L194" i="3"/>
  <c r="L243" i="3"/>
  <c r="M243" i="3"/>
  <c r="L244" i="3"/>
  <c r="M244" i="3"/>
  <c r="L245" i="3"/>
  <c r="M245" i="3"/>
  <c r="L246" i="3"/>
  <c r="M246" i="3"/>
  <c r="M247" i="3"/>
  <c r="M248" i="3"/>
  <c r="L186" i="3"/>
  <c r="L250" i="3"/>
  <c r="M250" i="3"/>
  <c r="L187" i="3"/>
  <c r="L251" i="3"/>
  <c r="M251" i="3"/>
  <c r="L188" i="3"/>
  <c r="L252" i="3"/>
  <c r="M252" i="3"/>
  <c r="L253" i="3"/>
  <c r="M253" i="3"/>
  <c r="L254" i="3"/>
  <c r="M254" i="3"/>
  <c r="L255" i="3"/>
  <c r="M255" i="3"/>
  <c r="L256" i="3"/>
  <c r="M256" i="3"/>
  <c r="M257" i="3"/>
  <c r="M273" i="3"/>
  <c r="M274" i="3"/>
  <c r="M276" i="3"/>
  <c r="N275" i="3"/>
  <c r="N206" i="3"/>
  <c r="N209" i="3"/>
  <c r="N264" i="3"/>
  <c r="O206" i="3"/>
  <c r="O209" i="3"/>
  <c r="O264" i="3"/>
  <c r="P206" i="3"/>
  <c r="P209" i="3"/>
  <c r="P264" i="3"/>
  <c r="Q209" i="3"/>
  <c r="Q264" i="3"/>
  <c r="R264" i="3"/>
  <c r="R265" i="3"/>
  <c r="R266" i="3"/>
  <c r="R267" i="3"/>
  <c r="N43" i="3"/>
  <c r="N157" i="3"/>
  <c r="N161" i="3"/>
  <c r="N38" i="3"/>
  <c r="N268" i="3"/>
  <c r="O43" i="3"/>
  <c r="O157" i="3"/>
  <c r="O161" i="3"/>
  <c r="O38" i="3"/>
  <c r="O268" i="3"/>
  <c r="P43" i="3"/>
  <c r="P157" i="3"/>
  <c r="P159" i="3"/>
  <c r="P161" i="3"/>
  <c r="P38" i="3"/>
  <c r="P268" i="3"/>
  <c r="Q43" i="3"/>
  <c r="Q157" i="3"/>
  <c r="Q159" i="3"/>
  <c r="Q161" i="3"/>
  <c r="Q38" i="3"/>
  <c r="Q268" i="3"/>
  <c r="R268" i="3"/>
  <c r="N269" i="3"/>
  <c r="O269" i="3"/>
  <c r="P269" i="3"/>
  <c r="Q269" i="3"/>
  <c r="R269" i="3"/>
  <c r="N288" i="3"/>
  <c r="N247" i="3"/>
  <c r="N270" i="3"/>
  <c r="O288" i="3"/>
  <c r="O247" i="3"/>
  <c r="O270" i="3"/>
  <c r="P288" i="3"/>
  <c r="P247" i="3"/>
  <c r="P270" i="3"/>
  <c r="Q288" i="3"/>
  <c r="Q247" i="3"/>
  <c r="Q270" i="3"/>
  <c r="R270" i="3"/>
  <c r="R271" i="3"/>
  <c r="R272" i="3"/>
  <c r="N231" i="3"/>
  <c r="N215" i="3"/>
  <c r="N18" i="3"/>
  <c r="N19" i="3"/>
  <c r="N20" i="3"/>
  <c r="N21" i="3"/>
  <c r="N22" i="3"/>
  <c r="N17" i="3"/>
  <c r="N23" i="3"/>
  <c r="N24" i="3"/>
  <c r="N25" i="3"/>
  <c r="L275" i="3"/>
  <c r="L272" i="3"/>
  <c r="L262" i="3"/>
  <c r="L257" i="3"/>
  <c r="L274" i="3"/>
  <c r="L276" i="3"/>
  <c r="L184" i="3"/>
  <c r="N151" i="3"/>
  <c r="N29" i="3"/>
  <c r="I206" i="3"/>
  <c r="J152" i="3"/>
  <c r="I152" i="3"/>
  <c r="N152" i="3"/>
  <c r="N30" i="3"/>
  <c r="N31" i="3"/>
  <c r="N32" i="3"/>
  <c r="N33" i="3"/>
  <c r="N241" i="3"/>
  <c r="N216" i="3"/>
  <c r="N217" i="3"/>
  <c r="N218" i="3"/>
  <c r="N219" i="3"/>
  <c r="N200" i="3"/>
  <c r="M201" i="3"/>
  <c r="N201" i="3"/>
  <c r="N202" i="3"/>
  <c r="N203" i="3"/>
  <c r="N204" i="3"/>
  <c r="N205" i="3"/>
  <c r="N208" i="3"/>
  <c r="N210" i="3"/>
  <c r="N211" i="3"/>
  <c r="N212" i="3"/>
  <c r="N213" i="3"/>
  <c r="N220" i="3"/>
  <c r="N232" i="3"/>
  <c r="N185" i="3"/>
  <c r="N190" i="3"/>
  <c r="N259" i="3"/>
  <c r="O231" i="3"/>
  <c r="O215" i="3"/>
  <c r="O18" i="3"/>
  <c r="O19" i="3"/>
  <c r="O20" i="3"/>
  <c r="O21" i="3"/>
  <c r="O22" i="3"/>
  <c r="O17" i="3"/>
  <c r="O23" i="3"/>
  <c r="O24" i="3"/>
  <c r="O25" i="3"/>
  <c r="N272" i="3"/>
  <c r="N191" i="3"/>
  <c r="N195" i="3"/>
  <c r="N193" i="3"/>
  <c r="N196" i="3"/>
  <c r="N197" i="3"/>
  <c r="N261" i="3"/>
  <c r="N262" i="3"/>
  <c r="N235" i="3"/>
  <c r="N194" i="3"/>
  <c r="N243" i="3"/>
  <c r="N244" i="3"/>
  <c r="N245" i="3"/>
  <c r="N246" i="3"/>
  <c r="N186" i="3"/>
  <c r="N250" i="3"/>
  <c r="N187" i="3"/>
  <c r="N251" i="3"/>
  <c r="N188" i="3"/>
  <c r="N252" i="3"/>
  <c r="N253" i="3"/>
  <c r="N254" i="3"/>
  <c r="N255" i="3"/>
  <c r="N256" i="3"/>
  <c r="N257" i="3"/>
  <c r="N274" i="3"/>
  <c r="N276" i="3"/>
  <c r="N184" i="3"/>
  <c r="O151" i="3"/>
  <c r="O29" i="3"/>
  <c r="O152" i="3"/>
  <c r="O30" i="3"/>
  <c r="O31" i="3"/>
  <c r="O32" i="3"/>
  <c r="O33" i="3"/>
  <c r="O241" i="3"/>
  <c r="O216" i="3"/>
  <c r="O217" i="3"/>
  <c r="O218" i="3"/>
  <c r="O219" i="3"/>
  <c r="O200" i="3"/>
  <c r="O201" i="3"/>
  <c r="O202" i="3"/>
  <c r="O203" i="3"/>
  <c r="O204" i="3"/>
  <c r="O205" i="3"/>
  <c r="O208" i="3"/>
  <c r="O210" i="3"/>
  <c r="O211" i="3"/>
  <c r="O212" i="3"/>
  <c r="O213" i="3"/>
  <c r="O220" i="3"/>
  <c r="O232" i="3"/>
  <c r="O185" i="3"/>
  <c r="O190" i="3"/>
  <c r="O259" i="3"/>
  <c r="P231" i="3"/>
  <c r="P215" i="3"/>
  <c r="P18" i="3"/>
  <c r="P19" i="3"/>
  <c r="P20" i="3"/>
  <c r="P21" i="3"/>
  <c r="P22" i="3"/>
  <c r="P17" i="3"/>
  <c r="P23" i="3"/>
  <c r="P24" i="3"/>
  <c r="P25" i="3"/>
  <c r="O275" i="3"/>
  <c r="O272" i="3"/>
  <c r="O191" i="3"/>
  <c r="O195" i="3"/>
  <c r="O193" i="3"/>
  <c r="O196" i="3"/>
  <c r="O197" i="3"/>
  <c r="O261" i="3"/>
  <c r="O262" i="3"/>
  <c r="O235" i="3"/>
  <c r="O194" i="3"/>
  <c r="O243" i="3"/>
  <c r="O244" i="3"/>
  <c r="O245" i="3"/>
  <c r="O246" i="3"/>
  <c r="O186" i="3"/>
  <c r="O250" i="3"/>
  <c r="O187" i="3"/>
  <c r="O251" i="3"/>
  <c r="O188" i="3"/>
  <c r="O252" i="3"/>
  <c r="O253" i="3"/>
  <c r="O254" i="3"/>
  <c r="O255" i="3"/>
  <c r="O256" i="3"/>
  <c r="O257" i="3"/>
  <c r="O274" i="3"/>
  <c r="O276" i="3"/>
  <c r="O184" i="3"/>
  <c r="P151" i="3"/>
  <c r="P29" i="3"/>
  <c r="P152" i="3"/>
  <c r="P30" i="3"/>
  <c r="P31" i="3"/>
  <c r="P32" i="3"/>
  <c r="P33" i="3"/>
  <c r="P241" i="3"/>
  <c r="P216" i="3"/>
  <c r="P217" i="3"/>
  <c r="P218" i="3"/>
  <c r="P219" i="3"/>
  <c r="P200" i="3"/>
  <c r="P201" i="3"/>
  <c r="P202" i="3"/>
  <c r="P203" i="3"/>
  <c r="P204" i="3"/>
  <c r="P205" i="3"/>
  <c r="P208" i="3"/>
  <c r="P210" i="3"/>
  <c r="P211" i="3"/>
  <c r="P212" i="3"/>
  <c r="P213" i="3"/>
  <c r="P220" i="3"/>
  <c r="P232" i="3"/>
  <c r="P185" i="3"/>
  <c r="P190" i="3"/>
  <c r="P259" i="3"/>
  <c r="Q231" i="3"/>
  <c r="Q215" i="3"/>
  <c r="Q18" i="3"/>
  <c r="Q19" i="3"/>
  <c r="Q20" i="3"/>
  <c r="Q21" i="3"/>
  <c r="Q22" i="3"/>
  <c r="Q17" i="3"/>
  <c r="Q23" i="3"/>
  <c r="Q24" i="3"/>
  <c r="Q25" i="3"/>
  <c r="P275" i="3"/>
  <c r="P272" i="3"/>
  <c r="P191" i="3"/>
  <c r="P195" i="3"/>
  <c r="P193" i="3"/>
  <c r="P196" i="3"/>
  <c r="P197" i="3"/>
  <c r="P261" i="3"/>
  <c r="P262" i="3"/>
  <c r="P235" i="3"/>
  <c r="P194" i="3"/>
  <c r="P243" i="3"/>
  <c r="P244" i="3"/>
  <c r="P245" i="3"/>
  <c r="P246" i="3"/>
  <c r="P186" i="3"/>
  <c r="P250" i="3"/>
  <c r="P187" i="3"/>
  <c r="P251" i="3"/>
  <c r="P188" i="3"/>
  <c r="P252" i="3"/>
  <c r="P253" i="3"/>
  <c r="P254" i="3"/>
  <c r="P255" i="3"/>
  <c r="P256" i="3"/>
  <c r="P257" i="3"/>
  <c r="P274" i="3"/>
  <c r="P276" i="3"/>
  <c r="P184" i="3"/>
  <c r="Q151" i="3"/>
  <c r="Q29" i="3"/>
  <c r="Q152" i="3"/>
  <c r="Q30" i="3"/>
  <c r="Q31" i="3"/>
  <c r="Q32" i="3"/>
  <c r="Q33" i="3"/>
  <c r="Q241" i="3"/>
  <c r="Q216" i="3"/>
  <c r="Q217" i="3"/>
  <c r="Q218" i="3"/>
  <c r="Q219" i="3"/>
  <c r="Q200" i="3"/>
  <c r="Q201" i="3"/>
  <c r="Q202" i="3"/>
  <c r="Q203" i="3"/>
  <c r="Q204" i="3"/>
  <c r="Q205" i="3"/>
  <c r="Q208" i="3"/>
  <c r="Q210" i="3"/>
  <c r="Q211" i="3"/>
  <c r="Q212" i="3"/>
  <c r="Q213" i="3"/>
  <c r="Q220" i="3"/>
  <c r="Q232" i="3"/>
  <c r="Q185" i="3"/>
  <c r="Q190" i="3"/>
  <c r="Q259" i="3"/>
  <c r="R259" i="3"/>
  <c r="R260" i="3"/>
  <c r="Q191" i="3"/>
  <c r="Q195" i="3"/>
  <c r="Q193" i="3"/>
  <c r="Q196" i="3"/>
  <c r="Q197" i="3"/>
  <c r="Q261" i="3"/>
  <c r="R261" i="3"/>
  <c r="R262" i="3"/>
  <c r="R13" i="3"/>
  <c r="R14" i="3"/>
  <c r="R15" i="3"/>
  <c r="R16" i="3"/>
  <c r="R18" i="3"/>
  <c r="R19" i="3"/>
  <c r="R20" i="3"/>
  <c r="R21" i="3"/>
  <c r="R22" i="3"/>
  <c r="R17" i="3"/>
  <c r="R23" i="3"/>
  <c r="R24" i="3"/>
  <c r="R25" i="3"/>
  <c r="R29" i="3"/>
  <c r="R30" i="3"/>
  <c r="R28" i="3"/>
  <c r="R31" i="3"/>
  <c r="R32" i="3"/>
  <c r="R33" i="3"/>
  <c r="R241" i="3"/>
  <c r="R242" i="3"/>
  <c r="Q235" i="3"/>
  <c r="Q194" i="3"/>
  <c r="Q243" i="3"/>
  <c r="R243" i="3"/>
  <c r="Q244" i="3"/>
  <c r="R244" i="3"/>
  <c r="Q245" i="3"/>
  <c r="R245" i="3"/>
  <c r="Q246" i="3"/>
  <c r="R246" i="3"/>
  <c r="R247" i="3"/>
  <c r="R248" i="3"/>
  <c r="Q186" i="3"/>
  <c r="Q250" i="3"/>
  <c r="R250" i="3"/>
  <c r="Q187" i="3"/>
  <c r="Q251" i="3"/>
  <c r="R251" i="3"/>
  <c r="Q188" i="3"/>
  <c r="Q252" i="3"/>
  <c r="R252" i="3"/>
  <c r="Q253" i="3"/>
  <c r="R253" i="3"/>
  <c r="Q254" i="3"/>
  <c r="R254" i="3"/>
  <c r="Q255" i="3"/>
  <c r="R255" i="3"/>
  <c r="Q256" i="3"/>
  <c r="R256" i="3"/>
  <c r="R257" i="3"/>
  <c r="R273" i="3"/>
  <c r="R274" i="3"/>
  <c r="R276" i="3"/>
  <c r="S275" i="3"/>
  <c r="S209" i="3"/>
  <c r="S264" i="3"/>
  <c r="T209" i="3"/>
  <c r="T264" i="3"/>
  <c r="U209" i="3"/>
  <c r="U264" i="3"/>
  <c r="V209" i="3"/>
  <c r="V264" i="3"/>
  <c r="W264" i="3"/>
  <c r="W265" i="3"/>
  <c r="W266" i="3"/>
  <c r="W267" i="3"/>
  <c r="S43" i="3"/>
  <c r="S157" i="3"/>
  <c r="S159" i="3"/>
  <c r="S161" i="3"/>
  <c r="S38" i="3"/>
  <c r="S268" i="3"/>
  <c r="T43" i="3"/>
  <c r="T157" i="3"/>
  <c r="T159" i="3"/>
  <c r="T161" i="3"/>
  <c r="T38" i="3"/>
  <c r="T268" i="3"/>
  <c r="U43" i="3"/>
  <c r="U157" i="3"/>
  <c r="U159" i="3"/>
  <c r="U161" i="3"/>
  <c r="U38" i="3"/>
  <c r="U268" i="3"/>
  <c r="V43" i="3"/>
  <c r="V157" i="3"/>
  <c r="V159" i="3"/>
  <c r="V161" i="3"/>
  <c r="V38" i="3"/>
  <c r="V268" i="3"/>
  <c r="W268" i="3"/>
  <c r="S269" i="3"/>
  <c r="T269" i="3"/>
  <c r="U269" i="3"/>
  <c r="V269" i="3"/>
  <c r="W269" i="3"/>
  <c r="S288" i="3"/>
  <c r="S247" i="3"/>
  <c r="S270" i="3"/>
  <c r="T288" i="3"/>
  <c r="T247" i="3"/>
  <c r="T270" i="3"/>
  <c r="U288" i="3"/>
  <c r="U247" i="3"/>
  <c r="U270" i="3"/>
  <c r="V288" i="3"/>
  <c r="V247" i="3"/>
  <c r="V270" i="3"/>
  <c r="W270" i="3"/>
  <c r="W271" i="3"/>
  <c r="W272" i="3"/>
  <c r="S231" i="3"/>
  <c r="S215" i="3"/>
  <c r="S18" i="3"/>
  <c r="S19" i="3"/>
  <c r="S20" i="3"/>
  <c r="S21" i="3"/>
  <c r="S22" i="3"/>
  <c r="S17" i="3"/>
  <c r="S23" i="3"/>
  <c r="S24" i="3"/>
  <c r="S25" i="3"/>
  <c r="Q275" i="3"/>
  <c r="Q272" i="3"/>
  <c r="Q262" i="3"/>
  <c r="Q257" i="3"/>
  <c r="Q274" i="3"/>
  <c r="Q276" i="3"/>
  <c r="Q184" i="3"/>
  <c r="S151" i="3"/>
  <c r="S29" i="3"/>
  <c r="S152" i="3"/>
  <c r="S30" i="3"/>
  <c r="S31" i="3"/>
  <c r="S150" i="3"/>
  <c r="S32" i="3"/>
  <c r="S33" i="3"/>
  <c r="S241" i="3"/>
  <c r="S216" i="3"/>
  <c r="S217" i="3"/>
  <c r="S218" i="3"/>
  <c r="S219" i="3"/>
  <c r="I229" i="3"/>
  <c r="S229" i="3"/>
  <c r="S200" i="3"/>
  <c r="R201" i="3"/>
  <c r="S201" i="3"/>
  <c r="S202" i="3"/>
  <c r="S203" i="3"/>
  <c r="S204" i="3"/>
  <c r="S205" i="3"/>
  <c r="S208" i="3"/>
  <c r="S210" i="3"/>
  <c r="S211" i="3"/>
  <c r="S212" i="3"/>
  <c r="S213" i="3"/>
  <c r="S220" i="3"/>
  <c r="S232" i="3"/>
  <c r="S185" i="3"/>
  <c r="S190" i="3"/>
  <c r="S259" i="3"/>
  <c r="T231" i="3"/>
  <c r="T215" i="3"/>
  <c r="T18" i="3"/>
  <c r="T19" i="3"/>
  <c r="T20" i="3"/>
  <c r="T21" i="3"/>
  <c r="T22" i="3"/>
  <c r="T17" i="3"/>
  <c r="T23" i="3"/>
  <c r="T24" i="3"/>
  <c r="T25" i="3"/>
  <c r="S272" i="3"/>
  <c r="S191" i="3"/>
  <c r="S195" i="3"/>
  <c r="S193" i="3"/>
  <c r="S196" i="3"/>
  <c r="S197" i="3"/>
  <c r="S261" i="3"/>
  <c r="S262" i="3"/>
  <c r="S235" i="3"/>
  <c r="S194" i="3"/>
  <c r="S243" i="3"/>
  <c r="S244" i="3"/>
  <c r="S245" i="3"/>
  <c r="S246" i="3"/>
  <c r="S225" i="3"/>
  <c r="S186" i="3"/>
  <c r="S250" i="3"/>
  <c r="S227" i="3"/>
  <c r="S187" i="3"/>
  <c r="S251" i="3"/>
  <c r="S188" i="3"/>
  <c r="S252" i="3"/>
  <c r="S253" i="3"/>
  <c r="S254" i="3"/>
  <c r="S255" i="3"/>
  <c r="S256" i="3"/>
  <c r="S257" i="3"/>
  <c r="S274" i="3"/>
  <c r="S276" i="3"/>
  <c r="S184" i="3"/>
  <c r="T151" i="3"/>
  <c r="T29" i="3"/>
  <c r="T152" i="3"/>
  <c r="T30" i="3"/>
  <c r="T31" i="3"/>
  <c r="T150" i="3"/>
  <c r="T32" i="3"/>
  <c r="T33" i="3"/>
  <c r="T241" i="3"/>
  <c r="T216" i="3"/>
  <c r="T217" i="3"/>
  <c r="T218" i="3"/>
  <c r="T219" i="3"/>
  <c r="J229" i="3"/>
  <c r="T229" i="3"/>
  <c r="T200" i="3"/>
  <c r="T201" i="3"/>
  <c r="T202" i="3"/>
  <c r="T203" i="3"/>
  <c r="T204" i="3"/>
  <c r="T205" i="3"/>
  <c r="T208" i="3"/>
  <c r="T210" i="3"/>
  <c r="T211" i="3"/>
  <c r="T212" i="3"/>
  <c r="T213" i="3"/>
  <c r="T220" i="3"/>
  <c r="T232" i="3"/>
  <c r="T185" i="3"/>
  <c r="T190" i="3"/>
  <c r="T259" i="3"/>
  <c r="U231" i="3"/>
  <c r="U215" i="3"/>
  <c r="U18" i="3"/>
  <c r="U19" i="3"/>
  <c r="U20" i="3"/>
  <c r="U21" i="3"/>
  <c r="U22" i="3"/>
  <c r="U17" i="3"/>
  <c r="U23" i="3"/>
  <c r="U24" i="3"/>
  <c r="U25" i="3"/>
  <c r="T275" i="3"/>
  <c r="T272" i="3"/>
  <c r="T191" i="3"/>
  <c r="T195" i="3"/>
  <c r="T193" i="3"/>
  <c r="T196" i="3"/>
  <c r="T197" i="3"/>
  <c r="T261" i="3"/>
  <c r="T262" i="3"/>
  <c r="T235" i="3"/>
  <c r="T194" i="3"/>
  <c r="T243" i="3"/>
  <c r="T244" i="3"/>
  <c r="T245" i="3"/>
  <c r="T246" i="3"/>
  <c r="T225" i="3"/>
  <c r="T186" i="3"/>
  <c r="T250" i="3"/>
  <c r="T227" i="3"/>
  <c r="T187" i="3"/>
  <c r="T251" i="3"/>
  <c r="T188" i="3"/>
  <c r="T252" i="3"/>
  <c r="T253" i="3"/>
  <c r="T254" i="3"/>
  <c r="T255" i="3"/>
  <c r="T256" i="3"/>
  <c r="T257" i="3"/>
  <c r="T274" i="3"/>
  <c r="T276" i="3"/>
  <c r="T184" i="3"/>
  <c r="U151" i="3"/>
  <c r="U29" i="3"/>
  <c r="U152" i="3"/>
  <c r="U30" i="3"/>
  <c r="U31" i="3"/>
  <c r="U150" i="3"/>
  <c r="U32" i="3"/>
  <c r="U33" i="3"/>
  <c r="U241" i="3"/>
  <c r="U216" i="3"/>
  <c r="U217" i="3"/>
  <c r="U218" i="3"/>
  <c r="U219" i="3"/>
  <c r="K229" i="3"/>
  <c r="U229" i="3"/>
  <c r="U200" i="3"/>
  <c r="U201" i="3"/>
  <c r="U202" i="3"/>
  <c r="U203" i="3"/>
  <c r="U204" i="3"/>
  <c r="U205" i="3"/>
  <c r="U208" i="3"/>
  <c r="U210" i="3"/>
  <c r="U211" i="3"/>
  <c r="U212" i="3"/>
  <c r="U213" i="3"/>
  <c r="U220" i="3"/>
  <c r="U232" i="3"/>
  <c r="U185" i="3"/>
  <c r="U190" i="3"/>
  <c r="U259" i="3"/>
  <c r="V231" i="3"/>
  <c r="V215" i="3"/>
  <c r="V18" i="3"/>
  <c r="V19" i="3"/>
  <c r="V20" i="3"/>
  <c r="V21" i="3"/>
  <c r="V22" i="3"/>
  <c r="V17" i="3"/>
  <c r="V23" i="3"/>
  <c r="V24" i="3"/>
  <c r="V25" i="3"/>
  <c r="U275" i="3"/>
  <c r="U272" i="3"/>
  <c r="U191" i="3"/>
  <c r="U195" i="3"/>
  <c r="U193" i="3"/>
  <c r="U196" i="3"/>
  <c r="U197" i="3"/>
  <c r="U261" i="3"/>
  <c r="U262" i="3"/>
  <c r="U235" i="3"/>
  <c r="U194" i="3"/>
  <c r="U243" i="3"/>
  <c r="U244" i="3"/>
  <c r="U245" i="3"/>
  <c r="U246" i="3"/>
  <c r="U225" i="3"/>
  <c r="U186" i="3"/>
  <c r="U250" i="3"/>
  <c r="U227" i="3"/>
  <c r="U187" i="3"/>
  <c r="U251" i="3"/>
  <c r="U188" i="3"/>
  <c r="U252" i="3"/>
  <c r="U253" i="3"/>
  <c r="U254" i="3"/>
  <c r="U255" i="3"/>
  <c r="U256" i="3"/>
  <c r="U257" i="3"/>
  <c r="U274" i="3"/>
  <c r="U276" i="3"/>
  <c r="U184" i="3"/>
  <c r="V151" i="3"/>
  <c r="V29" i="3"/>
  <c r="V152" i="3"/>
  <c r="V30" i="3"/>
  <c r="V31" i="3"/>
  <c r="V150" i="3"/>
  <c r="V32" i="3"/>
  <c r="V33" i="3"/>
  <c r="V241" i="3"/>
  <c r="V216" i="3"/>
  <c r="V217" i="3"/>
  <c r="V218" i="3"/>
  <c r="V219" i="3"/>
  <c r="V229" i="3"/>
  <c r="V200" i="3"/>
  <c r="V201" i="3"/>
  <c r="V202" i="3"/>
  <c r="V203" i="3"/>
  <c r="V204" i="3"/>
  <c r="V205" i="3"/>
  <c r="V208" i="3"/>
  <c r="V210" i="3"/>
  <c r="V211" i="3"/>
  <c r="V212" i="3"/>
  <c r="V213" i="3"/>
  <c r="V220" i="3"/>
  <c r="V232" i="3"/>
  <c r="V185" i="3"/>
  <c r="V190" i="3"/>
  <c r="V259" i="3"/>
  <c r="W259" i="3"/>
  <c r="W260" i="3"/>
  <c r="V191" i="3"/>
  <c r="V195" i="3"/>
  <c r="V193" i="3"/>
  <c r="V196" i="3"/>
  <c r="V197" i="3"/>
  <c r="V261" i="3"/>
  <c r="W261" i="3"/>
  <c r="W262" i="3"/>
  <c r="W13" i="3"/>
  <c r="W14" i="3"/>
  <c r="W15" i="3"/>
  <c r="W16" i="3"/>
  <c r="W18" i="3"/>
  <c r="W19" i="3"/>
  <c r="W20" i="3"/>
  <c r="W21" i="3"/>
  <c r="W22" i="3"/>
  <c r="W17" i="3"/>
  <c r="W23" i="3"/>
  <c r="W24" i="3"/>
  <c r="W25" i="3"/>
  <c r="W29" i="3"/>
  <c r="W30" i="3"/>
  <c r="W28" i="3"/>
  <c r="W31" i="3"/>
  <c r="W32" i="3"/>
  <c r="W33" i="3"/>
  <c r="W241" i="3"/>
  <c r="W242" i="3"/>
  <c r="V235" i="3"/>
  <c r="V194" i="3"/>
  <c r="V243" i="3"/>
  <c r="W243" i="3"/>
  <c r="V244" i="3"/>
  <c r="W244" i="3"/>
  <c r="V245" i="3"/>
  <c r="W245" i="3"/>
  <c r="V246" i="3"/>
  <c r="W246" i="3"/>
  <c r="W247" i="3"/>
  <c r="W248" i="3"/>
  <c r="V225" i="3"/>
  <c r="V186" i="3"/>
  <c r="V250" i="3"/>
  <c r="W250" i="3"/>
  <c r="V227" i="3"/>
  <c r="V187" i="3"/>
  <c r="V251" i="3"/>
  <c r="W251" i="3"/>
  <c r="V188" i="3"/>
  <c r="V252" i="3"/>
  <c r="W252" i="3"/>
  <c r="V253" i="3"/>
  <c r="W253" i="3"/>
  <c r="V254" i="3"/>
  <c r="W254" i="3"/>
  <c r="V255" i="3"/>
  <c r="W255" i="3"/>
  <c r="V256" i="3"/>
  <c r="W256" i="3"/>
  <c r="W257" i="3"/>
  <c r="W273" i="3"/>
  <c r="W274" i="3"/>
  <c r="W276" i="3"/>
  <c r="X275" i="3"/>
  <c r="X209" i="3"/>
  <c r="X264" i="3"/>
  <c r="Y209" i="3"/>
  <c r="Y264" i="3"/>
  <c r="Z209" i="3"/>
  <c r="Z264" i="3"/>
  <c r="AA209" i="3"/>
  <c r="AA264" i="3"/>
  <c r="AB264" i="3"/>
  <c r="AB265" i="3"/>
  <c r="AB266" i="3"/>
  <c r="AB267" i="3"/>
  <c r="X43" i="3"/>
  <c r="X157" i="3"/>
  <c r="X159" i="3"/>
  <c r="X161" i="3"/>
  <c r="X38" i="3"/>
  <c r="X268" i="3"/>
  <c r="Y43" i="3"/>
  <c r="Y157" i="3"/>
  <c r="Y159" i="3"/>
  <c r="Y161" i="3"/>
  <c r="Y38" i="3"/>
  <c r="Y268" i="3"/>
  <c r="Z43" i="3"/>
  <c r="Z157" i="3"/>
  <c r="Z159" i="3"/>
  <c r="Z161" i="3"/>
  <c r="Z38" i="3"/>
  <c r="Z268" i="3"/>
  <c r="AA43" i="3"/>
  <c r="AA157" i="3"/>
  <c r="AA159" i="3"/>
  <c r="AA161" i="3"/>
  <c r="AA38" i="3"/>
  <c r="AA268" i="3"/>
  <c r="AB268" i="3"/>
  <c r="X269" i="3"/>
  <c r="Y269" i="3"/>
  <c r="Z269" i="3"/>
  <c r="AA269" i="3"/>
  <c r="AB269" i="3"/>
  <c r="X288" i="3"/>
  <c r="X247" i="3"/>
  <c r="X270" i="3"/>
  <c r="Y288" i="3"/>
  <c r="Y247" i="3"/>
  <c r="Y270" i="3"/>
  <c r="Z288" i="3"/>
  <c r="Z247" i="3"/>
  <c r="Z270" i="3"/>
  <c r="AA288" i="3"/>
  <c r="AA247" i="3"/>
  <c r="AA270" i="3"/>
  <c r="AB270" i="3"/>
  <c r="AB271" i="3"/>
  <c r="AB272" i="3"/>
  <c r="X231" i="3"/>
  <c r="X215" i="3"/>
  <c r="X18" i="3"/>
  <c r="X19" i="3"/>
  <c r="X20" i="3"/>
  <c r="X21" i="3"/>
  <c r="X22" i="3"/>
  <c r="X17" i="3"/>
  <c r="X23" i="3"/>
  <c r="X24" i="3"/>
  <c r="X25" i="3"/>
  <c r="V275" i="3"/>
  <c r="V272" i="3"/>
  <c r="V262" i="3"/>
  <c r="V257" i="3"/>
  <c r="V274" i="3"/>
  <c r="V276" i="3"/>
  <c r="V184" i="3"/>
  <c r="X151" i="3"/>
  <c r="X29" i="3"/>
  <c r="X152" i="3"/>
  <c r="X30" i="3"/>
  <c r="X31" i="3"/>
  <c r="X150" i="3"/>
  <c r="X32" i="3"/>
  <c r="X33" i="3"/>
  <c r="X241" i="3"/>
  <c r="X216" i="3"/>
  <c r="X217" i="3"/>
  <c r="X218" i="3"/>
  <c r="X219" i="3"/>
  <c r="X229" i="3"/>
  <c r="X200" i="3"/>
  <c r="W201" i="3"/>
  <c r="X201" i="3"/>
  <c r="X202" i="3"/>
  <c r="X203" i="3"/>
  <c r="X204" i="3"/>
  <c r="X205" i="3"/>
  <c r="X208" i="3"/>
  <c r="X210" i="3"/>
  <c r="X211" i="3"/>
  <c r="X212" i="3"/>
  <c r="X213" i="3"/>
  <c r="X220" i="3"/>
  <c r="X232" i="3"/>
  <c r="X185" i="3"/>
  <c r="X190" i="3"/>
  <c r="X259" i="3"/>
  <c r="Y231" i="3"/>
  <c r="Y215" i="3"/>
  <c r="Y18" i="3"/>
  <c r="Y19" i="3"/>
  <c r="Y20" i="3"/>
  <c r="Y21" i="3"/>
  <c r="Y22" i="3"/>
  <c r="Y17" i="3"/>
  <c r="Y23" i="3"/>
  <c r="Y24" i="3"/>
  <c r="Y25" i="3"/>
  <c r="X272" i="3"/>
  <c r="X191" i="3"/>
  <c r="X195" i="3"/>
  <c r="X193" i="3"/>
  <c r="X196" i="3"/>
  <c r="X197" i="3"/>
  <c r="X261" i="3"/>
  <c r="X262" i="3"/>
  <c r="X235" i="3"/>
  <c r="X194" i="3"/>
  <c r="X243" i="3"/>
  <c r="X244" i="3"/>
  <c r="X245" i="3"/>
  <c r="X246" i="3"/>
  <c r="X225" i="3"/>
  <c r="X186" i="3"/>
  <c r="X250" i="3"/>
  <c r="X227" i="3"/>
  <c r="X187" i="3"/>
  <c r="X251" i="3"/>
  <c r="X188" i="3"/>
  <c r="X252" i="3"/>
  <c r="X253" i="3"/>
  <c r="X254" i="3"/>
  <c r="X255" i="3"/>
  <c r="X256" i="3"/>
  <c r="X257" i="3"/>
  <c r="X274" i="3"/>
  <c r="X276" i="3"/>
  <c r="X184" i="3"/>
  <c r="Y151" i="3"/>
  <c r="Y29" i="3"/>
  <c r="Y152" i="3"/>
  <c r="Y30" i="3"/>
  <c r="Y31" i="3"/>
  <c r="Y150" i="3"/>
  <c r="Y32" i="3"/>
  <c r="Y33" i="3"/>
  <c r="Y241" i="3"/>
  <c r="Y216" i="3"/>
  <c r="Y217" i="3"/>
  <c r="Y218" i="3"/>
  <c r="Y219" i="3"/>
  <c r="Y229" i="3"/>
  <c r="Y200" i="3"/>
  <c r="Y201" i="3"/>
  <c r="Y202" i="3"/>
  <c r="Y203" i="3"/>
  <c r="Y204" i="3"/>
  <c r="Y205" i="3"/>
  <c r="Y208" i="3"/>
  <c r="Y210" i="3"/>
  <c r="Y211" i="3"/>
  <c r="Y212" i="3"/>
  <c r="Y213" i="3"/>
  <c r="Y220" i="3"/>
  <c r="Y232" i="3"/>
  <c r="Y185" i="3"/>
  <c r="Y190" i="3"/>
  <c r="Y259" i="3"/>
  <c r="Z231" i="3"/>
  <c r="Z215" i="3"/>
  <c r="Z18" i="3"/>
  <c r="Z19" i="3"/>
  <c r="Z20" i="3"/>
  <c r="Z21" i="3"/>
  <c r="Z22" i="3"/>
  <c r="Z17" i="3"/>
  <c r="Z23" i="3"/>
  <c r="Z24" i="3"/>
  <c r="Z25" i="3"/>
  <c r="Y275" i="3"/>
  <c r="Y272" i="3"/>
  <c r="Y191" i="3"/>
  <c r="Y195" i="3"/>
  <c r="Y193" i="3"/>
  <c r="Y196" i="3"/>
  <c r="Y197" i="3"/>
  <c r="Y261" i="3"/>
  <c r="Y262" i="3"/>
  <c r="Y235" i="3"/>
  <c r="Y194" i="3"/>
  <c r="Y243" i="3"/>
  <c r="Y244" i="3"/>
  <c r="Y245" i="3"/>
  <c r="Y246" i="3"/>
  <c r="Y225" i="3"/>
  <c r="Y186" i="3"/>
  <c r="Y250" i="3"/>
  <c r="Y227" i="3"/>
  <c r="Y187" i="3"/>
  <c r="Y251" i="3"/>
  <c r="Y188" i="3"/>
  <c r="Y252" i="3"/>
  <c r="Y253" i="3"/>
  <c r="Y254" i="3"/>
  <c r="Y255" i="3"/>
  <c r="Y256" i="3"/>
  <c r="Y257" i="3"/>
  <c r="Y274" i="3"/>
  <c r="Y276" i="3"/>
  <c r="Y184" i="3"/>
  <c r="Z151" i="3"/>
  <c r="Z29" i="3"/>
  <c r="Z152" i="3"/>
  <c r="Z30" i="3"/>
  <c r="Z31" i="3"/>
  <c r="Z150" i="3"/>
  <c r="Z32" i="3"/>
  <c r="Z33" i="3"/>
  <c r="Z241" i="3"/>
  <c r="Z216" i="3"/>
  <c r="Z217" i="3"/>
  <c r="Z218" i="3"/>
  <c r="Z219" i="3"/>
  <c r="Z229" i="3"/>
  <c r="Z200" i="3"/>
  <c r="Z201" i="3"/>
  <c r="Z202" i="3"/>
  <c r="Z203" i="3"/>
  <c r="Z204" i="3"/>
  <c r="Z205" i="3"/>
  <c r="Z208" i="3"/>
  <c r="Z210" i="3"/>
  <c r="Z211" i="3"/>
  <c r="Z212" i="3"/>
  <c r="Z213" i="3"/>
  <c r="Z220" i="3"/>
  <c r="Z232" i="3"/>
  <c r="Z185" i="3"/>
  <c r="Z190" i="3"/>
  <c r="Z259" i="3"/>
  <c r="AA231" i="3"/>
  <c r="AA215" i="3"/>
  <c r="AA18" i="3"/>
  <c r="AA19" i="3"/>
  <c r="AA20" i="3"/>
  <c r="AA21" i="3"/>
  <c r="AA22" i="3"/>
  <c r="AA17" i="3"/>
  <c r="AA23" i="3"/>
  <c r="AA24" i="3"/>
  <c r="AA25" i="3"/>
  <c r="Z275" i="3"/>
  <c r="Z272" i="3"/>
  <c r="Z191" i="3"/>
  <c r="Z195" i="3"/>
  <c r="Z193" i="3"/>
  <c r="Z196" i="3"/>
  <c r="Z197" i="3"/>
  <c r="Z261" i="3"/>
  <c r="Z262" i="3"/>
  <c r="Z235" i="3"/>
  <c r="Z194" i="3"/>
  <c r="Z243" i="3"/>
  <c r="Z244" i="3"/>
  <c r="Z245" i="3"/>
  <c r="Z246" i="3"/>
  <c r="Z225" i="3"/>
  <c r="Z186" i="3"/>
  <c r="Z250" i="3"/>
  <c r="Z227" i="3"/>
  <c r="Z187" i="3"/>
  <c r="Z251" i="3"/>
  <c r="Z188" i="3"/>
  <c r="Z252" i="3"/>
  <c r="Z253" i="3"/>
  <c r="Z254" i="3"/>
  <c r="Z255" i="3"/>
  <c r="Z256" i="3"/>
  <c r="Z257" i="3"/>
  <c r="Z274" i="3"/>
  <c r="Z276" i="3"/>
  <c r="Z184" i="3"/>
  <c r="AA151" i="3"/>
  <c r="AA29" i="3"/>
  <c r="AA152" i="3"/>
  <c r="AA30" i="3"/>
  <c r="AA31" i="3"/>
  <c r="AA150" i="3"/>
  <c r="AA32" i="3"/>
  <c r="AA33" i="3"/>
  <c r="AA241" i="3"/>
  <c r="AA216" i="3"/>
  <c r="AA217" i="3"/>
  <c r="AA218" i="3"/>
  <c r="AA219" i="3"/>
  <c r="AA229" i="3"/>
  <c r="AA200" i="3"/>
  <c r="AA201" i="3"/>
  <c r="AA202" i="3"/>
  <c r="AA203" i="3"/>
  <c r="AA204" i="3"/>
  <c r="AA205" i="3"/>
  <c r="AA208" i="3"/>
  <c r="AA210" i="3"/>
  <c r="AA211" i="3"/>
  <c r="AA212" i="3"/>
  <c r="AA213" i="3"/>
  <c r="AA220" i="3"/>
  <c r="AA232" i="3"/>
  <c r="AA185" i="3"/>
  <c r="AA190" i="3"/>
  <c r="AA259" i="3"/>
  <c r="AB259" i="3"/>
  <c r="AB260" i="3"/>
  <c r="AA191" i="3"/>
  <c r="AA195" i="3"/>
  <c r="AA193" i="3"/>
  <c r="AA196" i="3"/>
  <c r="AA197" i="3"/>
  <c r="AA261" i="3"/>
  <c r="AB261" i="3"/>
  <c r="AB262" i="3"/>
  <c r="AB13" i="3"/>
  <c r="AB14" i="3"/>
  <c r="AB15" i="3"/>
  <c r="AB16" i="3"/>
  <c r="AB18" i="3"/>
  <c r="AB19" i="3"/>
  <c r="AB20" i="3"/>
  <c r="AB21" i="3"/>
  <c r="AB22" i="3"/>
  <c r="AB17" i="3"/>
  <c r="AB23" i="3"/>
  <c r="AB24" i="3"/>
  <c r="AB25" i="3"/>
  <c r="AB29" i="3"/>
  <c r="AB30" i="3"/>
  <c r="AB28" i="3"/>
  <c r="AB31" i="3"/>
  <c r="AB32" i="3"/>
  <c r="AB33" i="3"/>
  <c r="AB241" i="3"/>
  <c r="AB242" i="3"/>
  <c r="AA235" i="3"/>
  <c r="AA194" i="3"/>
  <c r="AA243" i="3"/>
  <c r="AB243" i="3"/>
  <c r="AA244" i="3"/>
  <c r="AB244" i="3"/>
  <c r="AA245" i="3"/>
  <c r="AB245" i="3"/>
  <c r="AA246" i="3"/>
  <c r="AB246" i="3"/>
  <c r="AB247" i="3"/>
  <c r="AB248" i="3"/>
  <c r="AA225" i="3"/>
  <c r="AA186" i="3"/>
  <c r="AA250" i="3"/>
  <c r="AB250" i="3"/>
  <c r="AA227" i="3"/>
  <c r="AA187" i="3"/>
  <c r="AA251" i="3"/>
  <c r="AB251" i="3"/>
  <c r="AA188" i="3"/>
  <c r="AA252" i="3"/>
  <c r="AB252" i="3"/>
  <c r="AA253" i="3"/>
  <c r="AB253" i="3"/>
  <c r="AA254" i="3"/>
  <c r="AB254" i="3"/>
  <c r="AA255" i="3"/>
  <c r="AB255" i="3"/>
  <c r="AA256" i="3"/>
  <c r="AB256" i="3"/>
  <c r="AB257" i="3"/>
  <c r="AB273" i="3"/>
  <c r="AB274" i="3"/>
  <c r="AB276" i="3"/>
  <c r="AC275" i="3"/>
  <c r="AC206" i="3"/>
  <c r="AC209" i="3"/>
  <c r="AC264" i="3"/>
  <c r="AC43" i="3"/>
  <c r="AC157" i="3"/>
  <c r="AC159" i="3"/>
  <c r="AC161" i="3"/>
  <c r="AC38" i="3"/>
  <c r="AC268" i="3"/>
  <c r="AC269" i="3"/>
  <c r="AC288" i="3"/>
  <c r="AC247" i="3"/>
  <c r="AC270" i="3"/>
  <c r="AC272" i="3"/>
  <c r="AC231" i="3"/>
  <c r="AC215" i="3"/>
  <c r="AC18" i="3"/>
  <c r="AC19" i="3"/>
  <c r="AC20" i="3"/>
  <c r="AC21" i="3"/>
  <c r="AC22" i="3"/>
  <c r="AC17" i="3"/>
  <c r="AC23" i="3"/>
  <c r="AC24" i="3"/>
  <c r="AC25" i="3"/>
  <c r="AA275" i="3"/>
  <c r="AA272" i="3"/>
  <c r="AA262" i="3"/>
  <c r="AA257" i="3"/>
  <c r="AA274" i="3"/>
  <c r="AA276" i="3"/>
  <c r="AA184" i="3"/>
  <c r="AC151" i="3"/>
  <c r="AC29" i="3"/>
  <c r="AC152" i="3"/>
  <c r="AC30" i="3"/>
  <c r="AC31" i="3"/>
  <c r="AC150" i="3"/>
  <c r="AC32" i="3"/>
  <c r="AC33" i="3"/>
  <c r="AC241" i="3"/>
  <c r="AC216" i="3"/>
  <c r="AC217" i="3"/>
  <c r="AC218" i="3"/>
  <c r="AC219" i="3"/>
  <c r="AC229" i="3"/>
  <c r="AC200" i="3"/>
  <c r="AB201" i="3"/>
  <c r="AC201" i="3"/>
  <c r="AC202" i="3"/>
  <c r="AC203" i="3"/>
  <c r="AC204" i="3"/>
  <c r="AC205" i="3"/>
  <c r="AC208" i="3"/>
  <c r="AC210" i="3"/>
  <c r="AC211" i="3"/>
  <c r="AC212" i="3"/>
  <c r="AC213" i="3"/>
  <c r="AC220" i="3"/>
  <c r="AC232" i="3"/>
  <c r="AC185" i="3"/>
  <c r="AC190" i="3"/>
  <c r="AC259" i="3"/>
  <c r="AC191" i="3"/>
  <c r="AC195" i="3"/>
  <c r="AC193" i="3"/>
  <c r="AC196" i="3"/>
  <c r="AC197" i="3"/>
  <c r="AC261" i="3"/>
  <c r="AC262" i="3"/>
  <c r="AC235" i="3"/>
  <c r="AC194" i="3"/>
  <c r="AC243" i="3"/>
  <c r="AC244" i="3"/>
  <c r="AC245" i="3"/>
  <c r="AC246" i="3"/>
  <c r="AC225" i="3"/>
  <c r="AC186" i="3"/>
  <c r="AC250" i="3"/>
  <c r="AC227" i="3"/>
  <c r="AC187" i="3"/>
  <c r="AC251" i="3"/>
  <c r="AC188" i="3"/>
  <c r="AC252" i="3"/>
  <c r="AC253" i="3"/>
  <c r="AC254" i="3"/>
  <c r="AC255" i="3"/>
  <c r="AC256" i="3"/>
  <c r="AC257" i="3"/>
  <c r="AC274" i="3"/>
  <c r="AC276" i="3"/>
  <c r="AD275" i="3"/>
  <c r="AD206" i="3"/>
  <c r="AD209" i="3"/>
  <c r="AD264" i="3"/>
  <c r="AD43" i="3"/>
  <c r="AD157" i="3"/>
  <c r="AD159" i="3"/>
  <c r="AD161" i="3"/>
  <c r="AD38" i="3"/>
  <c r="AD268" i="3"/>
  <c r="AD269" i="3"/>
  <c r="AD288" i="3"/>
  <c r="AD247" i="3"/>
  <c r="AD270" i="3"/>
  <c r="AD272" i="3"/>
  <c r="AD231" i="3"/>
  <c r="AD215" i="3"/>
  <c r="AD18" i="3"/>
  <c r="AD19" i="3"/>
  <c r="AD20" i="3"/>
  <c r="AD21" i="3"/>
  <c r="AD22" i="3"/>
  <c r="AD17" i="3"/>
  <c r="AD23" i="3"/>
  <c r="AD24" i="3"/>
  <c r="AD25" i="3"/>
  <c r="AC184" i="3"/>
  <c r="AD151" i="3"/>
  <c r="AD29" i="3"/>
  <c r="AD152" i="3"/>
  <c r="AD30" i="3"/>
  <c r="AD31" i="3"/>
  <c r="AD150" i="3"/>
  <c r="AD32" i="3"/>
  <c r="AD33" i="3"/>
  <c r="AD241" i="3"/>
  <c r="AD216" i="3"/>
  <c r="AD217" i="3"/>
  <c r="AD218" i="3"/>
  <c r="AD219" i="3"/>
  <c r="AD229" i="3"/>
  <c r="AD200" i="3"/>
  <c r="AD201" i="3"/>
  <c r="AD202" i="3"/>
  <c r="AD203" i="3"/>
  <c r="AD204" i="3"/>
  <c r="AD205" i="3"/>
  <c r="AD208" i="3"/>
  <c r="AD210" i="3"/>
  <c r="AD211" i="3"/>
  <c r="AD212" i="3"/>
  <c r="AD213" i="3"/>
  <c r="AD220" i="3"/>
  <c r="AD232" i="3"/>
  <c r="AD185" i="3"/>
  <c r="AD190" i="3"/>
  <c r="AD259" i="3"/>
  <c r="AD191" i="3"/>
  <c r="AD195" i="3"/>
  <c r="AD193" i="3"/>
  <c r="AD196" i="3"/>
  <c r="AD197" i="3"/>
  <c r="AD261" i="3"/>
  <c r="AD262" i="3"/>
  <c r="AD235" i="3"/>
  <c r="AD194" i="3"/>
  <c r="AD243" i="3"/>
  <c r="AD244" i="3"/>
  <c r="AD245" i="3"/>
  <c r="AD246" i="3"/>
  <c r="AD225" i="3"/>
  <c r="AD186" i="3"/>
  <c r="AD250" i="3"/>
  <c r="AD227" i="3"/>
  <c r="AD187" i="3"/>
  <c r="AD251" i="3"/>
  <c r="AD188" i="3"/>
  <c r="AD252" i="3"/>
  <c r="AD253" i="3"/>
  <c r="AD254" i="3"/>
  <c r="AD255" i="3"/>
  <c r="AD256" i="3"/>
  <c r="AD257" i="3"/>
  <c r="AD274" i="3"/>
  <c r="AD276" i="3"/>
  <c r="AE275" i="3"/>
  <c r="AE206" i="3"/>
  <c r="AE209" i="3"/>
  <c r="AE264" i="3"/>
  <c r="AE43" i="3"/>
  <c r="AE157" i="3"/>
  <c r="AE159" i="3"/>
  <c r="AE161" i="3"/>
  <c r="AE38" i="3"/>
  <c r="AE268" i="3"/>
  <c r="AE269" i="3"/>
  <c r="AE288" i="3"/>
  <c r="AE247" i="3"/>
  <c r="AE270" i="3"/>
  <c r="AE272" i="3"/>
  <c r="AE231" i="3"/>
  <c r="AE215" i="3"/>
  <c r="AE18" i="3"/>
  <c r="AE19" i="3"/>
  <c r="AE20" i="3"/>
  <c r="AE21" i="3"/>
  <c r="AE22" i="3"/>
  <c r="AE17" i="3"/>
  <c r="AE23" i="3"/>
  <c r="AE24" i="3"/>
  <c r="AE25" i="3"/>
  <c r="AD184" i="3"/>
  <c r="AE151" i="3"/>
  <c r="AE29" i="3"/>
  <c r="AE152" i="3"/>
  <c r="AE30" i="3"/>
  <c r="AE31" i="3"/>
  <c r="AE150" i="3"/>
  <c r="AE32" i="3"/>
  <c r="AE33" i="3"/>
  <c r="AE241" i="3"/>
  <c r="AE216" i="3"/>
  <c r="AE217" i="3"/>
  <c r="AE218" i="3"/>
  <c r="AE219" i="3"/>
  <c r="AE229" i="3"/>
  <c r="AE200" i="3"/>
  <c r="AE201" i="3"/>
  <c r="AE202" i="3"/>
  <c r="AE203" i="3"/>
  <c r="AE204" i="3"/>
  <c r="AE205" i="3"/>
  <c r="AE208" i="3"/>
  <c r="AE210" i="3"/>
  <c r="AE211" i="3"/>
  <c r="AE212" i="3"/>
  <c r="AE213" i="3"/>
  <c r="AE220" i="3"/>
  <c r="AE232" i="3"/>
  <c r="AE185" i="3"/>
  <c r="AE190" i="3"/>
  <c r="AE259" i="3"/>
  <c r="AE191" i="3"/>
  <c r="AE195" i="3"/>
  <c r="AE193" i="3"/>
  <c r="AE196" i="3"/>
  <c r="AE197" i="3"/>
  <c r="AE261" i="3"/>
  <c r="AE262" i="3"/>
  <c r="AE235" i="3"/>
  <c r="AE194" i="3"/>
  <c r="AE243" i="3"/>
  <c r="AE244" i="3"/>
  <c r="AE245" i="3"/>
  <c r="AE246" i="3"/>
  <c r="AE225" i="3"/>
  <c r="AE186" i="3"/>
  <c r="AE250" i="3"/>
  <c r="AE227" i="3"/>
  <c r="AE187" i="3"/>
  <c r="AE251" i="3"/>
  <c r="AE188" i="3"/>
  <c r="AE252" i="3"/>
  <c r="AE253" i="3"/>
  <c r="AE254" i="3"/>
  <c r="AE255" i="3"/>
  <c r="AE256" i="3"/>
  <c r="AE257" i="3"/>
  <c r="AE274" i="3"/>
  <c r="AE276" i="3"/>
  <c r="AF275" i="3"/>
  <c r="AF209" i="3"/>
  <c r="AF264" i="3"/>
  <c r="AF43" i="3"/>
  <c r="AF157" i="3"/>
  <c r="AF159" i="3"/>
  <c r="AF161" i="3"/>
  <c r="AF38" i="3"/>
  <c r="AF268" i="3"/>
  <c r="AF269" i="3"/>
  <c r="AF288" i="3"/>
  <c r="AF247" i="3"/>
  <c r="AF270" i="3"/>
  <c r="AF272" i="3"/>
  <c r="AF231" i="3"/>
  <c r="AF215" i="3"/>
  <c r="AF18" i="3"/>
  <c r="AF19" i="3"/>
  <c r="AF20" i="3"/>
  <c r="AF21" i="3"/>
  <c r="AF22" i="3"/>
  <c r="AF17" i="3"/>
  <c r="AF23" i="3"/>
  <c r="AF24" i="3"/>
  <c r="AF25" i="3"/>
  <c r="AE184" i="3"/>
  <c r="AF151" i="3"/>
  <c r="AF29" i="3"/>
  <c r="AF152" i="3"/>
  <c r="AF30" i="3"/>
  <c r="AF31" i="3"/>
  <c r="AF150" i="3"/>
  <c r="AF32" i="3"/>
  <c r="AF33" i="3"/>
  <c r="AF241" i="3"/>
  <c r="AF216" i="3"/>
  <c r="AF217" i="3"/>
  <c r="AF218" i="3"/>
  <c r="AF219" i="3"/>
  <c r="AF229" i="3"/>
  <c r="AF200" i="3"/>
  <c r="AF201" i="3"/>
  <c r="AF202" i="3"/>
  <c r="AF203" i="3"/>
  <c r="AF204" i="3"/>
  <c r="AF205" i="3"/>
  <c r="AF208" i="3"/>
  <c r="AF210" i="3"/>
  <c r="AF211" i="3"/>
  <c r="AF212" i="3"/>
  <c r="AF213" i="3"/>
  <c r="AF220" i="3"/>
  <c r="AF232" i="3"/>
  <c r="AF185" i="3"/>
  <c r="AF190" i="3"/>
  <c r="AF259" i="3"/>
  <c r="AF191" i="3"/>
  <c r="AF195" i="3"/>
  <c r="AF193" i="3"/>
  <c r="AF196" i="3"/>
  <c r="AF197" i="3"/>
  <c r="AF261" i="3"/>
  <c r="AF262" i="3"/>
  <c r="AF235" i="3"/>
  <c r="AF194" i="3"/>
  <c r="AF243" i="3"/>
  <c r="AF244" i="3"/>
  <c r="AF245" i="3"/>
  <c r="AF246" i="3"/>
  <c r="AF225" i="3"/>
  <c r="AF186" i="3"/>
  <c r="AF250" i="3"/>
  <c r="AF227" i="3"/>
  <c r="AF187" i="3"/>
  <c r="AF251" i="3"/>
  <c r="AF188" i="3"/>
  <c r="AF252" i="3"/>
  <c r="AF253" i="3"/>
  <c r="AF254" i="3"/>
  <c r="AF255" i="3"/>
  <c r="AF256" i="3"/>
  <c r="AF257" i="3"/>
  <c r="AF274" i="3"/>
  <c r="AF276" i="3"/>
  <c r="AF184" i="3"/>
  <c r="AH151" i="3"/>
  <c r="AH29" i="3"/>
  <c r="AG264" i="3"/>
  <c r="AG265" i="3"/>
  <c r="AG266" i="3"/>
  <c r="AG267" i="3"/>
  <c r="AG268" i="3"/>
  <c r="AG269" i="3"/>
  <c r="AG270" i="3"/>
  <c r="AG271" i="3"/>
  <c r="AG272" i="3"/>
  <c r="AG259" i="3"/>
  <c r="AG260" i="3"/>
  <c r="AG261" i="3"/>
  <c r="AG262" i="3"/>
  <c r="AG13" i="3"/>
  <c r="AG14" i="3"/>
  <c r="AG15" i="3"/>
  <c r="AG16" i="3"/>
  <c r="AG18" i="3"/>
  <c r="AG19" i="3"/>
  <c r="AG20" i="3"/>
  <c r="AG21" i="3"/>
  <c r="AG22" i="3"/>
  <c r="AG17" i="3"/>
  <c r="AG23" i="3"/>
  <c r="AG24" i="3"/>
  <c r="AG25" i="3"/>
  <c r="AG29" i="3"/>
  <c r="AG30" i="3"/>
  <c r="AG28" i="3"/>
  <c r="AG31" i="3"/>
  <c r="AG32" i="3"/>
  <c r="AG33" i="3"/>
  <c r="AG241" i="3"/>
  <c r="AG242" i="3"/>
  <c r="AG243" i="3"/>
  <c r="AG244" i="3"/>
  <c r="AG245" i="3"/>
  <c r="AG246" i="3"/>
  <c r="AG247" i="3"/>
  <c r="AG248" i="3"/>
  <c r="AG250" i="3"/>
  <c r="AG251" i="3"/>
  <c r="AG252" i="3"/>
  <c r="AG253" i="3"/>
  <c r="AG254" i="3"/>
  <c r="AG255" i="3"/>
  <c r="AG256" i="3"/>
  <c r="AG257" i="3"/>
  <c r="AG273" i="3"/>
  <c r="AG274" i="3"/>
  <c r="AG276" i="3"/>
  <c r="AH275" i="3"/>
  <c r="AH206" i="3"/>
  <c r="AH209" i="3"/>
  <c r="AH264" i="3"/>
  <c r="AH43" i="3"/>
  <c r="AH157" i="3"/>
  <c r="AH159" i="3"/>
  <c r="AH161" i="3"/>
  <c r="AH38" i="3"/>
  <c r="AH268" i="3"/>
  <c r="AH269" i="3"/>
  <c r="AH288" i="3"/>
  <c r="AH247" i="3"/>
  <c r="AH270" i="3"/>
  <c r="AH272" i="3"/>
  <c r="AH231" i="3"/>
  <c r="AH215" i="3"/>
  <c r="AH23" i="3"/>
  <c r="AH25" i="3"/>
  <c r="AH152" i="3"/>
  <c r="AH30" i="3"/>
  <c r="AH31" i="3"/>
  <c r="AH150" i="3"/>
  <c r="AH32" i="3"/>
  <c r="AH33" i="3"/>
  <c r="AH241" i="3"/>
  <c r="AH216" i="3"/>
  <c r="AH217" i="3"/>
  <c r="AH218" i="3"/>
  <c r="AH219" i="3"/>
  <c r="AH229" i="3"/>
  <c r="AH200" i="3"/>
  <c r="AG201" i="3"/>
  <c r="AH201" i="3"/>
  <c r="AH202" i="3"/>
  <c r="AH203" i="3"/>
  <c r="AH204" i="3"/>
  <c r="AH205" i="3"/>
  <c r="AH208" i="3"/>
  <c r="AH210" i="3"/>
  <c r="AH211" i="3"/>
  <c r="AH212" i="3"/>
  <c r="AH213" i="3"/>
  <c r="AH220" i="3"/>
  <c r="AH232" i="3"/>
  <c r="AH185" i="3"/>
  <c r="AH190" i="3"/>
  <c r="AH259" i="3"/>
  <c r="AH191" i="3"/>
  <c r="AH195" i="3"/>
  <c r="AH193" i="3"/>
  <c r="AH196" i="3"/>
  <c r="AH197" i="3"/>
  <c r="AH261" i="3"/>
  <c r="AH262" i="3"/>
  <c r="AH235" i="3"/>
  <c r="AH194" i="3"/>
  <c r="AH243" i="3"/>
  <c r="AH244" i="3"/>
  <c r="AH245" i="3"/>
  <c r="AH246" i="3"/>
  <c r="AH225" i="3"/>
  <c r="AH186" i="3"/>
  <c r="AH250" i="3"/>
  <c r="AH227" i="3"/>
  <c r="AH187" i="3"/>
  <c r="AH251" i="3"/>
  <c r="AH188" i="3"/>
  <c r="AH252" i="3"/>
  <c r="AH253" i="3"/>
  <c r="AH254" i="3"/>
  <c r="AH255" i="3"/>
  <c r="AH256" i="3"/>
  <c r="AH257" i="3"/>
  <c r="AH274" i="3"/>
  <c r="AH276" i="3"/>
  <c r="AH184" i="3"/>
  <c r="AI151" i="3"/>
  <c r="AI29" i="3"/>
  <c r="AI275" i="3"/>
  <c r="AI206" i="3"/>
  <c r="AI209" i="3"/>
  <c r="AI264" i="3"/>
  <c r="AI43" i="3"/>
  <c r="AI157" i="3"/>
  <c r="AI159" i="3"/>
  <c r="AI161" i="3"/>
  <c r="AI38" i="3"/>
  <c r="AI268" i="3"/>
  <c r="AI269" i="3"/>
  <c r="AI288" i="3"/>
  <c r="AI247" i="3"/>
  <c r="AI270" i="3"/>
  <c r="AI272" i="3"/>
  <c r="AI231" i="3"/>
  <c r="AI215" i="3"/>
  <c r="AI23" i="3"/>
  <c r="AI25" i="3"/>
  <c r="AI152" i="3"/>
  <c r="AI30" i="3"/>
  <c r="AI31" i="3"/>
  <c r="AI150" i="3"/>
  <c r="AI32" i="3"/>
  <c r="AI33" i="3"/>
  <c r="AI241" i="3"/>
  <c r="AI216" i="3"/>
  <c r="AI217" i="3"/>
  <c r="AI218" i="3"/>
  <c r="AI219" i="3"/>
  <c r="AI229" i="3"/>
  <c r="AI200" i="3"/>
  <c r="AI201" i="3"/>
  <c r="AI202" i="3"/>
  <c r="AI203" i="3"/>
  <c r="AI204" i="3"/>
  <c r="AI205" i="3"/>
  <c r="AI208" i="3"/>
  <c r="AI210" i="3"/>
  <c r="AI211" i="3"/>
  <c r="AI212" i="3"/>
  <c r="AI213" i="3"/>
  <c r="AI220" i="3"/>
  <c r="AI232" i="3"/>
  <c r="AI185" i="3"/>
  <c r="AI190" i="3"/>
  <c r="AI259" i="3"/>
  <c r="AI191" i="3"/>
  <c r="AI195" i="3"/>
  <c r="AI193" i="3"/>
  <c r="AI196" i="3"/>
  <c r="AI197" i="3"/>
  <c r="AI261" i="3"/>
  <c r="AI262" i="3"/>
  <c r="AI235" i="3"/>
  <c r="AI194" i="3"/>
  <c r="AI243" i="3"/>
  <c r="AI244" i="3"/>
  <c r="AI245" i="3"/>
  <c r="AI246" i="3"/>
  <c r="AI225" i="3"/>
  <c r="AI186" i="3"/>
  <c r="AI250" i="3"/>
  <c r="AI227" i="3"/>
  <c r="AI187" i="3"/>
  <c r="AI251" i="3"/>
  <c r="AI188" i="3"/>
  <c r="AI252" i="3"/>
  <c r="AI253" i="3"/>
  <c r="AI254" i="3"/>
  <c r="AI255" i="3"/>
  <c r="AI256" i="3"/>
  <c r="AI257" i="3"/>
  <c r="AI274" i="3"/>
  <c r="AI276" i="3"/>
  <c r="AI184" i="3"/>
  <c r="AJ151" i="3"/>
  <c r="AJ29" i="3"/>
  <c r="AJ275" i="3"/>
  <c r="AJ206" i="3"/>
  <c r="AJ209" i="3"/>
  <c r="AJ264" i="3"/>
  <c r="AJ43" i="3"/>
  <c r="AJ157" i="3"/>
  <c r="AJ159" i="3"/>
  <c r="AJ161" i="3"/>
  <c r="AJ38" i="3"/>
  <c r="AJ268" i="3"/>
  <c r="AJ269" i="3"/>
  <c r="AJ288" i="3"/>
  <c r="AJ247" i="3"/>
  <c r="AJ270" i="3"/>
  <c r="AJ272" i="3"/>
  <c r="AJ231" i="3"/>
  <c r="AJ215" i="3"/>
  <c r="AJ23" i="3"/>
  <c r="AJ25" i="3"/>
  <c r="AJ152" i="3"/>
  <c r="AJ30" i="3"/>
  <c r="AJ31" i="3"/>
  <c r="AJ150" i="3"/>
  <c r="AJ32" i="3"/>
  <c r="AJ33" i="3"/>
  <c r="AJ241" i="3"/>
  <c r="AJ216" i="3"/>
  <c r="AJ217" i="3"/>
  <c r="AJ218" i="3"/>
  <c r="AJ219" i="3"/>
  <c r="AJ229" i="3"/>
  <c r="AJ200" i="3"/>
  <c r="AJ201" i="3"/>
  <c r="AJ202" i="3"/>
  <c r="AJ203" i="3"/>
  <c r="AJ204" i="3"/>
  <c r="AJ205" i="3"/>
  <c r="AJ208" i="3"/>
  <c r="AJ210" i="3"/>
  <c r="AJ211" i="3"/>
  <c r="AJ212" i="3"/>
  <c r="AJ213" i="3"/>
  <c r="AJ220" i="3"/>
  <c r="AJ232" i="3"/>
  <c r="AJ185" i="3"/>
  <c r="AJ190" i="3"/>
  <c r="AJ259" i="3"/>
  <c r="AJ191" i="3"/>
  <c r="AJ195" i="3"/>
  <c r="AJ193" i="3"/>
  <c r="AJ196" i="3"/>
  <c r="AJ197" i="3"/>
  <c r="AJ261" i="3"/>
  <c r="AJ262" i="3"/>
  <c r="AJ235" i="3"/>
  <c r="AJ194" i="3"/>
  <c r="AJ243" i="3"/>
  <c r="AJ244" i="3"/>
  <c r="AJ245" i="3"/>
  <c r="AJ246" i="3"/>
  <c r="AJ225" i="3"/>
  <c r="AJ186" i="3"/>
  <c r="AJ250" i="3"/>
  <c r="AJ227" i="3"/>
  <c r="AJ187" i="3"/>
  <c r="AJ251" i="3"/>
  <c r="AJ188" i="3"/>
  <c r="AJ252" i="3"/>
  <c r="AJ253" i="3"/>
  <c r="AJ254" i="3"/>
  <c r="AJ255" i="3"/>
  <c r="AJ256" i="3"/>
  <c r="AJ257" i="3"/>
  <c r="AJ274" i="3"/>
  <c r="AJ276" i="3"/>
  <c r="AJ184" i="3"/>
  <c r="AK151" i="3"/>
  <c r="AK29" i="3"/>
  <c r="AL29" i="3"/>
  <c r="AK152" i="3"/>
  <c r="AK30" i="3"/>
  <c r="AL30" i="3"/>
  <c r="AL28" i="3"/>
  <c r="AL31" i="3"/>
  <c r="AK16" i="3"/>
  <c r="AK23" i="3"/>
  <c r="AK25" i="3"/>
  <c r="AK31" i="3"/>
  <c r="AK150" i="3"/>
  <c r="AK32" i="3"/>
  <c r="AL32" i="3"/>
  <c r="AL33" i="3"/>
  <c r="AL241" i="3"/>
  <c r="AL242" i="3"/>
  <c r="AK235" i="3"/>
  <c r="AK205" i="3"/>
  <c r="AK211" i="3"/>
  <c r="AK194" i="3"/>
  <c r="AK243" i="3"/>
  <c r="AL243" i="3"/>
  <c r="AK244" i="3"/>
  <c r="AL244" i="3"/>
  <c r="AK245" i="3"/>
  <c r="AL245" i="3"/>
  <c r="AK246" i="3"/>
  <c r="AL246" i="3"/>
  <c r="AK288" i="3"/>
  <c r="AK247" i="3"/>
  <c r="AL247" i="3"/>
  <c r="AL248" i="3"/>
  <c r="AK225" i="3"/>
  <c r="AK186" i="3"/>
  <c r="AK250" i="3"/>
  <c r="AL250" i="3"/>
  <c r="AK227" i="3"/>
  <c r="AK187" i="3"/>
  <c r="AK251" i="3"/>
  <c r="AL251" i="3"/>
  <c r="AK188" i="3"/>
  <c r="AK252" i="3"/>
  <c r="AL252" i="3"/>
  <c r="AK229" i="3"/>
  <c r="AK200" i="3"/>
  <c r="AK253" i="3"/>
  <c r="AL253" i="3"/>
  <c r="AK254" i="3"/>
  <c r="AL254" i="3"/>
  <c r="AK203" i="3"/>
  <c r="AK255" i="3"/>
  <c r="AL255" i="3"/>
  <c r="AK201" i="3"/>
  <c r="AK212" i="3"/>
  <c r="AK204" i="3"/>
  <c r="AK202" i="3"/>
  <c r="AK256" i="3"/>
  <c r="AL256" i="3"/>
  <c r="AL257" i="3"/>
  <c r="C313" i="3"/>
  <c r="M150" i="3"/>
  <c r="C314" i="3"/>
  <c r="C315" i="3"/>
  <c r="AL206" i="3"/>
  <c r="AK209" i="3"/>
  <c r="AL209" i="3"/>
  <c r="C304" i="3"/>
  <c r="C305" i="3"/>
  <c r="C312" i="3"/>
  <c r="C321" i="3"/>
  <c r="C323" i="3"/>
  <c r="R277" i="3"/>
  <c r="C311" i="3"/>
  <c r="C316" i="3"/>
  <c r="R278" i="3"/>
  <c r="R279" i="3"/>
  <c r="W277" i="3"/>
  <c r="W278" i="3"/>
  <c r="W279" i="3"/>
  <c r="AB277" i="3"/>
  <c r="AB278" i="3"/>
  <c r="AB279" i="3"/>
  <c r="AG277" i="3"/>
  <c r="AG278" i="3"/>
  <c r="AG279" i="3"/>
  <c r="AK291" i="3"/>
  <c r="AK260" i="3"/>
  <c r="AL260" i="3"/>
  <c r="AL277" i="3"/>
  <c r="AL278" i="3"/>
  <c r="AL279" i="3"/>
  <c r="C324" i="3"/>
  <c r="K281" i="3"/>
  <c r="K282" i="3"/>
  <c r="K283" i="3"/>
  <c r="C325" i="3"/>
  <c r="C326" i="3"/>
  <c r="C300" i="3"/>
  <c r="N169" i="3"/>
  <c r="D169" i="3"/>
  <c r="D170" i="3"/>
  <c r="D171" i="3"/>
  <c r="D174" i="3"/>
  <c r="E174" i="3"/>
  <c r="F174" i="3"/>
  <c r="G169" i="3"/>
  <c r="G171" i="3"/>
  <c r="G174" i="3"/>
  <c r="I174" i="3"/>
  <c r="J174" i="3"/>
  <c r="K169" i="3"/>
  <c r="K174" i="3"/>
  <c r="L169" i="3"/>
  <c r="L171" i="3"/>
  <c r="L174" i="3"/>
  <c r="N173" i="3"/>
  <c r="N174" i="3"/>
  <c r="N176" i="3"/>
  <c r="N26" i="3"/>
  <c r="O169" i="3"/>
  <c r="O173" i="3"/>
  <c r="O174" i="3"/>
  <c r="O176" i="3"/>
  <c r="O26" i="3"/>
  <c r="P169" i="3"/>
  <c r="P173" i="3"/>
  <c r="P174" i="3"/>
  <c r="P176" i="3"/>
  <c r="P26" i="3"/>
  <c r="Q169" i="3"/>
  <c r="Q173" i="3"/>
  <c r="Q174" i="3"/>
  <c r="Q175" i="3"/>
  <c r="Q176" i="3"/>
  <c r="Q26" i="3"/>
  <c r="R26" i="3"/>
  <c r="R27" i="3"/>
  <c r="G34" i="3"/>
  <c r="L34" i="3"/>
  <c r="N34" i="3"/>
  <c r="O34" i="3"/>
  <c r="P34" i="3"/>
  <c r="Q34" i="3"/>
  <c r="R34" i="3"/>
  <c r="N178" i="3"/>
  <c r="N36" i="3"/>
  <c r="O178" i="3"/>
  <c r="O36" i="3"/>
  <c r="P178" i="3"/>
  <c r="P36" i="3"/>
  <c r="Q178" i="3"/>
  <c r="Q36" i="3"/>
  <c r="R36" i="3"/>
  <c r="R37" i="3"/>
  <c r="N35" i="3"/>
  <c r="R35" i="3"/>
  <c r="G158" i="3"/>
  <c r="I158" i="3"/>
  <c r="J158" i="3"/>
  <c r="K158" i="3"/>
  <c r="L158" i="3"/>
  <c r="L39" i="3"/>
  <c r="N158" i="3"/>
  <c r="N39" i="3"/>
  <c r="O35" i="3"/>
  <c r="O158" i="3"/>
  <c r="O39" i="3"/>
  <c r="P35" i="3"/>
  <c r="P158" i="3"/>
  <c r="P39" i="3"/>
  <c r="Q35" i="3"/>
  <c r="Q158" i="3"/>
  <c r="Q39" i="3"/>
  <c r="R39" i="3"/>
  <c r="R42" i="3"/>
  <c r="G299" i="3"/>
  <c r="L176" i="3"/>
  <c r="L26" i="3"/>
  <c r="L27" i="3"/>
  <c r="L178" i="3"/>
  <c r="L36" i="3"/>
  <c r="L37" i="3"/>
  <c r="L42" i="3"/>
  <c r="N27" i="3"/>
  <c r="N37" i="3"/>
  <c r="N42" i="3"/>
  <c r="O27" i="3"/>
  <c r="O37" i="3"/>
  <c r="O42" i="3"/>
  <c r="P27" i="3"/>
  <c r="P37" i="3"/>
  <c r="P42" i="3"/>
  <c r="C299" i="3"/>
  <c r="P311" i="3"/>
  <c r="P312" i="3"/>
  <c r="P310" i="3"/>
  <c r="O312" i="3"/>
  <c r="O311" i="3"/>
  <c r="O310" i="3"/>
  <c r="N311" i="3"/>
  <c r="N312" i="3"/>
  <c r="N310" i="3"/>
  <c r="K295" i="3"/>
  <c r="C6" i="3"/>
  <c r="C7" i="3"/>
  <c r="C8" i="3"/>
  <c r="C331" i="3"/>
  <c r="C329" i="3"/>
  <c r="C330" i="3"/>
  <c r="C332" i="3"/>
  <c r="E6" i="29"/>
  <c r="E5" i="29"/>
  <c r="E7" i="29"/>
  <c r="E8" i="29"/>
  <c r="E9" i="29"/>
  <c r="E10" i="29"/>
  <c r="E11" i="29"/>
  <c r="E12" i="29"/>
  <c r="E13" i="29"/>
  <c r="E14" i="29"/>
  <c r="E15" i="29"/>
  <c r="E16" i="29"/>
  <c r="E17" i="29"/>
  <c r="F5" i="29"/>
  <c r="G22" i="29"/>
  <c r="G5" i="29"/>
  <c r="F6" i="29"/>
  <c r="G6" i="29"/>
  <c r="F7" i="29"/>
  <c r="G7" i="29"/>
  <c r="F8" i="29"/>
  <c r="G8" i="29"/>
  <c r="F9" i="29"/>
  <c r="G9" i="29"/>
  <c r="F10" i="29"/>
  <c r="G10" i="29"/>
  <c r="F11" i="29"/>
  <c r="G11" i="29"/>
  <c r="F12" i="29"/>
  <c r="G12" i="29"/>
  <c r="F13" i="29"/>
  <c r="G13" i="29"/>
  <c r="F14" i="29"/>
  <c r="G14" i="29"/>
  <c r="F15" i="29"/>
  <c r="G15" i="29"/>
  <c r="F16" i="29"/>
  <c r="G16" i="29"/>
  <c r="G18" i="29"/>
  <c r="G19" i="29"/>
  <c r="G20" i="29"/>
  <c r="O295" i="3"/>
  <c r="O297" i="3"/>
  <c r="R209" i="3"/>
  <c r="K298" i="3"/>
  <c r="O298" i="3"/>
  <c r="R184" i="3"/>
  <c r="R185" i="3"/>
  <c r="K299" i="3"/>
  <c r="O299" i="3"/>
  <c r="O300" i="3"/>
  <c r="O301" i="3"/>
  <c r="R9" i="3"/>
  <c r="K294" i="3"/>
  <c r="O294" i="3"/>
  <c r="O302" i="3"/>
  <c r="K297" i="3"/>
  <c r="K300" i="3"/>
  <c r="K301" i="3"/>
  <c r="K302" i="3"/>
  <c r="O9" i="3"/>
  <c r="P9" i="3"/>
  <c r="Q27" i="3"/>
  <c r="Q9" i="3"/>
  <c r="N9" i="3"/>
  <c r="AC277" i="3"/>
  <c r="AD277" i="3"/>
  <c r="AE277" i="3"/>
  <c r="AF277" i="3"/>
  <c r="AH277" i="3"/>
  <c r="AI277" i="3"/>
  <c r="AJ277" i="3"/>
  <c r="AK33" i="3"/>
  <c r="AK241" i="3"/>
  <c r="AK257" i="3"/>
  <c r="AK277" i="3"/>
  <c r="AA277" i="3"/>
  <c r="Z277" i="3"/>
  <c r="Y277" i="3"/>
  <c r="X277" i="3"/>
  <c r="V277" i="3"/>
  <c r="U277" i="3"/>
  <c r="T277" i="3"/>
  <c r="S277" i="3"/>
  <c r="O277" i="3"/>
  <c r="P277" i="3"/>
  <c r="Q277" i="3"/>
  <c r="N277" i="3"/>
  <c r="M277" i="3"/>
  <c r="L277" i="3"/>
  <c r="H277" i="3"/>
  <c r="AK275" i="3"/>
  <c r="AK264" i="3"/>
  <c r="AK159" i="3"/>
  <c r="AK161" i="3"/>
  <c r="AK157" i="3"/>
  <c r="AK38" i="3"/>
  <c r="AK43" i="3"/>
  <c r="AK268" i="3"/>
  <c r="AK269" i="3"/>
  <c r="AK270" i="3"/>
  <c r="AK272" i="3"/>
  <c r="AK216" i="3"/>
  <c r="AK215" i="3"/>
  <c r="AK217" i="3"/>
  <c r="AK218" i="3"/>
  <c r="AK219" i="3"/>
  <c r="AK208" i="3"/>
  <c r="AK210" i="3"/>
  <c r="AK213" i="3"/>
  <c r="AK220" i="3"/>
  <c r="AK231" i="3"/>
  <c r="AK232" i="3"/>
  <c r="AK185" i="3"/>
  <c r="AK190" i="3"/>
  <c r="AK259" i="3"/>
  <c r="AK195" i="3"/>
  <c r="AK191" i="3"/>
  <c r="AK193" i="3"/>
  <c r="AK196" i="3"/>
  <c r="AK197" i="3"/>
  <c r="AK261" i="3"/>
  <c r="AK262" i="3"/>
  <c r="AK274" i="3"/>
  <c r="AK276" i="3"/>
  <c r="AK184" i="3"/>
  <c r="AC189" i="3"/>
  <c r="K68" i="3"/>
  <c r="K79" i="3"/>
  <c r="I68" i="3"/>
  <c r="J68" i="3"/>
  <c r="M68" i="3"/>
  <c r="M43" i="3"/>
  <c r="K127" i="3"/>
  <c r="M115" i="3"/>
  <c r="H115" i="3"/>
  <c r="M116" i="3"/>
  <c r="K176" i="3"/>
  <c r="K26" i="3"/>
  <c r="AB49" i="3"/>
  <c r="AC147" i="3"/>
  <c r="X169" i="3"/>
  <c r="V169" i="3"/>
  <c r="S169" i="3"/>
  <c r="S173" i="3"/>
  <c r="S174" i="3"/>
  <c r="T169" i="3"/>
  <c r="T173" i="3"/>
  <c r="T174" i="3"/>
  <c r="U169" i="3"/>
  <c r="U173" i="3"/>
  <c r="U174" i="3"/>
  <c r="V173" i="3"/>
  <c r="V174" i="3"/>
  <c r="X173" i="3"/>
  <c r="X174" i="3"/>
  <c r="Y169" i="3"/>
  <c r="Y173" i="3"/>
  <c r="Y174" i="3"/>
  <c r="Z169" i="3"/>
  <c r="Z173" i="3"/>
  <c r="Z174" i="3"/>
  <c r="AA169" i="3"/>
  <c r="AA173" i="3"/>
  <c r="AA174" i="3"/>
  <c r="AC169" i="3"/>
  <c r="AC173" i="3"/>
  <c r="AC174" i="3"/>
  <c r="AD169" i="3"/>
  <c r="AD173" i="3"/>
  <c r="AD174" i="3"/>
  <c r="AE169" i="3"/>
  <c r="AE173" i="3"/>
  <c r="AE174" i="3"/>
  <c r="AF169" i="3"/>
  <c r="AF173" i="3"/>
  <c r="AF174" i="3"/>
  <c r="AH169" i="3"/>
  <c r="AH173" i="3"/>
  <c r="AH174" i="3"/>
  <c r="AI169" i="3"/>
  <c r="AI173" i="3"/>
  <c r="AI174" i="3"/>
  <c r="AJ169" i="3"/>
  <c r="AJ173" i="3"/>
  <c r="AJ174" i="3"/>
  <c r="AK169" i="3"/>
  <c r="AK173" i="3"/>
  <c r="S176" i="3"/>
  <c r="S26" i="3"/>
  <c r="T176" i="3"/>
  <c r="T26" i="3"/>
  <c r="U176" i="3"/>
  <c r="U26" i="3"/>
  <c r="V176" i="3"/>
  <c r="V26" i="3"/>
  <c r="W26" i="3"/>
  <c r="W27" i="3"/>
  <c r="S178" i="3"/>
  <c r="S36" i="3"/>
  <c r="T178" i="3"/>
  <c r="T36" i="3"/>
  <c r="U178" i="3"/>
  <c r="U36" i="3"/>
  <c r="V178" i="3"/>
  <c r="V36" i="3"/>
  <c r="W36" i="3"/>
  <c r="S34" i="3"/>
  <c r="T34" i="3"/>
  <c r="U34" i="3"/>
  <c r="V34" i="3"/>
  <c r="W34" i="3"/>
  <c r="W37" i="3"/>
  <c r="S35" i="3"/>
  <c r="W35" i="3"/>
  <c r="T35" i="3"/>
  <c r="U35" i="3"/>
  <c r="V35" i="3"/>
  <c r="S158" i="3"/>
  <c r="S39" i="3"/>
  <c r="T158" i="3"/>
  <c r="T39" i="3"/>
  <c r="U158" i="3"/>
  <c r="U39" i="3"/>
  <c r="V158" i="3"/>
  <c r="V39" i="3"/>
  <c r="W39" i="3"/>
  <c r="W42" i="3"/>
  <c r="L189" i="3"/>
  <c r="L198" i="3"/>
  <c r="AK136" i="3"/>
  <c r="AK138" i="3"/>
  <c r="AK139" i="3"/>
  <c r="AJ136" i="3"/>
  <c r="AJ138" i="3"/>
  <c r="AJ139" i="3"/>
  <c r="AI136" i="3"/>
  <c r="AI138" i="3"/>
  <c r="AI139" i="3"/>
  <c r="AH136" i="3"/>
  <c r="AH138" i="3"/>
  <c r="AH139" i="3"/>
  <c r="AF136" i="3"/>
  <c r="AF138" i="3"/>
  <c r="AF139" i="3"/>
  <c r="AE136" i="3"/>
  <c r="AE138" i="3"/>
  <c r="AE139" i="3"/>
  <c r="AD136" i="3"/>
  <c r="AD138" i="3"/>
  <c r="AD139" i="3"/>
  <c r="AC136" i="3"/>
  <c r="AC138" i="3"/>
  <c r="AC139" i="3"/>
  <c r="AA136" i="3"/>
  <c r="AA138" i="3"/>
  <c r="AA139" i="3"/>
  <c r="Z136" i="3"/>
  <c r="Z138" i="3"/>
  <c r="Z139" i="3"/>
  <c r="Y136" i="3"/>
  <c r="Y138" i="3"/>
  <c r="Y139" i="3"/>
  <c r="X136" i="3"/>
  <c r="X138" i="3"/>
  <c r="X139" i="3"/>
  <c r="V136" i="3"/>
  <c r="V138" i="3"/>
  <c r="V139" i="3"/>
  <c r="U136" i="3"/>
  <c r="U138" i="3"/>
  <c r="U139" i="3"/>
  <c r="T136" i="3"/>
  <c r="T138" i="3"/>
  <c r="T139" i="3"/>
  <c r="S136" i="3"/>
  <c r="S138" i="3"/>
  <c r="S139" i="3"/>
  <c r="Q136" i="3"/>
  <c r="Q138" i="3"/>
  <c r="Q139" i="3"/>
  <c r="P136" i="3"/>
  <c r="P138" i="3"/>
  <c r="P139" i="3"/>
  <c r="O136" i="3"/>
  <c r="O138" i="3"/>
  <c r="O139" i="3"/>
  <c r="N136" i="3"/>
  <c r="N138" i="3"/>
  <c r="N139" i="3"/>
  <c r="L136" i="3"/>
  <c r="L138" i="3"/>
  <c r="L139" i="3"/>
  <c r="H205" i="3"/>
  <c r="M205" i="3"/>
  <c r="R205" i="3"/>
  <c r="W205" i="3"/>
  <c r="AB205" i="3"/>
  <c r="AG205" i="3"/>
  <c r="M200" i="3"/>
  <c r="R200" i="3"/>
  <c r="W200" i="3"/>
  <c r="AB200" i="3"/>
  <c r="AG200" i="3"/>
  <c r="AL200" i="3"/>
  <c r="AG210" i="3"/>
  <c r="AB210" i="3"/>
  <c r="W210" i="3"/>
  <c r="R210" i="3"/>
  <c r="M210" i="3"/>
  <c r="M187" i="3"/>
  <c r="R187" i="3"/>
  <c r="W187" i="3"/>
  <c r="AB187" i="3"/>
  <c r="AG187" i="3"/>
  <c r="AL187" i="3"/>
  <c r="J277" i="3"/>
  <c r="E277" i="3"/>
  <c r="J155" i="3"/>
  <c r="J154" i="3"/>
  <c r="K154" i="3"/>
  <c r="L154" i="3"/>
  <c r="M154" i="3"/>
  <c r="N154" i="3"/>
  <c r="O154" i="3"/>
  <c r="P154" i="3"/>
  <c r="Q154" i="3"/>
  <c r="R154" i="3"/>
  <c r="S154" i="3"/>
  <c r="T154" i="3"/>
  <c r="U154" i="3"/>
  <c r="V154" i="3"/>
  <c r="W154" i="3"/>
  <c r="X154" i="3"/>
  <c r="Y154" i="3"/>
  <c r="Z154" i="3"/>
  <c r="AA154" i="3"/>
  <c r="AB154" i="3"/>
  <c r="AC154" i="3"/>
  <c r="AD154" i="3"/>
  <c r="AE154" i="3"/>
  <c r="AF154" i="3"/>
  <c r="AG154" i="3"/>
  <c r="AH154" i="3"/>
  <c r="AI154" i="3"/>
  <c r="AJ154" i="3"/>
  <c r="AK154" i="3"/>
  <c r="AL154" i="3"/>
  <c r="K277" i="3"/>
  <c r="F277" i="3"/>
  <c r="K155" i="3"/>
  <c r="G277" i="3"/>
  <c r="L155" i="3"/>
  <c r="M155" i="3"/>
  <c r="I277" i="3"/>
  <c r="N155" i="3"/>
  <c r="O155" i="3"/>
  <c r="P155" i="3"/>
  <c r="Q155" i="3"/>
  <c r="R155" i="3"/>
  <c r="S155" i="3"/>
  <c r="T155" i="3"/>
  <c r="U155" i="3"/>
  <c r="V155" i="3"/>
  <c r="W155" i="3"/>
  <c r="X155" i="3"/>
  <c r="Y155" i="3"/>
  <c r="Z155" i="3"/>
  <c r="AA155" i="3"/>
  <c r="AB155" i="3"/>
  <c r="AC155" i="3"/>
  <c r="AD155" i="3"/>
  <c r="AE155" i="3"/>
  <c r="AF155" i="3"/>
  <c r="AG155" i="3"/>
  <c r="AH155" i="3"/>
  <c r="AI155" i="3"/>
  <c r="AJ155" i="3"/>
  <c r="AK155" i="3"/>
  <c r="AL155" i="3"/>
  <c r="D277" i="3"/>
  <c r="I155" i="3"/>
  <c r="I154" i="3"/>
  <c r="J176" i="3"/>
  <c r="J26" i="3"/>
  <c r="J27" i="3"/>
  <c r="J36" i="3"/>
  <c r="J37" i="3"/>
  <c r="J42" i="3"/>
  <c r="E176" i="3"/>
  <c r="E26" i="3"/>
  <c r="E27" i="3"/>
  <c r="E177" i="3"/>
  <c r="E36" i="3"/>
  <c r="E37" i="3"/>
  <c r="E42" i="3"/>
  <c r="J153" i="3"/>
  <c r="K27" i="3"/>
  <c r="K178" i="3"/>
  <c r="K36" i="3"/>
  <c r="K37" i="3"/>
  <c r="K42" i="3"/>
  <c r="F176" i="3"/>
  <c r="F26" i="3"/>
  <c r="F27" i="3"/>
  <c r="F177" i="3"/>
  <c r="F36" i="3"/>
  <c r="F37" i="3"/>
  <c r="F42" i="3"/>
  <c r="K153" i="3"/>
  <c r="G176" i="3"/>
  <c r="G26" i="3"/>
  <c r="G27" i="3"/>
  <c r="G36" i="3"/>
  <c r="G37" i="3"/>
  <c r="G42" i="3"/>
  <c r="L153" i="3"/>
  <c r="I176" i="3"/>
  <c r="I26" i="3"/>
  <c r="M26" i="3"/>
  <c r="M27" i="3"/>
  <c r="M34" i="3"/>
  <c r="I36" i="3"/>
  <c r="M36" i="3"/>
  <c r="M37" i="3"/>
  <c r="I35" i="3"/>
  <c r="M35" i="3"/>
  <c r="J35" i="3"/>
  <c r="K35" i="3"/>
  <c r="L35" i="3"/>
  <c r="M39" i="3"/>
  <c r="M42" i="3"/>
  <c r="D176" i="3"/>
  <c r="D26" i="3"/>
  <c r="H26" i="3"/>
  <c r="H27" i="3"/>
  <c r="D36" i="3"/>
  <c r="H36" i="3"/>
  <c r="H37" i="3"/>
  <c r="H42" i="3"/>
  <c r="M153" i="3"/>
  <c r="I27" i="3"/>
  <c r="I37" i="3"/>
  <c r="I42" i="3"/>
  <c r="N153" i="3"/>
  <c r="O153" i="3"/>
  <c r="P153" i="3"/>
  <c r="Q37" i="3"/>
  <c r="Q42" i="3"/>
  <c r="Q153" i="3"/>
  <c r="R153" i="3"/>
  <c r="S27" i="3"/>
  <c r="S37" i="3"/>
  <c r="S42" i="3"/>
  <c r="S153" i="3"/>
  <c r="T27" i="3"/>
  <c r="T37" i="3"/>
  <c r="T42" i="3"/>
  <c r="T153" i="3"/>
  <c r="U27" i="3"/>
  <c r="U37" i="3"/>
  <c r="U42" i="3"/>
  <c r="U153" i="3"/>
  <c r="V27" i="3"/>
  <c r="V37" i="3"/>
  <c r="V42" i="3"/>
  <c r="V153" i="3"/>
  <c r="W153" i="3"/>
  <c r="X176" i="3"/>
  <c r="X26" i="3"/>
  <c r="X27" i="3"/>
  <c r="X178" i="3"/>
  <c r="X36" i="3"/>
  <c r="X34" i="3"/>
  <c r="X37" i="3"/>
  <c r="X158" i="3"/>
  <c r="X39" i="3"/>
  <c r="X42" i="3"/>
  <c r="X153" i="3"/>
  <c r="Y176" i="3"/>
  <c r="Y26" i="3"/>
  <c r="Y27" i="3"/>
  <c r="Y178" i="3"/>
  <c r="Y36" i="3"/>
  <c r="Y34" i="3"/>
  <c r="Y37" i="3"/>
  <c r="Y158" i="3"/>
  <c r="Y39" i="3"/>
  <c r="Y42" i="3"/>
  <c r="Y153" i="3"/>
  <c r="Z176" i="3"/>
  <c r="Z26" i="3"/>
  <c r="Z27" i="3"/>
  <c r="Z178" i="3"/>
  <c r="Z36" i="3"/>
  <c r="Z34" i="3"/>
  <c r="Z37" i="3"/>
  <c r="Z158" i="3"/>
  <c r="Z39" i="3"/>
  <c r="Z42" i="3"/>
  <c r="Z153" i="3"/>
  <c r="AA176" i="3"/>
  <c r="AA26" i="3"/>
  <c r="AA27" i="3"/>
  <c r="AA178" i="3"/>
  <c r="AA36" i="3"/>
  <c r="AA34" i="3"/>
  <c r="AA37" i="3"/>
  <c r="AA158" i="3"/>
  <c r="AA39" i="3"/>
  <c r="AA42" i="3"/>
  <c r="AA153" i="3"/>
  <c r="AB26" i="3"/>
  <c r="AB27" i="3"/>
  <c r="AB36" i="3"/>
  <c r="AB34" i="3"/>
  <c r="AB37" i="3"/>
  <c r="X35" i="3"/>
  <c r="AB35" i="3"/>
  <c r="Y35" i="3"/>
  <c r="Z35" i="3"/>
  <c r="AA35" i="3"/>
  <c r="AB39" i="3"/>
  <c r="AB42" i="3"/>
  <c r="AB153" i="3"/>
  <c r="AC176" i="3"/>
  <c r="AC26" i="3"/>
  <c r="AC27" i="3"/>
  <c r="AC178" i="3"/>
  <c r="AC36" i="3"/>
  <c r="AC34" i="3"/>
  <c r="AC37" i="3"/>
  <c r="AC158" i="3"/>
  <c r="AC39" i="3"/>
  <c r="AC42" i="3"/>
  <c r="AC153" i="3"/>
  <c r="AD176" i="3"/>
  <c r="AD26" i="3"/>
  <c r="AD27" i="3"/>
  <c r="AD178" i="3"/>
  <c r="AD36" i="3"/>
  <c r="AD34" i="3"/>
  <c r="AD37" i="3"/>
  <c r="AD158" i="3"/>
  <c r="AD39" i="3"/>
  <c r="AD42" i="3"/>
  <c r="AD153" i="3"/>
  <c r="AE176" i="3"/>
  <c r="AE26" i="3"/>
  <c r="AE27" i="3"/>
  <c r="AE178" i="3"/>
  <c r="AE36" i="3"/>
  <c r="AE34" i="3"/>
  <c r="AE37" i="3"/>
  <c r="AE158" i="3"/>
  <c r="AE39" i="3"/>
  <c r="AE42" i="3"/>
  <c r="AE153" i="3"/>
  <c r="AF176" i="3"/>
  <c r="AF26" i="3"/>
  <c r="AF27" i="3"/>
  <c r="AF178" i="3"/>
  <c r="AF36" i="3"/>
  <c r="AF34" i="3"/>
  <c r="AF37" i="3"/>
  <c r="AF158" i="3"/>
  <c r="AF39" i="3"/>
  <c r="AF42" i="3"/>
  <c r="AF153" i="3"/>
  <c r="AG26" i="3"/>
  <c r="AG27" i="3"/>
  <c r="AG36" i="3"/>
  <c r="AG34" i="3"/>
  <c r="AG37" i="3"/>
  <c r="AC35" i="3"/>
  <c r="AG35" i="3"/>
  <c r="AD35" i="3"/>
  <c r="AE35" i="3"/>
  <c r="AF35" i="3"/>
  <c r="AG39" i="3"/>
  <c r="AG42" i="3"/>
  <c r="AG153" i="3"/>
  <c r="AH176" i="3"/>
  <c r="AH26" i="3"/>
  <c r="AH27" i="3"/>
  <c r="AH178" i="3"/>
  <c r="AH36" i="3"/>
  <c r="AH34" i="3"/>
  <c r="AH37" i="3"/>
  <c r="AH158" i="3"/>
  <c r="AH39" i="3"/>
  <c r="AH42" i="3"/>
  <c r="AH153" i="3"/>
  <c r="AI176" i="3"/>
  <c r="AI26" i="3"/>
  <c r="AI27" i="3"/>
  <c r="AI178" i="3"/>
  <c r="AI36" i="3"/>
  <c r="AI34" i="3"/>
  <c r="AI37" i="3"/>
  <c r="AI158" i="3"/>
  <c r="AI39" i="3"/>
  <c r="AI42" i="3"/>
  <c r="AI153" i="3"/>
  <c r="AJ176" i="3"/>
  <c r="AJ26" i="3"/>
  <c r="AJ27" i="3"/>
  <c r="AJ178" i="3"/>
  <c r="AJ36" i="3"/>
  <c r="AJ34" i="3"/>
  <c r="AJ37" i="3"/>
  <c r="AJ158" i="3"/>
  <c r="AJ39" i="3"/>
  <c r="AJ42" i="3"/>
  <c r="AJ153" i="3"/>
  <c r="AK174" i="3"/>
  <c r="AK176" i="3"/>
  <c r="AK26" i="3"/>
  <c r="AK27" i="3"/>
  <c r="AK178" i="3"/>
  <c r="AK36" i="3"/>
  <c r="AK34" i="3"/>
  <c r="AK37" i="3"/>
  <c r="AK158" i="3"/>
  <c r="AK39" i="3"/>
  <c r="AK42" i="3"/>
  <c r="AK153" i="3"/>
  <c r="AL26" i="3"/>
  <c r="AL27" i="3"/>
  <c r="AL36" i="3"/>
  <c r="AL34" i="3"/>
  <c r="AL37" i="3"/>
  <c r="AH35" i="3"/>
  <c r="AL35" i="3"/>
  <c r="AI35" i="3"/>
  <c r="AJ35" i="3"/>
  <c r="AK35" i="3"/>
  <c r="AL39" i="3"/>
  <c r="AL42" i="3"/>
  <c r="AL153" i="3"/>
  <c r="D27" i="3"/>
  <c r="D37" i="3"/>
  <c r="D42" i="3"/>
  <c r="I153" i="3"/>
  <c r="I93" i="3"/>
  <c r="J93" i="3"/>
  <c r="K93" i="3"/>
  <c r="M93" i="3"/>
  <c r="M60" i="3"/>
  <c r="M49" i="3"/>
  <c r="M67" i="3"/>
  <c r="AL264" i="3"/>
  <c r="AL265" i="3"/>
  <c r="AL266" i="3"/>
  <c r="AL267" i="3"/>
  <c r="AL268" i="3"/>
  <c r="AL269" i="3"/>
  <c r="AL270" i="3"/>
  <c r="AL271" i="3"/>
  <c r="AL272" i="3"/>
  <c r="G229" i="3"/>
  <c r="G227" i="3"/>
  <c r="G225" i="3"/>
  <c r="AL259" i="3"/>
  <c r="AL261" i="3"/>
  <c r="AL262" i="3"/>
  <c r="AL212" i="3"/>
  <c r="AL211" i="3"/>
  <c r="AL210" i="3"/>
  <c r="AL201" i="3"/>
  <c r="AL202" i="3"/>
  <c r="AL203" i="3"/>
  <c r="AL204" i="3"/>
  <c r="AL205" i="3"/>
  <c r="AL208" i="3"/>
  <c r="AL207" i="3"/>
  <c r="AG212" i="3"/>
  <c r="AG211" i="3"/>
  <c r="AG209" i="3"/>
  <c r="AG202" i="3"/>
  <c r="AG203" i="3"/>
  <c r="AG204" i="3"/>
  <c r="AG206" i="3"/>
  <c r="AG208" i="3"/>
  <c r="AG207" i="3"/>
  <c r="AB212" i="3"/>
  <c r="AB211" i="3"/>
  <c r="AB209" i="3"/>
  <c r="AB202" i="3"/>
  <c r="AB203" i="3"/>
  <c r="AB204" i="3"/>
  <c r="AB206" i="3"/>
  <c r="AB208" i="3"/>
  <c r="AB207" i="3"/>
  <c r="W212" i="3"/>
  <c r="W211" i="3"/>
  <c r="W209" i="3"/>
  <c r="W202" i="3"/>
  <c r="W203" i="3"/>
  <c r="W204" i="3"/>
  <c r="W206" i="3"/>
  <c r="W208" i="3"/>
  <c r="W207" i="3"/>
  <c r="R212" i="3"/>
  <c r="R211" i="3"/>
  <c r="R202" i="3"/>
  <c r="R203" i="3"/>
  <c r="R204" i="3"/>
  <c r="R206" i="3"/>
  <c r="R208" i="3"/>
  <c r="R207" i="3"/>
  <c r="M207" i="3"/>
  <c r="M202" i="3"/>
  <c r="M203" i="3"/>
  <c r="M204" i="3"/>
  <c r="M193" i="3"/>
  <c r="R193" i="3"/>
  <c r="W193" i="3"/>
  <c r="AB193" i="3"/>
  <c r="AG193" i="3"/>
  <c r="AL193" i="3"/>
  <c r="G152" i="3"/>
  <c r="G291" i="3"/>
  <c r="G55" i="3"/>
  <c r="G60" i="3"/>
  <c r="G61" i="3"/>
  <c r="G62" i="3"/>
  <c r="G93" i="3"/>
  <c r="G94" i="3"/>
  <c r="G95" i="3"/>
  <c r="I61" i="3"/>
  <c r="I62" i="3"/>
  <c r="I94" i="3"/>
  <c r="I95" i="3"/>
  <c r="K116" i="3"/>
  <c r="J116" i="3"/>
  <c r="I116" i="3"/>
  <c r="K130" i="3"/>
  <c r="J130" i="3"/>
  <c r="I130" i="3"/>
  <c r="J61" i="3"/>
  <c r="J62" i="3"/>
  <c r="J94" i="3"/>
  <c r="J95" i="3"/>
  <c r="K61" i="3"/>
  <c r="K62" i="3"/>
  <c r="K94" i="3"/>
  <c r="K95" i="3"/>
  <c r="G49" i="3"/>
  <c r="G82" i="3"/>
  <c r="I82" i="3"/>
  <c r="J82" i="3"/>
  <c r="K82" i="3"/>
  <c r="I75" i="3"/>
  <c r="I78" i="3"/>
  <c r="I79" i="3"/>
  <c r="G75" i="3"/>
  <c r="G78" i="3"/>
  <c r="G68" i="3"/>
  <c r="G79" i="3"/>
  <c r="J75" i="3"/>
  <c r="J78" i="3"/>
  <c r="J79" i="3"/>
  <c r="I108" i="3"/>
  <c r="I112" i="3"/>
  <c r="I101" i="3"/>
  <c r="I113" i="3"/>
  <c r="G108" i="3"/>
  <c r="G112" i="3"/>
  <c r="G101" i="3"/>
  <c r="G113" i="3"/>
  <c r="J108" i="3"/>
  <c r="J112" i="3"/>
  <c r="J101" i="3"/>
  <c r="J113" i="3"/>
  <c r="K101" i="3"/>
  <c r="K113" i="3"/>
  <c r="I122" i="3"/>
  <c r="I126" i="3"/>
  <c r="I127" i="3"/>
  <c r="J122" i="3"/>
  <c r="J126" i="3"/>
  <c r="J127" i="3"/>
  <c r="F160" i="3"/>
  <c r="F167" i="3"/>
  <c r="I150" i="3"/>
  <c r="J150" i="3"/>
  <c r="K150" i="3"/>
  <c r="D229" i="3"/>
  <c r="D227" i="3"/>
  <c r="I227" i="3"/>
  <c r="D225" i="3"/>
  <c r="I225" i="3"/>
  <c r="E229" i="3"/>
  <c r="E227" i="3"/>
  <c r="J227" i="3"/>
  <c r="E225" i="3"/>
  <c r="J225" i="3"/>
  <c r="F229" i="3"/>
  <c r="F227" i="3"/>
  <c r="K227" i="3"/>
  <c r="F225" i="3"/>
  <c r="K225" i="3"/>
  <c r="R38" i="3"/>
  <c r="F161" i="3"/>
  <c r="F157" i="3"/>
  <c r="F158" i="3"/>
  <c r="E161" i="3"/>
  <c r="E164" i="3"/>
  <c r="E167" i="3"/>
  <c r="E158" i="3"/>
  <c r="E157" i="3"/>
  <c r="D163" i="3"/>
  <c r="D164" i="3"/>
  <c r="H188" i="3"/>
  <c r="Q137" i="3"/>
  <c r="P137" i="3"/>
  <c r="O137" i="3"/>
  <c r="N137" i="3"/>
  <c r="L137" i="3"/>
  <c r="L147" i="3"/>
  <c r="G179" i="3"/>
  <c r="H170" i="3"/>
  <c r="H171" i="3"/>
  <c r="H172" i="3"/>
  <c r="H173" i="3"/>
  <c r="H169" i="3"/>
  <c r="J179" i="3"/>
  <c r="L179" i="3"/>
  <c r="K179" i="3"/>
  <c r="H150" i="3"/>
  <c r="G150" i="3"/>
  <c r="AK108" i="3"/>
  <c r="AK110" i="3"/>
  <c r="AK75" i="3"/>
  <c r="AK76" i="3"/>
  <c r="AK122" i="3"/>
  <c r="AK124" i="3"/>
  <c r="AK137" i="3"/>
  <c r="AK145" i="3"/>
  <c r="AJ110" i="3"/>
  <c r="AJ76" i="3"/>
  <c r="AJ124" i="3"/>
  <c r="AJ137" i="3"/>
  <c r="AJ145" i="3"/>
  <c r="AI110" i="3"/>
  <c r="AI76" i="3"/>
  <c r="AI124" i="3"/>
  <c r="AI137" i="3"/>
  <c r="AI145" i="3"/>
  <c r="AH110" i="3"/>
  <c r="AH76" i="3"/>
  <c r="AH124" i="3"/>
  <c r="AH137" i="3"/>
  <c r="AH145" i="3"/>
  <c r="AK144" i="3"/>
  <c r="AJ144" i="3"/>
  <c r="AI144" i="3"/>
  <c r="AH144" i="3"/>
  <c r="AK143" i="3"/>
  <c r="AJ143" i="3"/>
  <c r="AI143" i="3"/>
  <c r="AH143" i="3"/>
  <c r="AK142" i="3"/>
  <c r="AJ142" i="3"/>
  <c r="AI142" i="3"/>
  <c r="AH142" i="3"/>
  <c r="AK141" i="3"/>
  <c r="AJ141" i="3"/>
  <c r="AI141" i="3"/>
  <c r="AH141" i="3"/>
  <c r="AF110" i="3"/>
  <c r="AF76" i="3"/>
  <c r="AF124" i="3"/>
  <c r="AF137" i="3"/>
  <c r="AF145" i="3"/>
  <c r="AE110" i="3"/>
  <c r="AE76" i="3"/>
  <c r="AE124" i="3"/>
  <c r="AE137" i="3"/>
  <c r="AE145" i="3"/>
  <c r="AD110" i="3"/>
  <c r="AD76" i="3"/>
  <c r="AD124" i="3"/>
  <c r="AD137" i="3"/>
  <c r="AD145" i="3"/>
  <c r="AC110" i="3"/>
  <c r="AC76" i="3"/>
  <c r="AC124" i="3"/>
  <c r="AC137" i="3"/>
  <c r="AC145" i="3"/>
  <c r="AF144" i="3"/>
  <c r="AE144" i="3"/>
  <c r="AD144" i="3"/>
  <c r="AC144" i="3"/>
  <c r="AF143" i="3"/>
  <c r="AE143" i="3"/>
  <c r="AD143" i="3"/>
  <c r="AC143" i="3"/>
  <c r="AF142" i="3"/>
  <c r="AE142" i="3"/>
  <c r="AD142" i="3"/>
  <c r="AC142" i="3"/>
  <c r="AF141" i="3"/>
  <c r="AE141" i="3"/>
  <c r="AD141" i="3"/>
  <c r="AC141" i="3"/>
  <c r="AA110" i="3"/>
  <c r="AA76" i="3"/>
  <c r="AA124" i="3"/>
  <c r="AA137" i="3"/>
  <c r="AA145" i="3"/>
  <c r="Z110" i="3"/>
  <c r="Z76" i="3"/>
  <c r="Z124" i="3"/>
  <c r="Z137" i="3"/>
  <c r="Z145" i="3"/>
  <c r="Y110" i="3"/>
  <c r="Y76" i="3"/>
  <c r="Y124" i="3"/>
  <c r="Y137" i="3"/>
  <c r="Y145" i="3"/>
  <c r="X110" i="3"/>
  <c r="X76" i="3"/>
  <c r="X124" i="3"/>
  <c r="X137" i="3"/>
  <c r="X145" i="3"/>
  <c r="AA144" i="3"/>
  <c r="Z144" i="3"/>
  <c r="Y144" i="3"/>
  <c r="X144" i="3"/>
  <c r="AA143" i="3"/>
  <c r="Z143" i="3"/>
  <c r="Y143" i="3"/>
  <c r="X143" i="3"/>
  <c r="AA142" i="3"/>
  <c r="Z142" i="3"/>
  <c r="Y142" i="3"/>
  <c r="X142" i="3"/>
  <c r="AA141" i="3"/>
  <c r="Z141" i="3"/>
  <c r="Y141" i="3"/>
  <c r="X141" i="3"/>
  <c r="V110" i="3"/>
  <c r="V76" i="3"/>
  <c r="V124" i="3"/>
  <c r="V137" i="3"/>
  <c r="V145" i="3"/>
  <c r="U110" i="3"/>
  <c r="U76" i="3"/>
  <c r="U124" i="3"/>
  <c r="U137" i="3"/>
  <c r="U145" i="3"/>
  <c r="T110" i="3"/>
  <c r="T76" i="3"/>
  <c r="T124" i="3"/>
  <c r="T137" i="3"/>
  <c r="T145" i="3"/>
  <c r="S110" i="3"/>
  <c r="S76" i="3"/>
  <c r="S124" i="3"/>
  <c r="S137" i="3"/>
  <c r="S145" i="3"/>
  <c r="V144" i="3"/>
  <c r="U144" i="3"/>
  <c r="T144" i="3"/>
  <c r="S144" i="3"/>
  <c r="V143" i="3"/>
  <c r="U143" i="3"/>
  <c r="T143" i="3"/>
  <c r="S143" i="3"/>
  <c r="V142" i="3"/>
  <c r="U142" i="3"/>
  <c r="T142" i="3"/>
  <c r="S142" i="3"/>
  <c r="V141" i="3"/>
  <c r="U141" i="3"/>
  <c r="T141" i="3"/>
  <c r="S141" i="3"/>
  <c r="Q110" i="3"/>
  <c r="Q76" i="3"/>
  <c r="Q124" i="3"/>
  <c r="Q145" i="3"/>
  <c r="P110" i="3"/>
  <c r="P76" i="3"/>
  <c r="P124" i="3"/>
  <c r="P145" i="3"/>
  <c r="O110" i="3"/>
  <c r="O76" i="3"/>
  <c r="O124" i="3"/>
  <c r="O145" i="3"/>
  <c r="N110" i="3"/>
  <c r="N76" i="3"/>
  <c r="N124" i="3"/>
  <c r="N145" i="3"/>
  <c r="Q144" i="3"/>
  <c r="P144" i="3"/>
  <c r="O144" i="3"/>
  <c r="N144" i="3"/>
  <c r="Q143" i="3"/>
  <c r="P143" i="3"/>
  <c r="O143" i="3"/>
  <c r="N143" i="3"/>
  <c r="Q142" i="3"/>
  <c r="P142" i="3"/>
  <c r="O142" i="3"/>
  <c r="N142" i="3"/>
  <c r="Q141" i="3"/>
  <c r="P141" i="3"/>
  <c r="O141" i="3"/>
  <c r="N141" i="3"/>
  <c r="K141" i="3"/>
  <c r="I141" i="3"/>
  <c r="L110" i="3"/>
  <c r="L76" i="3"/>
  <c r="L124" i="3"/>
  <c r="L145" i="3"/>
  <c r="K76" i="3"/>
  <c r="K110" i="3"/>
  <c r="K124" i="3"/>
  <c r="K136" i="3"/>
  <c r="K137" i="3"/>
  <c r="K145" i="3"/>
  <c r="J76" i="3"/>
  <c r="J110" i="3"/>
  <c r="J124" i="3"/>
  <c r="J136" i="3"/>
  <c r="J137" i="3"/>
  <c r="J145" i="3"/>
  <c r="I110" i="3"/>
  <c r="I76" i="3"/>
  <c r="I124" i="3"/>
  <c r="I136" i="3"/>
  <c r="I137" i="3"/>
  <c r="I145" i="3"/>
  <c r="L144" i="3"/>
  <c r="K144" i="3"/>
  <c r="J144" i="3"/>
  <c r="I144" i="3"/>
  <c r="L143" i="3"/>
  <c r="K143" i="3"/>
  <c r="J143" i="3"/>
  <c r="I143" i="3"/>
  <c r="L142" i="3"/>
  <c r="K142" i="3"/>
  <c r="J142" i="3"/>
  <c r="I142" i="3"/>
  <c r="L141" i="3"/>
  <c r="J141" i="3"/>
  <c r="E141" i="3"/>
  <c r="F141" i="3"/>
  <c r="G141" i="3"/>
  <c r="E142" i="3"/>
  <c r="F142" i="3"/>
  <c r="G142" i="3"/>
  <c r="E143" i="3"/>
  <c r="F143" i="3"/>
  <c r="G143" i="3"/>
  <c r="E144" i="3"/>
  <c r="F144" i="3"/>
  <c r="G144" i="3"/>
  <c r="E68" i="3"/>
  <c r="E75" i="3"/>
  <c r="E76" i="3"/>
  <c r="E101" i="3"/>
  <c r="E108" i="3"/>
  <c r="E110" i="3"/>
  <c r="E122" i="3"/>
  <c r="E124" i="3"/>
  <c r="E136" i="3"/>
  <c r="E137" i="3"/>
  <c r="E145" i="3"/>
  <c r="F68" i="3"/>
  <c r="F75" i="3"/>
  <c r="F76" i="3"/>
  <c r="F101" i="3"/>
  <c r="F108" i="3"/>
  <c r="F110" i="3"/>
  <c r="F122" i="3"/>
  <c r="F124" i="3"/>
  <c r="F136" i="3"/>
  <c r="F137" i="3"/>
  <c r="F145" i="3"/>
  <c r="G136" i="3"/>
  <c r="G137" i="3"/>
  <c r="G76" i="3"/>
  <c r="G110" i="3"/>
  <c r="G124" i="3"/>
  <c r="G145" i="3"/>
  <c r="D68" i="3"/>
  <c r="D75" i="3"/>
  <c r="D76" i="3"/>
  <c r="D101" i="3"/>
  <c r="D108" i="3"/>
  <c r="D110" i="3"/>
  <c r="D122" i="3"/>
  <c r="D124" i="3"/>
  <c r="D136" i="3"/>
  <c r="D137" i="3"/>
  <c r="D145" i="3"/>
  <c r="D144" i="3"/>
  <c r="D143" i="3"/>
  <c r="D142" i="3"/>
  <c r="D141" i="3"/>
  <c r="J138" i="3"/>
  <c r="J139" i="3"/>
  <c r="I138" i="3"/>
  <c r="I139" i="3"/>
  <c r="G138" i="3"/>
  <c r="G139" i="3"/>
  <c r="F138" i="3"/>
  <c r="F139" i="3"/>
  <c r="E138" i="3"/>
  <c r="E139" i="3"/>
  <c r="D138" i="3"/>
  <c r="D139" i="3"/>
  <c r="K138" i="3"/>
  <c r="K139" i="3"/>
  <c r="J98" i="3"/>
  <c r="K98" i="3"/>
  <c r="I98" i="3"/>
  <c r="D94" i="3"/>
  <c r="D95" i="3"/>
  <c r="E91" i="3"/>
  <c r="D91" i="3"/>
  <c r="K65" i="3"/>
  <c r="I65" i="3"/>
  <c r="D57" i="3"/>
  <c r="E61" i="3"/>
  <c r="E62" i="3"/>
  <c r="F61" i="3"/>
  <c r="F62" i="3"/>
  <c r="J65" i="3"/>
  <c r="G100" i="3"/>
  <c r="F93" i="3"/>
  <c r="D93" i="3"/>
  <c r="F82" i="3"/>
  <c r="E82" i="3"/>
  <c r="D82" i="3"/>
  <c r="D61" i="3"/>
  <c r="D60" i="3"/>
  <c r="E60" i="3"/>
  <c r="F60" i="3"/>
  <c r="H60" i="3"/>
  <c r="I50" i="3"/>
  <c r="D49" i="3"/>
  <c r="E49" i="3"/>
  <c r="F49" i="3"/>
  <c r="H49" i="3"/>
  <c r="AK224" i="3"/>
  <c r="AJ224" i="3"/>
  <c r="AI224" i="3"/>
  <c r="AH224" i="3"/>
  <c r="F90" i="3"/>
  <c r="E90" i="3"/>
  <c r="D90" i="3"/>
  <c r="D62" i="3"/>
  <c r="D78" i="3"/>
  <c r="D79" i="3"/>
  <c r="K50" i="3"/>
  <c r="J50" i="3"/>
  <c r="E93" i="3"/>
  <c r="D112" i="3"/>
  <c r="D113" i="3"/>
  <c r="K83" i="3"/>
  <c r="F94" i="3"/>
  <c r="F95" i="3"/>
  <c r="J83" i="3"/>
  <c r="E94" i="3"/>
  <c r="E95" i="3"/>
  <c r="I83" i="3"/>
  <c r="F112" i="3"/>
  <c r="E112" i="3"/>
  <c r="E113" i="3"/>
  <c r="F113" i="3"/>
  <c r="D126" i="3"/>
  <c r="D127" i="3"/>
  <c r="F126" i="3"/>
  <c r="E126" i="3"/>
  <c r="E127" i="3"/>
  <c r="F127" i="3"/>
  <c r="F78" i="3"/>
  <c r="F79" i="3"/>
  <c r="E78" i="3"/>
  <c r="E79" i="3"/>
  <c r="AL282" i="3"/>
  <c r="AK282" i="3"/>
  <c r="AJ282" i="3"/>
  <c r="AI282" i="3"/>
  <c r="AH282" i="3"/>
  <c r="AL273" i="3"/>
  <c r="AK234" i="3"/>
  <c r="AJ234" i="3"/>
  <c r="AI234" i="3"/>
  <c r="AH234" i="3"/>
  <c r="AK230" i="3"/>
  <c r="AJ230" i="3"/>
  <c r="AI230" i="3"/>
  <c r="AH230" i="3"/>
  <c r="AK228" i="3"/>
  <c r="AJ228" i="3"/>
  <c r="AI228" i="3"/>
  <c r="AH228" i="3"/>
  <c r="AK226" i="3"/>
  <c r="AJ226" i="3"/>
  <c r="AI226" i="3"/>
  <c r="AH226" i="3"/>
  <c r="AL215" i="3"/>
  <c r="AL218" i="3"/>
  <c r="AL197" i="3"/>
  <c r="AL196" i="3"/>
  <c r="AL191" i="3"/>
  <c r="AL188" i="3"/>
  <c r="AL161" i="3"/>
  <c r="AL160" i="3"/>
  <c r="AL152" i="3"/>
  <c r="AL101" i="3"/>
  <c r="AL93" i="3"/>
  <c r="AH82" i="3"/>
  <c r="AI82" i="3"/>
  <c r="AJ82" i="3"/>
  <c r="AK82" i="3"/>
  <c r="AL82" i="3"/>
  <c r="AL100" i="3"/>
  <c r="AK100" i="3"/>
  <c r="AJ100" i="3"/>
  <c r="AI100" i="3"/>
  <c r="AH100" i="3"/>
  <c r="AH81" i="3"/>
  <c r="AI81" i="3"/>
  <c r="AJ81" i="3"/>
  <c r="AK81" i="3"/>
  <c r="AK99" i="3"/>
  <c r="AJ99" i="3"/>
  <c r="AI99" i="3"/>
  <c r="AH99" i="3"/>
  <c r="AK91" i="3"/>
  <c r="AJ91" i="3"/>
  <c r="AI91" i="3"/>
  <c r="AH91" i="3"/>
  <c r="AK90" i="3"/>
  <c r="AJ90" i="3"/>
  <c r="AI90" i="3"/>
  <c r="AH90" i="3"/>
  <c r="AL49" i="3"/>
  <c r="AK58" i="3"/>
  <c r="AJ58" i="3"/>
  <c r="AI58" i="3"/>
  <c r="AH58" i="3"/>
  <c r="AK57" i="3"/>
  <c r="AJ57" i="3"/>
  <c r="AI57" i="3"/>
  <c r="AH57" i="3"/>
  <c r="AL56" i="3"/>
  <c r="AL43" i="3"/>
  <c r="AD224" i="3"/>
  <c r="AF224" i="3"/>
  <c r="AE224" i="3"/>
  <c r="AC224" i="3"/>
  <c r="AA224" i="3"/>
  <c r="Z224" i="3"/>
  <c r="Y224" i="3"/>
  <c r="X224" i="3"/>
  <c r="V224" i="3"/>
  <c r="U224" i="3"/>
  <c r="T224" i="3"/>
  <c r="S224" i="3"/>
  <c r="Q224" i="3"/>
  <c r="P224" i="3"/>
  <c r="O224" i="3"/>
  <c r="N224" i="3"/>
  <c r="L224" i="3"/>
  <c r="K224" i="3"/>
  <c r="J224" i="3"/>
  <c r="E224" i="3"/>
  <c r="D224" i="3"/>
  <c r="I224" i="3"/>
  <c r="G224" i="3"/>
  <c r="F224" i="3"/>
  <c r="K230" i="3"/>
  <c r="K228" i="3"/>
  <c r="K226" i="3"/>
  <c r="F235" i="3"/>
  <c r="H194" i="3"/>
  <c r="H211" i="3"/>
  <c r="H235" i="3"/>
  <c r="F236" i="3"/>
  <c r="H192" i="3"/>
  <c r="H236" i="3"/>
  <c r="F232" i="3"/>
  <c r="H185" i="3"/>
  <c r="H190" i="3"/>
  <c r="H232" i="3"/>
  <c r="F189" i="3"/>
  <c r="F198" i="3"/>
  <c r="F231" i="3"/>
  <c r="H184" i="3"/>
  <c r="H186" i="3"/>
  <c r="H187" i="3"/>
  <c r="H189" i="3"/>
  <c r="H191" i="3"/>
  <c r="H193" i="3"/>
  <c r="H195" i="3"/>
  <c r="H196" i="3"/>
  <c r="H197" i="3"/>
  <c r="H198" i="3"/>
  <c r="H231" i="3"/>
  <c r="H200" i="3"/>
  <c r="H229" i="3"/>
  <c r="H227" i="3"/>
  <c r="H225" i="3"/>
  <c r="F288" i="3"/>
  <c r="H288" i="3"/>
  <c r="F291" i="3"/>
  <c r="H291" i="3"/>
  <c r="F289" i="3"/>
  <c r="G289" i="3"/>
  <c r="H289" i="3"/>
  <c r="I289" i="3"/>
  <c r="J289" i="3"/>
  <c r="K289" i="3"/>
  <c r="J208" i="3"/>
  <c r="I208" i="3"/>
  <c r="D208" i="3"/>
  <c r="G208" i="3"/>
  <c r="H207" i="3"/>
  <c r="H201" i="3"/>
  <c r="H202" i="3"/>
  <c r="H203" i="3"/>
  <c r="H204" i="3"/>
  <c r="H206" i="3"/>
  <c r="H208" i="3"/>
  <c r="F208" i="3"/>
  <c r="E206" i="3"/>
  <c r="E208" i="3"/>
  <c r="I215" i="3"/>
  <c r="J215" i="3"/>
  <c r="G215" i="3"/>
  <c r="H210" i="3"/>
  <c r="E291" i="3"/>
  <c r="D291" i="3"/>
  <c r="E236" i="3"/>
  <c r="F215" i="3"/>
  <c r="H275" i="3"/>
  <c r="E288" i="3"/>
  <c r="D288" i="3"/>
  <c r="D184" i="3"/>
  <c r="D189" i="3"/>
  <c r="D198" i="3"/>
  <c r="D231" i="3"/>
  <c r="E184" i="3"/>
  <c r="E189" i="3"/>
  <c r="E198" i="3"/>
  <c r="E231" i="3"/>
  <c r="E215" i="3"/>
  <c r="F219" i="3"/>
  <c r="F213" i="3"/>
  <c r="F220" i="3"/>
  <c r="D232" i="3"/>
  <c r="E232" i="3"/>
  <c r="E219" i="3"/>
  <c r="E213" i="3"/>
  <c r="E220" i="3"/>
  <c r="D235" i="3"/>
  <c r="E235" i="3"/>
  <c r="F281" i="3"/>
  <c r="F282" i="3"/>
  <c r="F283" i="3"/>
  <c r="F152" i="3"/>
  <c r="F57" i="3"/>
  <c r="E57" i="3"/>
  <c r="G213" i="3"/>
  <c r="G219" i="3"/>
  <c r="G220" i="3"/>
  <c r="I213" i="3"/>
  <c r="J213" i="3"/>
  <c r="AG282" i="3"/>
  <c r="AF282" i="3"/>
  <c r="AE282" i="3"/>
  <c r="AD282" i="3"/>
  <c r="AC282" i="3"/>
  <c r="AF234" i="3"/>
  <c r="AE234" i="3"/>
  <c r="AD234" i="3"/>
  <c r="AC234" i="3"/>
  <c r="AF230" i="3"/>
  <c r="AE230" i="3"/>
  <c r="AD230" i="3"/>
  <c r="AC230" i="3"/>
  <c r="AF228" i="3"/>
  <c r="AE228" i="3"/>
  <c r="AD228" i="3"/>
  <c r="AC228" i="3"/>
  <c r="AF226" i="3"/>
  <c r="AE226" i="3"/>
  <c r="AD226" i="3"/>
  <c r="AC226" i="3"/>
  <c r="AG215" i="3"/>
  <c r="AG218" i="3"/>
  <c r="AG188" i="3"/>
  <c r="AG191" i="3"/>
  <c r="AG196" i="3"/>
  <c r="AG197" i="3"/>
  <c r="AG161" i="3"/>
  <c r="AG160" i="3"/>
  <c r="AG152" i="3"/>
  <c r="AG101" i="3"/>
  <c r="AG93" i="3"/>
  <c r="AG82" i="3"/>
  <c r="AG100" i="3"/>
  <c r="AF100" i="3"/>
  <c r="AE100" i="3"/>
  <c r="AD100" i="3"/>
  <c r="AC100" i="3"/>
  <c r="AF99" i="3"/>
  <c r="AE99" i="3"/>
  <c r="AD99" i="3"/>
  <c r="AC99" i="3"/>
  <c r="AF91" i="3"/>
  <c r="AE91" i="3"/>
  <c r="AD91" i="3"/>
  <c r="AC91" i="3"/>
  <c r="AF90" i="3"/>
  <c r="AE90" i="3"/>
  <c r="AD90" i="3"/>
  <c r="AC90" i="3"/>
  <c r="AG49" i="3"/>
  <c r="AF58" i="3"/>
  <c r="AE58" i="3"/>
  <c r="AD58" i="3"/>
  <c r="AC58" i="3"/>
  <c r="AF57" i="3"/>
  <c r="AE57" i="3"/>
  <c r="AD57" i="3"/>
  <c r="AC57" i="3"/>
  <c r="AG56" i="3"/>
  <c r="AG43" i="3"/>
  <c r="F151" i="3"/>
  <c r="E151" i="3"/>
  <c r="F150" i="3"/>
  <c r="E150" i="3"/>
  <c r="D150" i="3"/>
  <c r="F35" i="3"/>
  <c r="E152" i="3"/>
  <c r="E281" i="3"/>
  <c r="E282" i="3"/>
  <c r="E283" i="3"/>
  <c r="E289" i="3"/>
  <c r="E66" i="3"/>
  <c r="E67" i="3"/>
  <c r="D281" i="3"/>
  <c r="D215" i="3"/>
  <c r="D219" i="3"/>
  <c r="D213" i="3"/>
  <c r="D220" i="3"/>
  <c r="H209" i="3"/>
  <c r="H82" i="3"/>
  <c r="H93" i="3"/>
  <c r="I230" i="3"/>
  <c r="S228" i="3"/>
  <c r="J230" i="3"/>
  <c r="T228" i="3"/>
  <c r="U228" i="3"/>
  <c r="Y226" i="3"/>
  <c r="P230" i="3"/>
  <c r="P226" i="3"/>
  <c r="X226" i="3"/>
  <c r="T226" i="3"/>
  <c r="U226" i="3"/>
  <c r="V226" i="3"/>
  <c r="AA230" i="3"/>
  <c r="G282" i="3"/>
  <c r="H282" i="3"/>
  <c r="I282" i="3"/>
  <c r="J282" i="3"/>
  <c r="L282" i="3"/>
  <c r="M206" i="3"/>
  <c r="M209" i="3"/>
  <c r="M282" i="3"/>
  <c r="N282" i="3"/>
  <c r="O282" i="3"/>
  <c r="P282" i="3"/>
  <c r="Q282" i="3"/>
  <c r="R282" i="3"/>
  <c r="S282" i="3"/>
  <c r="T282" i="3"/>
  <c r="U282" i="3"/>
  <c r="V282" i="3"/>
  <c r="W282" i="3"/>
  <c r="X282" i="3"/>
  <c r="Y282" i="3"/>
  <c r="Z282" i="3"/>
  <c r="AA282" i="3"/>
  <c r="AB282" i="3"/>
  <c r="E35" i="3"/>
  <c r="D35" i="3"/>
  <c r="D282" i="3"/>
  <c r="D283" i="3"/>
  <c r="D289" i="3"/>
  <c r="D234" i="3"/>
  <c r="E234" i="3"/>
  <c r="G234" i="3"/>
  <c r="J234" i="3"/>
  <c r="I234" i="3"/>
  <c r="F234" i="3"/>
  <c r="D228" i="3"/>
  <c r="E228" i="3"/>
  <c r="K234" i="3"/>
  <c r="L234" i="3"/>
  <c r="N234" i="3"/>
  <c r="I228" i="3"/>
  <c r="F228" i="3"/>
  <c r="O234" i="3"/>
  <c r="M211" i="3"/>
  <c r="P234" i="3"/>
  <c r="P228" i="3"/>
  <c r="O228" i="3"/>
  <c r="Q234" i="3"/>
  <c r="X228" i="3"/>
  <c r="AB218" i="3"/>
  <c r="W218" i="3"/>
  <c r="R218" i="3"/>
  <c r="M218" i="3"/>
  <c r="H218" i="3"/>
  <c r="S234" i="3"/>
  <c r="T234" i="3"/>
  <c r="U234" i="3"/>
  <c r="V234" i="3"/>
  <c r="W234" i="3"/>
  <c r="H174" i="3"/>
  <c r="X234" i="3"/>
  <c r="Y234" i="3"/>
  <c r="Z234" i="3"/>
  <c r="AA234" i="3"/>
  <c r="D179" i="3"/>
  <c r="H43" i="3"/>
  <c r="D125" i="3"/>
  <c r="F100" i="3"/>
  <c r="E100" i="3"/>
  <c r="D99" i="3"/>
  <c r="D66" i="3"/>
  <c r="D111" i="3"/>
  <c r="E99" i="3"/>
  <c r="D67" i="3"/>
  <c r="D58" i="3"/>
  <c r="I67" i="3"/>
  <c r="W43" i="3"/>
  <c r="R43" i="3"/>
  <c r="D77" i="3"/>
  <c r="F99" i="3"/>
  <c r="J67" i="3"/>
  <c r="AB43" i="3"/>
  <c r="I66" i="3"/>
  <c r="G66" i="3"/>
  <c r="K67" i="3"/>
  <c r="J66" i="3"/>
  <c r="K66" i="3"/>
  <c r="R49" i="3"/>
  <c r="W49" i="3"/>
  <c r="G21" i="29"/>
  <c r="H160" i="3"/>
  <c r="E226" i="3"/>
  <c r="H212" i="3"/>
  <c r="F230" i="3"/>
  <c r="F226" i="3"/>
  <c r="G226" i="3"/>
  <c r="D226" i="3"/>
  <c r="D230" i="3"/>
  <c r="G230" i="3"/>
  <c r="Q226" i="3"/>
  <c r="V230" i="3"/>
  <c r="N226" i="3"/>
  <c r="J226" i="3"/>
  <c r="E230" i="3"/>
  <c r="U230" i="3"/>
  <c r="L226" i="3"/>
  <c r="L230" i="3"/>
  <c r="M160" i="3"/>
  <c r="I226" i="3"/>
  <c r="O226" i="3"/>
  <c r="Q230" i="3"/>
  <c r="M212" i="3"/>
  <c r="AA226" i="3"/>
  <c r="M197" i="3"/>
  <c r="R160" i="3"/>
  <c r="W160" i="3"/>
  <c r="D148" i="3"/>
  <c r="R197" i="3"/>
  <c r="D41" i="3"/>
  <c r="AB160" i="3"/>
  <c r="D40" i="3"/>
  <c r="D233" i="3"/>
  <c r="W197" i="3"/>
  <c r="D221" i="3"/>
  <c r="AB197" i="3"/>
  <c r="H215" i="3"/>
  <c r="M215" i="3"/>
  <c r="R215" i="3"/>
  <c r="W215" i="3"/>
  <c r="AB215" i="3"/>
  <c r="E148" i="3"/>
  <c r="E125" i="3"/>
  <c r="E41" i="3"/>
  <c r="E233" i="3"/>
  <c r="E40" i="3"/>
  <c r="M188" i="3"/>
  <c r="R188" i="3"/>
  <c r="W188" i="3"/>
  <c r="AB188" i="3"/>
  <c r="M196" i="3"/>
  <c r="R196" i="3"/>
  <c r="W196" i="3"/>
  <c r="AB196" i="3"/>
  <c r="E221" i="3"/>
  <c r="E58" i="3"/>
  <c r="E77" i="3"/>
  <c r="Y228" i="3"/>
  <c r="L228" i="3"/>
  <c r="Z228" i="3"/>
  <c r="G228" i="3"/>
  <c r="N228" i="3"/>
  <c r="Z226" i="3"/>
  <c r="Z230" i="3"/>
  <c r="S226" i="3"/>
  <c r="J228" i="3"/>
  <c r="E179" i="3"/>
  <c r="H161" i="3"/>
  <c r="G99" i="3"/>
  <c r="I99" i="3"/>
  <c r="D100" i="3"/>
  <c r="E111" i="3"/>
  <c r="H100" i="3"/>
  <c r="L91" i="3"/>
  <c r="F58" i="3"/>
  <c r="Q228" i="3"/>
  <c r="N230" i="3"/>
  <c r="S230" i="3"/>
  <c r="T230" i="3"/>
  <c r="O230" i="3"/>
  <c r="V228" i="3"/>
  <c r="F125" i="3"/>
  <c r="E149" i="3"/>
  <c r="D149" i="3"/>
  <c r="J100" i="3"/>
  <c r="J91" i="3"/>
  <c r="I100" i="3"/>
  <c r="G90" i="3"/>
  <c r="F91" i="3"/>
  <c r="G91" i="3"/>
  <c r="I90" i="3"/>
  <c r="I91" i="3"/>
  <c r="J99" i="3"/>
  <c r="AA228" i="3"/>
  <c r="Y230" i="3"/>
  <c r="X230" i="3"/>
  <c r="M161" i="3"/>
  <c r="H101" i="3"/>
  <c r="M82" i="3"/>
  <c r="K91" i="3"/>
  <c r="M100" i="3"/>
  <c r="L100" i="3"/>
  <c r="K90" i="3"/>
  <c r="J90" i="3"/>
  <c r="K100" i="3"/>
  <c r="N91" i="3"/>
  <c r="G57" i="3"/>
  <c r="G58" i="3"/>
  <c r="H56" i="3"/>
  <c r="I57" i="3"/>
  <c r="I58" i="3"/>
  <c r="K99" i="3"/>
  <c r="F148" i="3"/>
  <c r="M152" i="3"/>
  <c r="N100" i="3"/>
  <c r="O91" i="3"/>
  <c r="J58" i="3"/>
  <c r="J57" i="3"/>
  <c r="O100" i="3"/>
  <c r="L90" i="3"/>
  <c r="L99" i="3"/>
  <c r="R82" i="3"/>
  <c r="P91" i="3"/>
  <c r="J147" i="3"/>
  <c r="K58" i="3"/>
  <c r="K57" i="3"/>
  <c r="I147" i="3"/>
  <c r="M56" i="3"/>
  <c r="P100" i="3"/>
  <c r="R93" i="3"/>
  <c r="R100" i="3"/>
  <c r="N99" i="3"/>
  <c r="M101" i="3"/>
  <c r="F149" i="3"/>
  <c r="S100" i="3"/>
  <c r="O99" i="3"/>
  <c r="N90" i="3"/>
  <c r="M191" i="3"/>
  <c r="Q91" i="3"/>
  <c r="L57" i="3"/>
  <c r="L58" i="3"/>
  <c r="Q100" i="3"/>
  <c r="F41" i="3"/>
  <c r="F40" i="3"/>
  <c r="R161" i="3"/>
  <c r="W82" i="3"/>
  <c r="P99" i="3"/>
  <c r="O90" i="3"/>
  <c r="S91" i="3"/>
  <c r="N57" i="3"/>
  <c r="N58" i="3"/>
  <c r="T100" i="3"/>
  <c r="R152" i="3"/>
  <c r="M186" i="3"/>
  <c r="AB82" i="3"/>
  <c r="P90" i="3"/>
  <c r="T91" i="3"/>
  <c r="O58" i="3"/>
  <c r="O57" i="3"/>
  <c r="U100" i="3"/>
  <c r="Q99" i="3"/>
  <c r="F233" i="3"/>
  <c r="Y100" i="3"/>
  <c r="Q90" i="3"/>
  <c r="U91" i="3"/>
  <c r="P58" i="3"/>
  <c r="P57" i="3"/>
  <c r="X100" i="3"/>
  <c r="V100" i="3"/>
  <c r="W93" i="3"/>
  <c r="W100" i="3"/>
  <c r="Z100" i="3"/>
  <c r="R101" i="3"/>
  <c r="S99" i="3"/>
  <c r="S90" i="3"/>
  <c r="AA100" i="3"/>
  <c r="V91" i="3"/>
  <c r="Q57" i="3"/>
  <c r="Q58" i="3"/>
  <c r="R56" i="3"/>
  <c r="AB93" i="3"/>
  <c r="AB100" i="3"/>
  <c r="T99" i="3"/>
  <c r="W161" i="3"/>
  <c r="R191" i="3"/>
  <c r="X91" i="3"/>
  <c r="T90" i="3"/>
  <c r="Y91" i="3"/>
  <c r="S57" i="3"/>
  <c r="S58" i="3"/>
  <c r="W152" i="3"/>
  <c r="V99" i="3"/>
  <c r="U90" i="3"/>
  <c r="U99" i="3"/>
  <c r="Z91" i="3"/>
  <c r="T58" i="3"/>
  <c r="T57" i="3"/>
  <c r="V90" i="3"/>
  <c r="U58" i="3"/>
  <c r="U57" i="3"/>
  <c r="W56" i="3"/>
  <c r="W101" i="3"/>
  <c r="F221" i="3"/>
  <c r="AB161" i="3"/>
  <c r="Y99" i="3"/>
  <c r="X90" i="3"/>
  <c r="X99" i="3"/>
  <c r="AA91" i="3"/>
  <c r="V58" i="3"/>
  <c r="V57" i="3"/>
  <c r="X58" i="3"/>
  <c r="X57" i="3"/>
  <c r="Y90" i="3"/>
  <c r="Y58" i="3"/>
  <c r="Y57" i="3"/>
  <c r="Z99" i="3"/>
  <c r="AB152" i="3"/>
  <c r="W191" i="3"/>
  <c r="AA90" i="3"/>
  <c r="Z90" i="3"/>
  <c r="AA57" i="3"/>
  <c r="AA58" i="3"/>
  <c r="Z57" i="3"/>
  <c r="Z58" i="3"/>
  <c r="AB56" i="3"/>
  <c r="AA99" i="3"/>
  <c r="AB191" i="3"/>
  <c r="AB101" i="3"/>
  <c r="K147" i="3"/>
  <c r="F77" i="3"/>
  <c r="F111" i="3"/>
  <c r="G111" i="3"/>
  <c r="H110" i="3"/>
  <c r="H111" i="3"/>
  <c r="I111" i="3"/>
  <c r="K41" i="3"/>
  <c r="K40" i="3"/>
  <c r="J41" i="3"/>
  <c r="J40" i="3"/>
  <c r="I41" i="3"/>
  <c r="I40" i="3"/>
  <c r="H213" i="3"/>
  <c r="M110" i="3"/>
  <c r="M111" i="3"/>
  <c r="K149" i="3"/>
  <c r="K148" i="3"/>
  <c r="J149" i="3"/>
  <c r="J148" i="3"/>
  <c r="I149" i="3"/>
  <c r="I148" i="3"/>
  <c r="F179" i="3"/>
  <c r="G148" i="3"/>
  <c r="H148" i="3"/>
  <c r="G149" i="3"/>
  <c r="H149" i="3"/>
  <c r="L111" i="3"/>
  <c r="N111" i="3"/>
  <c r="I290" i="3"/>
  <c r="R110" i="3"/>
  <c r="R111" i="3"/>
  <c r="J290" i="3"/>
  <c r="K290" i="3"/>
  <c r="K111" i="3"/>
  <c r="J111" i="3"/>
  <c r="M147" i="3"/>
  <c r="M194" i="3"/>
  <c r="M217" i="3"/>
  <c r="K125" i="3"/>
  <c r="H217" i="3"/>
  <c r="I219" i="3"/>
  <c r="I220" i="3"/>
  <c r="J219" i="3"/>
  <c r="J220" i="3"/>
  <c r="H279" i="3"/>
  <c r="K221" i="3"/>
  <c r="K233" i="3"/>
  <c r="J221" i="3"/>
  <c r="J281" i="3"/>
  <c r="J283" i="3"/>
  <c r="J233" i="3"/>
  <c r="I281" i="3"/>
  <c r="I283" i="3"/>
  <c r="I221" i="3"/>
  <c r="I233" i="3"/>
  <c r="H216" i="3"/>
  <c r="H219" i="3"/>
  <c r="H220" i="3"/>
  <c r="H221" i="3"/>
  <c r="H281" i="3"/>
  <c r="H283" i="3"/>
  <c r="M275" i="3"/>
  <c r="G281" i="3"/>
  <c r="G221" i="3"/>
  <c r="G233" i="3"/>
  <c r="H35" i="3"/>
  <c r="H41" i="3"/>
  <c r="H40" i="3"/>
  <c r="G35" i="3"/>
  <c r="O111" i="3"/>
  <c r="M291" i="3"/>
  <c r="O77" i="3"/>
  <c r="W68" i="3"/>
  <c r="AB68" i="3"/>
  <c r="AG68" i="3"/>
  <c r="R76" i="3"/>
  <c r="R68" i="3"/>
  <c r="R77" i="3"/>
  <c r="N77" i="3"/>
  <c r="L77" i="3"/>
  <c r="K77" i="3"/>
  <c r="J77" i="3"/>
  <c r="G77" i="3"/>
  <c r="H76" i="3"/>
  <c r="H68" i="3"/>
  <c r="H77" i="3"/>
  <c r="I77" i="3"/>
  <c r="M76" i="3"/>
  <c r="M77" i="3"/>
  <c r="AA66" i="3"/>
  <c r="Z66" i="3"/>
  <c r="Y66" i="3"/>
  <c r="X66" i="3"/>
  <c r="V66" i="3"/>
  <c r="AB60" i="3"/>
  <c r="AB67" i="3"/>
  <c r="U66" i="3"/>
  <c r="AA67" i="3"/>
  <c r="T66" i="3"/>
  <c r="Z67" i="3"/>
  <c r="Y67" i="3"/>
  <c r="S66" i="3"/>
  <c r="X67" i="3"/>
  <c r="Q66" i="3"/>
  <c r="V67" i="3"/>
  <c r="W60" i="3"/>
  <c r="W67" i="3"/>
  <c r="P66" i="3"/>
  <c r="U67" i="3"/>
  <c r="O66" i="3"/>
  <c r="S67" i="3"/>
  <c r="T67" i="3"/>
  <c r="N66" i="3"/>
  <c r="R60" i="3"/>
  <c r="R67" i="3"/>
  <c r="O67" i="3"/>
  <c r="P67" i="3"/>
  <c r="Q67" i="3"/>
  <c r="L66" i="3"/>
  <c r="N67" i="3"/>
  <c r="L67" i="3"/>
  <c r="F66" i="3"/>
  <c r="H67" i="3"/>
  <c r="G67" i="3"/>
  <c r="F67" i="3"/>
  <c r="AC66" i="3"/>
  <c r="AD66" i="3"/>
  <c r="AE66" i="3"/>
  <c r="AF66" i="3"/>
  <c r="AC67" i="3"/>
  <c r="AD67" i="3"/>
  <c r="AE67" i="3"/>
  <c r="AF67" i="3"/>
  <c r="AG60" i="3"/>
  <c r="AG67" i="3"/>
  <c r="AH66" i="3"/>
  <c r="AI66" i="3"/>
  <c r="AJ66" i="3"/>
  <c r="AK66" i="3"/>
  <c r="AH67" i="3"/>
  <c r="AI67" i="3"/>
  <c r="AJ67" i="3"/>
  <c r="AK67" i="3"/>
  <c r="AL60" i="3"/>
  <c r="AL67" i="3"/>
  <c r="AL68" i="3"/>
  <c r="W115" i="3"/>
  <c r="AB115" i="3"/>
  <c r="AG115" i="3"/>
  <c r="R115" i="3"/>
  <c r="AL115" i="3"/>
  <c r="I125" i="3"/>
  <c r="M124" i="3"/>
  <c r="M125" i="3"/>
  <c r="N125" i="3"/>
  <c r="R124" i="3"/>
  <c r="R125" i="3"/>
  <c r="J125" i="3"/>
  <c r="O125" i="3"/>
  <c r="M279" i="3"/>
  <c r="L148" i="3"/>
  <c r="M148" i="3"/>
  <c r="M149" i="3"/>
  <c r="L149" i="3"/>
  <c r="M208" i="3"/>
  <c r="M213" i="3"/>
  <c r="M290" i="3"/>
  <c r="L290" i="3"/>
  <c r="L125" i="3"/>
  <c r="G125" i="3"/>
  <c r="H124" i="3"/>
  <c r="H125" i="3"/>
  <c r="AL291" i="3"/>
  <c r="AL217" i="3"/>
  <c r="AL194" i="3"/>
  <c r="AK192" i="3"/>
  <c r="AL192" i="3"/>
  <c r="AL186" i="3"/>
  <c r="AL147" i="3"/>
  <c r="AK147" i="3"/>
  <c r="AJ147" i="3"/>
  <c r="AI147" i="3"/>
  <c r="AH147" i="3"/>
  <c r="AK112" i="3"/>
  <c r="AL110" i="3"/>
  <c r="AL111" i="3"/>
  <c r="AK111" i="3"/>
  <c r="AJ111" i="3"/>
  <c r="AI111" i="3"/>
  <c r="AH111" i="3"/>
  <c r="AG186" i="3"/>
  <c r="AG147" i="3"/>
  <c r="AF147" i="3"/>
  <c r="AE147" i="3"/>
  <c r="AD147" i="3"/>
  <c r="N147" i="3"/>
  <c r="O147" i="3"/>
  <c r="Q147" i="3"/>
  <c r="R186" i="3"/>
  <c r="S147" i="3"/>
  <c r="T147" i="3"/>
  <c r="W186" i="3"/>
  <c r="V147" i="3"/>
  <c r="X147" i="3"/>
  <c r="Y147" i="3"/>
  <c r="AA147" i="3"/>
  <c r="AB186" i="3"/>
  <c r="AB147" i="3"/>
  <c r="Z147" i="3"/>
  <c r="W147" i="3"/>
  <c r="U147" i="3"/>
  <c r="R147" i="3"/>
  <c r="P147" i="3"/>
  <c r="R194" i="3"/>
  <c r="R217" i="3"/>
  <c r="W194" i="3"/>
  <c r="W217" i="3"/>
  <c r="AB194" i="3"/>
  <c r="AB217" i="3"/>
  <c r="AG194" i="3"/>
  <c r="AG217" i="3"/>
  <c r="AG110" i="3"/>
  <c r="AG111" i="3"/>
  <c r="AF111" i="3"/>
  <c r="AE111" i="3"/>
  <c r="AD111" i="3"/>
  <c r="AC111" i="3"/>
  <c r="AB110" i="3"/>
  <c r="AB111" i="3"/>
  <c r="AA111" i="3"/>
  <c r="Z111" i="3"/>
  <c r="Y111" i="3"/>
  <c r="X111" i="3"/>
  <c r="W110" i="3"/>
  <c r="W111" i="3"/>
  <c r="V111" i="3"/>
  <c r="U111" i="3"/>
  <c r="T111" i="3"/>
  <c r="S111" i="3"/>
  <c r="Q111" i="3"/>
  <c r="P111" i="3"/>
  <c r="R291" i="3"/>
  <c r="W291" i="3"/>
  <c r="AB291" i="3"/>
  <c r="AG291" i="3"/>
  <c r="P77" i="3"/>
  <c r="Q77" i="3"/>
  <c r="S77" i="3"/>
  <c r="T77" i="3"/>
  <c r="U77" i="3"/>
  <c r="V77" i="3"/>
  <c r="W76" i="3"/>
  <c r="W77" i="3"/>
  <c r="X77" i="3"/>
  <c r="Y77" i="3"/>
  <c r="Z77" i="3"/>
  <c r="AA77" i="3"/>
  <c r="AB76" i="3"/>
  <c r="AB77" i="3"/>
  <c r="AC77" i="3"/>
  <c r="AD77" i="3"/>
  <c r="AE77" i="3"/>
  <c r="AF77" i="3"/>
  <c r="AG76" i="3"/>
  <c r="AG77" i="3"/>
  <c r="AH77" i="3"/>
  <c r="AI77" i="3"/>
  <c r="AJ77" i="3"/>
  <c r="AK77" i="3"/>
  <c r="AL76" i="3"/>
  <c r="AL77" i="3"/>
  <c r="AK78" i="3"/>
  <c r="AK126" i="3"/>
  <c r="AL124" i="3"/>
  <c r="AL125" i="3"/>
  <c r="AK125" i="3"/>
  <c r="AJ125" i="3"/>
  <c r="AI125" i="3"/>
  <c r="AH125" i="3"/>
  <c r="AG124" i="3"/>
  <c r="AG125" i="3"/>
  <c r="AF125" i="3"/>
  <c r="AE125" i="3"/>
  <c r="AD125" i="3"/>
  <c r="AC125" i="3"/>
  <c r="AB124" i="3"/>
  <c r="AB125" i="3"/>
  <c r="AA125" i="3"/>
  <c r="Z125" i="3"/>
  <c r="Y125" i="3"/>
  <c r="X125" i="3"/>
  <c r="W124" i="3"/>
  <c r="W125" i="3"/>
  <c r="V125" i="3"/>
  <c r="U125" i="3"/>
  <c r="T125" i="3"/>
  <c r="S125" i="3"/>
  <c r="Q125" i="3"/>
  <c r="P125" i="3"/>
  <c r="O148" i="3"/>
  <c r="O149" i="3"/>
  <c r="P148" i="3"/>
  <c r="P149" i="3"/>
  <c r="Q148" i="3"/>
  <c r="Q149" i="3"/>
  <c r="S148" i="3"/>
  <c r="S149" i="3"/>
  <c r="T148" i="3"/>
  <c r="T149" i="3"/>
  <c r="U148" i="3"/>
  <c r="U149" i="3"/>
  <c r="V148" i="3"/>
  <c r="W148" i="3"/>
  <c r="W149" i="3"/>
  <c r="V149" i="3"/>
  <c r="X148" i="3"/>
  <c r="X149" i="3"/>
  <c r="Y148" i="3"/>
  <c r="Y149" i="3"/>
  <c r="Z148" i="3"/>
  <c r="Z149" i="3"/>
  <c r="AA148" i="3"/>
  <c r="AB148" i="3"/>
  <c r="AB149" i="3"/>
  <c r="AA149" i="3"/>
  <c r="AC148" i="3"/>
  <c r="AD148" i="3"/>
  <c r="AE148" i="3"/>
  <c r="AF148" i="3"/>
  <c r="AG148" i="3"/>
  <c r="AC149" i="3"/>
  <c r="AD149" i="3"/>
  <c r="AE149" i="3"/>
  <c r="AF149" i="3"/>
  <c r="AG149" i="3"/>
  <c r="AG213" i="3"/>
  <c r="AB213" i="3"/>
  <c r="W213" i="3"/>
  <c r="R213" i="3"/>
  <c r="R149" i="3"/>
  <c r="R148" i="3"/>
  <c r="N149" i="3"/>
  <c r="N148" i="3"/>
  <c r="AH148" i="3"/>
  <c r="AI148" i="3"/>
  <c r="AJ148" i="3"/>
  <c r="AK148" i="3"/>
  <c r="AL148" i="3"/>
  <c r="AH149" i="3"/>
  <c r="AI149" i="3"/>
  <c r="AJ149" i="3"/>
  <c r="AK149" i="3"/>
  <c r="AL149" i="3"/>
  <c r="AL213" i="3"/>
  <c r="I179" i="3"/>
  <c r="G41" i="3"/>
  <c r="G40" i="3"/>
  <c r="G283" i="3"/>
  <c r="M184" i="3"/>
  <c r="M185" i="3"/>
  <c r="M190" i="3"/>
  <c r="M151" i="3"/>
  <c r="M195" i="3"/>
  <c r="M216" i="3"/>
  <c r="M219" i="3"/>
  <c r="M220" i="3"/>
  <c r="M189" i="3"/>
  <c r="M198" i="3"/>
  <c r="M221" i="3"/>
  <c r="M281" i="3"/>
  <c r="M283" i="3"/>
  <c r="L221" i="3"/>
  <c r="L281" i="3"/>
  <c r="L283" i="3"/>
  <c r="R275" i="3"/>
  <c r="M41" i="3"/>
  <c r="L233" i="3"/>
  <c r="M38" i="3"/>
  <c r="M40" i="3"/>
  <c r="L41" i="3"/>
  <c r="L40" i="3"/>
  <c r="AG290" i="3"/>
  <c r="AF290" i="3"/>
  <c r="AE290" i="3"/>
  <c r="AD290" i="3"/>
  <c r="AC290" i="3"/>
  <c r="AG184" i="3"/>
  <c r="AG185" i="3"/>
  <c r="AG190" i="3"/>
  <c r="AG281" i="3"/>
  <c r="AG283" i="3"/>
  <c r="AF281" i="3"/>
  <c r="AF283" i="3"/>
  <c r="AE281" i="3"/>
  <c r="AE283" i="3"/>
  <c r="AD281" i="3"/>
  <c r="AD283" i="3"/>
  <c r="AC281" i="3"/>
  <c r="AC283" i="3"/>
  <c r="AG275" i="3"/>
  <c r="AF233" i="3"/>
  <c r="AE233" i="3"/>
  <c r="AD233" i="3"/>
  <c r="AC233" i="3"/>
  <c r="AG195" i="3"/>
  <c r="AG216" i="3"/>
  <c r="AG219" i="3"/>
  <c r="AG220" i="3"/>
  <c r="AG189" i="3"/>
  <c r="AG198" i="3"/>
  <c r="AG221" i="3"/>
  <c r="AF189" i="3"/>
  <c r="AF198" i="3"/>
  <c r="AF221" i="3"/>
  <c r="AE189" i="3"/>
  <c r="AE198" i="3"/>
  <c r="AE221" i="3"/>
  <c r="AD189" i="3"/>
  <c r="AD198" i="3"/>
  <c r="AD221" i="3"/>
  <c r="AC198" i="3"/>
  <c r="AC221" i="3"/>
  <c r="AB184" i="3"/>
  <c r="AB185" i="3"/>
  <c r="AB190" i="3"/>
  <c r="AG151" i="3"/>
  <c r="AG150" i="3"/>
  <c r="AG41" i="3"/>
  <c r="AF41" i="3"/>
  <c r="AE41" i="3"/>
  <c r="AD41" i="3"/>
  <c r="AC41" i="3"/>
  <c r="AG38" i="3"/>
  <c r="AG40" i="3"/>
  <c r="AF40" i="3"/>
  <c r="AE40" i="3"/>
  <c r="AD40" i="3"/>
  <c r="AC40" i="3"/>
  <c r="W184" i="3"/>
  <c r="W185" i="3"/>
  <c r="W190" i="3"/>
  <c r="AB151" i="3"/>
  <c r="AB195" i="3"/>
  <c r="AB216" i="3"/>
  <c r="AB219" i="3"/>
  <c r="AB220" i="3"/>
  <c r="AB189" i="3"/>
  <c r="AB198" i="3"/>
  <c r="AB221" i="3"/>
  <c r="AB281" i="3"/>
  <c r="AB283" i="3"/>
  <c r="AA189" i="3"/>
  <c r="AA198" i="3"/>
  <c r="AA221" i="3"/>
  <c r="AA281" i="3"/>
  <c r="AA283" i="3"/>
  <c r="AA233" i="3"/>
  <c r="AB38" i="3"/>
  <c r="AB40" i="3"/>
  <c r="AB41" i="3"/>
  <c r="AB290" i="3"/>
  <c r="AA290" i="3"/>
  <c r="AA40" i="3"/>
  <c r="AA41" i="3"/>
  <c r="AB150" i="3"/>
  <c r="Z281" i="3"/>
  <c r="Z283" i="3"/>
  <c r="Z189" i="3"/>
  <c r="Z198" i="3"/>
  <c r="Z221" i="3"/>
  <c r="Z233" i="3"/>
  <c r="Z290" i="3"/>
  <c r="Z41" i="3"/>
  <c r="Z40" i="3"/>
  <c r="Y189" i="3"/>
  <c r="Y198" i="3"/>
  <c r="Y221" i="3"/>
  <c r="Y281" i="3"/>
  <c r="Y283" i="3"/>
  <c r="Y233" i="3"/>
  <c r="Y290" i="3"/>
  <c r="Y41" i="3"/>
  <c r="Y40" i="3"/>
  <c r="X189" i="3"/>
  <c r="X198" i="3"/>
  <c r="X221" i="3"/>
  <c r="X281" i="3"/>
  <c r="X283" i="3"/>
  <c r="X233" i="3"/>
  <c r="X290" i="3"/>
  <c r="X40" i="3"/>
  <c r="X41" i="3"/>
  <c r="R190" i="3"/>
  <c r="W151" i="3"/>
  <c r="W195" i="3"/>
  <c r="W216" i="3"/>
  <c r="W219" i="3"/>
  <c r="W220" i="3"/>
  <c r="W189" i="3"/>
  <c r="W198" i="3"/>
  <c r="W221" i="3"/>
  <c r="W281" i="3"/>
  <c r="W283" i="3"/>
  <c r="V281" i="3"/>
  <c r="V283" i="3"/>
  <c r="V189" i="3"/>
  <c r="V198" i="3"/>
  <c r="V221" i="3"/>
  <c r="AB275" i="3"/>
  <c r="W41" i="3"/>
  <c r="W290" i="3"/>
  <c r="W38" i="3"/>
  <c r="W40" i="3"/>
  <c r="W233" i="3"/>
  <c r="V233" i="3"/>
  <c r="V290" i="3"/>
  <c r="V41" i="3"/>
  <c r="V40" i="3"/>
  <c r="W150" i="3"/>
  <c r="U281" i="3"/>
  <c r="U283" i="3"/>
  <c r="U189" i="3"/>
  <c r="U198" i="3"/>
  <c r="U221" i="3"/>
  <c r="U233" i="3"/>
  <c r="U290" i="3"/>
  <c r="U41" i="3"/>
  <c r="U40" i="3"/>
  <c r="T281" i="3"/>
  <c r="T283" i="3"/>
  <c r="T189" i="3"/>
  <c r="T198" i="3"/>
  <c r="T221" i="3"/>
  <c r="T233" i="3"/>
  <c r="T290" i="3"/>
  <c r="T40" i="3"/>
  <c r="T41" i="3"/>
  <c r="S189" i="3"/>
  <c r="S198" i="3"/>
  <c r="S221" i="3"/>
  <c r="S281" i="3"/>
  <c r="S283" i="3"/>
  <c r="S233" i="3"/>
  <c r="S290" i="3"/>
  <c r="S41" i="3"/>
  <c r="S40" i="3"/>
  <c r="R151" i="3"/>
  <c r="R281" i="3"/>
  <c r="R283" i="3"/>
  <c r="R195" i="3"/>
  <c r="R216" i="3"/>
  <c r="R219" i="3"/>
  <c r="R220" i="3"/>
  <c r="R189" i="3"/>
  <c r="R198" i="3"/>
  <c r="R221" i="3"/>
  <c r="Q189" i="3"/>
  <c r="Q198" i="3"/>
  <c r="Q221" i="3"/>
  <c r="Q281" i="3"/>
  <c r="Q283" i="3"/>
  <c r="W275" i="3"/>
  <c r="Q233" i="3"/>
  <c r="R41" i="3"/>
  <c r="R40" i="3"/>
  <c r="Q290" i="3"/>
  <c r="R290" i="3"/>
  <c r="Q40" i="3"/>
  <c r="Q41" i="3"/>
  <c r="P189" i="3"/>
  <c r="P198" i="3"/>
  <c r="P221" i="3"/>
  <c r="P281" i="3"/>
  <c r="P283" i="3"/>
  <c r="P233" i="3"/>
  <c r="P290" i="3"/>
  <c r="P40" i="3"/>
  <c r="P41" i="3"/>
  <c r="O189" i="3"/>
  <c r="O198" i="3"/>
  <c r="O221" i="3"/>
  <c r="O281" i="3"/>
  <c r="O283" i="3"/>
  <c r="O233" i="3"/>
  <c r="O290" i="3"/>
  <c r="O41" i="3"/>
  <c r="O40" i="3"/>
  <c r="N189" i="3"/>
  <c r="N198" i="3"/>
  <c r="N221" i="3"/>
  <c r="N281" i="3"/>
  <c r="N283" i="3"/>
  <c r="N290" i="3"/>
  <c r="N40" i="3"/>
  <c r="N41" i="3"/>
  <c r="N233" i="3"/>
  <c r="R150" i="3"/>
  <c r="AH40" i="3"/>
  <c r="AI40" i="3"/>
  <c r="AJ40" i="3"/>
  <c r="AK40" i="3"/>
  <c r="AL38" i="3"/>
  <c r="AL40" i="3"/>
  <c r="AH41" i="3"/>
  <c r="AI41" i="3"/>
  <c r="AJ41" i="3"/>
  <c r="AK41" i="3"/>
  <c r="AL41" i="3"/>
  <c r="AL150" i="3"/>
  <c r="AL184" i="3"/>
  <c r="AL185" i="3"/>
  <c r="AL190" i="3"/>
  <c r="AL151" i="3"/>
  <c r="AL195" i="3"/>
  <c r="AH189" i="3"/>
  <c r="AH198" i="3"/>
  <c r="AH221" i="3"/>
  <c r="AI189" i="3"/>
  <c r="AI198" i="3"/>
  <c r="AI221" i="3"/>
  <c r="AJ189" i="3"/>
  <c r="AJ198" i="3"/>
  <c r="AJ221" i="3"/>
  <c r="AK189" i="3"/>
  <c r="AK198" i="3"/>
  <c r="AK221" i="3"/>
  <c r="AL216" i="3"/>
  <c r="AL219" i="3"/>
  <c r="AL220" i="3"/>
  <c r="AL189" i="3"/>
  <c r="AL198" i="3"/>
  <c r="AL221" i="3"/>
  <c r="AH233" i="3"/>
  <c r="AI233" i="3"/>
  <c r="AJ233" i="3"/>
  <c r="AK233" i="3"/>
  <c r="AL275" i="3"/>
  <c r="AL274" i="3"/>
  <c r="AL276" i="3"/>
  <c r="AH281" i="3"/>
  <c r="AH283" i="3"/>
  <c r="AI281" i="3"/>
  <c r="AI283" i="3"/>
  <c r="AJ281" i="3"/>
  <c r="AJ283" i="3"/>
  <c r="AK281" i="3"/>
  <c r="AK283" i="3"/>
  <c r="AL281" i="3"/>
  <c r="AL283" i="3"/>
  <c r="AH290" i="3"/>
  <c r="AI290" i="3"/>
  <c r="AJ290" i="3"/>
  <c r="AK290" i="3"/>
  <c r="AL290" i="3"/>
  <c r="C333" i="3"/>
  <c r="C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Gutenberg Research</author>
    <author>Microsoft Office User</author>
    <author>GE User</author>
    <author>Owner</author>
  </authors>
  <commentList>
    <comment ref="C9" authorId="0" shapeId="0" xr:uid="{198B7886-F629-4EE4-A7EF-0E3CC6654E7B}">
      <text>
        <r>
          <rPr>
            <b/>
            <sz val="9"/>
            <color rgb="FF000000"/>
            <rFont val="Tahoma"/>
            <family val="2"/>
          </rPr>
          <t xml:space="preserve">Primary Output: </t>
        </r>
        <r>
          <rPr>
            <sz val="9"/>
            <color rgb="FF000000"/>
            <rFont val="Tahoma"/>
            <family val="2"/>
          </rPr>
          <t>After you adjust the Primary Inputs in the model below, your new earnings forecast will recalculate based on the new assumptions resulting in a new EPS estimate, and theoretical target share price band.</t>
        </r>
      </text>
    </comment>
    <comment ref="B17" authorId="0" shapeId="0" xr:uid="{B9B1F949-59C3-4F66-B6B5-C4844C014784}">
      <text>
        <r>
          <rPr>
            <sz val="9"/>
            <color rgb="FF000000"/>
            <rFont val="Tahoma"/>
            <family val="2"/>
          </rPr>
          <t xml:space="preserve">'The caption "Product and distribution costs" replaced "Cost of sales" in financial statements published in periods prior to our third quarter of fiscal 2020. Besides the name change, there were no other changes in the types of costs reported within the
</t>
        </r>
        <r>
          <rPr>
            <sz val="9"/>
            <color rgb="FF000000"/>
            <rFont val="Tahoma"/>
            <family val="2"/>
          </rPr>
          <t xml:space="preserve">caption." 
</t>
        </r>
        <r>
          <rPr>
            <sz val="9"/>
            <color rgb="FF000000"/>
            <rFont val="Tahoma"/>
            <family val="2"/>
          </rPr>
          <t xml:space="preserve">
</t>
        </r>
        <r>
          <rPr>
            <sz val="9"/>
            <color rgb="FF000000"/>
            <rFont val="Tahoma"/>
            <family val="2"/>
          </rPr>
          <t>Management views as a percentage of total net revenue. Margin % tends to shift with changes in food/beverage mix, cost of coffee, and changes in fx.</t>
        </r>
      </text>
    </comment>
    <comment ref="L22" authorId="1" shapeId="0" xr:uid="{E453104D-CE9A-4D5C-BCD8-EBF884410C3E}">
      <text>
        <r>
          <rPr>
            <b/>
            <sz val="9"/>
            <color rgb="FF000000"/>
            <rFont val="Tahoma"/>
            <family val="2"/>
          </rPr>
          <t xml:space="preserve">Note (updated on 7/14): </t>
        </r>
        <r>
          <rPr>
            <sz val="9"/>
            <color rgb="FF000000"/>
            <rFont val="Tahoma"/>
            <family val="2"/>
          </rPr>
          <t xml:space="preserve">Since management guided restructing costs to $0.11 per share (approximately $129M) we can change our opex allocation to meet this guidance [Increase allocation in cell L74 by 1.86% of the total opex allocation, and subtract 1.86% from Store operating expense]. 
</t>
        </r>
      </text>
    </comment>
    <comment ref="B24" authorId="0" shapeId="0" xr:uid="{C5DF09ED-D5F1-46DD-8811-D48519F365D0}">
      <text>
        <r>
          <rPr>
            <sz val="9"/>
            <color rgb="FF000000"/>
            <rFont val="Tahoma"/>
            <family val="2"/>
          </rPr>
          <t xml:space="preserve">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t>
        </r>
        <r>
          <rPr>
            <sz val="9"/>
            <color rgb="FF000000"/>
            <rFont val="Tahoma"/>
            <family val="2"/>
          </rPr>
          <t>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H30" authorId="0" shapeId="0" xr:uid="{71A66D94-4905-4A14-B887-AFD5921667B9}">
      <text>
        <r>
          <rPr>
            <b/>
            <sz val="9"/>
            <color rgb="FF000000"/>
            <rFont val="Tahoma"/>
            <family val="2"/>
          </rPr>
          <t>F3Q2019 Earnings call (7/25/2019) guidance for FY2019:</t>
        </r>
        <r>
          <rPr>
            <sz val="9"/>
            <color rgb="FF000000"/>
            <rFont val="Tahoma"/>
            <family val="2"/>
          </rPr>
          <t xml:space="preserve"> Interest Expense guided to $330M.</t>
        </r>
      </text>
    </comment>
    <comment ref="M30" authorId="0" shapeId="0" xr:uid="{357846B1-DCC2-4E4F-8B9F-ABDAA337CD5D}">
      <text>
        <r>
          <rPr>
            <b/>
            <sz val="9"/>
            <color rgb="FF000000"/>
            <rFont val="Tahoma"/>
            <family val="2"/>
          </rPr>
          <t xml:space="preserve">Management Guidance: </t>
        </r>
        <r>
          <rPr>
            <sz val="9"/>
            <color rgb="FF000000"/>
            <rFont val="Tahoma"/>
            <family val="2"/>
          </rPr>
          <t>Interest expense of approximately $435 million to $445 million</t>
        </r>
        <r>
          <rPr>
            <b/>
            <sz val="9"/>
            <color rgb="FF000000"/>
            <rFont val="Tahoma"/>
            <family val="2"/>
          </rPr>
          <t xml:space="preserve">
</t>
        </r>
        <r>
          <rPr>
            <b/>
            <sz val="9"/>
            <color rgb="FF000000"/>
            <rFont val="Tahoma"/>
            <family val="2"/>
          </rPr>
          <t xml:space="preserve">Source: </t>
        </r>
        <r>
          <rPr>
            <sz val="9"/>
            <color rgb="FF000000"/>
            <rFont val="Tahoma"/>
            <family val="2"/>
          </rPr>
          <t>F3Q2020 Press Release, July 28, 2020</t>
        </r>
      </text>
    </comment>
    <comment ref="H41" authorId="0" shapeId="0" xr:uid="{DF6AC6E6-CF62-4BDB-9DE1-43B44074A433}">
      <text>
        <r>
          <rPr>
            <b/>
            <sz val="9"/>
            <color rgb="FF000000"/>
            <rFont val="Tahoma"/>
            <family val="2"/>
          </rPr>
          <t xml:space="preserve">F3Q2019 Earnings call (7/25/2019) guidance for FY2019: </t>
        </r>
        <r>
          <rPr>
            <sz val="9"/>
            <color rgb="FF000000"/>
            <rFont val="Tahoma"/>
            <family val="2"/>
          </rPr>
          <t>GAAP EPS in the range of $2.86 to $2.88</t>
        </r>
        <r>
          <rPr>
            <b/>
            <sz val="9"/>
            <color rgb="FF000000"/>
            <rFont val="Tahoma"/>
            <family val="2"/>
          </rPr>
          <t xml:space="preserve">
</t>
        </r>
        <r>
          <rPr>
            <b/>
            <sz val="9"/>
            <color rgb="FF000000"/>
            <rFont val="Tahoma"/>
            <family val="2"/>
          </rPr>
          <t xml:space="preserve">
</t>
        </r>
        <r>
          <rPr>
            <b/>
            <sz val="9"/>
            <color rgb="FF000000"/>
            <rFont val="Tahoma"/>
            <family val="2"/>
          </rPr>
          <t xml:space="preserve">Previous Guidance:
</t>
        </r>
        <r>
          <rPr>
            <b/>
            <sz val="9"/>
            <color rgb="FF000000"/>
            <rFont val="Tahoma"/>
            <family val="2"/>
          </rPr>
          <t xml:space="preserve">F2Q2019 Earnings call guidance for FY2019: </t>
        </r>
        <r>
          <rPr>
            <sz val="9"/>
            <color rgb="FF000000"/>
            <rFont val="Tahoma"/>
            <family val="2"/>
          </rPr>
          <t xml:space="preserve">GAAP EPS in the range of $2.40 to $2.44
</t>
        </r>
        <r>
          <rPr>
            <b/>
            <sz val="9"/>
            <color rgb="FF000000"/>
            <rFont val="Tahoma"/>
            <family val="2"/>
          </rPr>
          <t>F1Q2019 Earnings call guidance for FY2019:</t>
        </r>
        <r>
          <rPr>
            <sz val="9"/>
            <color rgb="FF000000"/>
            <rFont val="Tahoma"/>
            <family val="2"/>
          </rPr>
          <t xml:space="preserve"> GAAP EPS in the range of $2.32 to $2.37
</t>
        </r>
      </text>
    </comment>
    <comment ref="L41" authorId="0" shapeId="0" xr:uid="{48A4BEE2-4BB6-473A-AFEE-59BCA327A54A}">
      <text>
        <r>
          <rPr>
            <b/>
            <sz val="9"/>
            <color rgb="FF000000"/>
            <rFont val="Tahoma"/>
            <family val="2"/>
          </rPr>
          <t xml:space="preserve">Management Guidance: </t>
        </r>
        <r>
          <rPr>
            <sz val="9"/>
            <color rgb="FF000000"/>
            <rFont val="Tahoma"/>
            <family val="2"/>
          </rPr>
          <t xml:space="preserve">GAAP EPS in the range of $0.06 to $0.21 for Q4.
</t>
        </r>
        <r>
          <rPr>
            <b/>
            <sz val="9"/>
            <color rgb="FF000000"/>
            <rFont val="Tahoma"/>
            <family val="2"/>
          </rPr>
          <t>Source:</t>
        </r>
        <r>
          <rPr>
            <sz val="9"/>
            <color rgb="FF000000"/>
            <rFont val="Tahoma"/>
            <family val="2"/>
          </rPr>
          <t xml:space="preserve"> F3Q2020 Press Release, July 28, 2020</t>
        </r>
      </text>
    </comment>
    <comment ref="M41" authorId="0" shapeId="0" xr:uid="{8DB55CC6-CC86-4C75-81B1-95DFDFEDA794}">
      <text>
        <r>
          <rPr>
            <b/>
            <sz val="9"/>
            <color rgb="FF000000"/>
            <rFont val="Tahoma"/>
            <family val="2"/>
          </rPr>
          <t>Management Guidance:</t>
        </r>
        <r>
          <rPr>
            <sz val="9"/>
            <color rgb="FF000000"/>
            <rFont val="Tahoma"/>
            <family val="2"/>
          </rPr>
          <t xml:space="preserve"> GAAP EPS in the range of $0.50 to $0.65 for full year.
</t>
        </r>
        <r>
          <rPr>
            <b/>
            <sz val="9"/>
            <color rgb="FF000000"/>
            <rFont val="Tahoma"/>
            <family val="2"/>
          </rPr>
          <t>Source:</t>
        </r>
        <r>
          <rPr>
            <sz val="9"/>
            <color rgb="FF000000"/>
            <rFont val="Tahoma"/>
            <family val="2"/>
          </rPr>
          <t xml:space="preserve"> F3Q2020 Press Release, July 28, 2020</t>
        </r>
      </text>
    </comment>
    <comment ref="H42" authorId="0" shapeId="0" xr:uid="{F7FB76D6-F1C4-4BDC-B91F-D34DB0107C07}">
      <text>
        <r>
          <rPr>
            <b/>
            <sz val="9"/>
            <color rgb="FF000000"/>
            <rFont val="Tahoma"/>
            <family val="2"/>
          </rPr>
          <t xml:space="preserve">F3Q2019 Earnings call (7/25/2019) guidance for FY2019: </t>
        </r>
        <r>
          <rPr>
            <sz val="9"/>
            <color rgb="FF000000"/>
            <rFont val="Tahoma"/>
            <family val="2"/>
          </rPr>
          <t xml:space="preserve">Non-GAAP EPS in the range of $2.80 to $2.82 </t>
        </r>
        <r>
          <rPr>
            <b/>
            <sz val="9"/>
            <color rgb="FF000000"/>
            <rFont val="Tahoma"/>
            <family val="2"/>
          </rPr>
          <t xml:space="preserve">
</t>
        </r>
        <r>
          <rPr>
            <b/>
            <sz val="9"/>
            <color rgb="FF000000"/>
            <rFont val="Tahoma"/>
            <family val="2"/>
          </rPr>
          <t xml:space="preserve">
</t>
        </r>
        <r>
          <rPr>
            <b/>
            <sz val="9"/>
            <color rgb="FF000000"/>
            <rFont val="Tahoma"/>
            <family val="2"/>
          </rPr>
          <t xml:space="preserve">Previous Guidance:
</t>
        </r>
        <r>
          <rPr>
            <b/>
            <sz val="9"/>
            <color rgb="FF000000"/>
            <rFont val="Tahoma"/>
            <family val="2"/>
          </rPr>
          <t>F2Q2019 Earnings call guidance for FY2019:</t>
        </r>
        <r>
          <rPr>
            <sz val="9"/>
            <color rgb="FF000000"/>
            <rFont val="Tahoma"/>
            <family val="2"/>
          </rPr>
          <t xml:space="preserve"> Non-GAAP EPS in the range of $2.75 to $2.79 
</t>
        </r>
        <r>
          <rPr>
            <b/>
            <sz val="9"/>
            <color rgb="FF000000"/>
            <rFont val="Tahoma"/>
            <family val="2"/>
          </rPr>
          <t>F1Q2019 Earnings call guidance for FY2019:</t>
        </r>
        <r>
          <rPr>
            <sz val="9"/>
            <color rgb="FF000000"/>
            <rFont val="Tahoma"/>
            <family val="2"/>
          </rPr>
          <t xml:space="preserve"> Non-GAAP EPS in the range of $2.68 to $2.73 </t>
        </r>
      </text>
    </comment>
    <comment ref="L42" authorId="0" shapeId="0" xr:uid="{F046C3E8-E96A-4E61-A868-2A5D67E2D124}">
      <text>
        <r>
          <rPr>
            <b/>
            <sz val="9"/>
            <color rgb="FF000000"/>
            <rFont val="Tahoma"/>
            <family val="2"/>
          </rPr>
          <t>Management Guidance:</t>
        </r>
        <r>
          <rPr>
            <sz val="9"/>
            <color rgb="FF000000"/>
            <rFont val="Tahoma"/>
            <family val="2"/>
          </rPr>
          <t xml:space="preserve"> Non-GAAP EPS in the range of $0.18 to $0.33 for Q4.
</t>
        </r>
        <r>
          <rPr>
            <b/>
            <sz val="9"/>
            <color rgb="FF000000"/>
            <rFont val="Tahoma"/>
            <family val="2"/>
          </rPr>
          <t>Source:</t>
        </r>
        <r>
          <rPr>
            <sz val="9"/>
            <color rgb="FF000000"/>
            <rFont val="Tahoma"/>
            <family val="2"/>
          </rPr>
          <t xml:space="preserve"> F3Q2020 Press Release, July 28, 2020</t>
        </r>
      </text>
    </comment>
    <comment ref="M42" authorId="0" shapeId="0" xr:uid="{6E79E2F0-A39C-4AE1-9A77-4F98B2A50325}">
      <text>
        <r>
          <rPr>
            <b/>
            <sz val="9"/>
            <color rgb="FF000000"/>
            <rFont val="Tahoma"/>
            <family val="2"/>
          </rPr>
          <t xml:space="preserve">Management Guidance: </t>
        </r>
        <r>
          <rPr>
            <sz val="9"/>
            <color rgb="FF000000"/>
            <rFont val="Tahoma"/>
            <family val="2"/>
          </rPr>
          <t xml:space="preserve">Non-GAAP EPS in the range of $0.83 to $0.93 for full year.
</t>
        </r>
        <r>
          <rPr>
            <b/>
            <sz val="9"/>
            <color rgb="FF000000"/>
            <rFont val="Tahoma"/>
            <family val="2"/>
          </rPr>
          <t xml:space="preserve">Source: </t>
        </r>
        <r>
          <rPr>
            <sz val="9"/>
            <color rgb="FF000000"/>
            <rFont val="Tahoma"/>
            <family val="2"/>
          </rPr>
          <t xml:space="preserve">F3Q2020 Press Release, July 28, 2020
</t>
        </r>
        <r>
          <rPr>
            <b/>
            <sz val="9"/>
            <color rgb="FF000000"/>
            <rFont val="Tahoma"/>
            <family val="2"/>
          </rPr>
          <t>Primary Output:</t>
        </r>
        <r>
          <rPr>
            <sz val="9"/>
            <color rgb="FF000000"/>
            <rFont val="Tahoma"/>
            <family val="2"/>
          </rPr>
          <t xml:space="preserve"> After you adjust the Primary Inputs in the model below, your new earnings forecast will recalculate based on the new assumptions resulting in a new EPS estimate, and theoretical target share price band.</t>
        </r>
      </text>
    </comment>
    <comment ref="L43" authorId="0" shapeId="0" xr:uid="{17FD324E-BE01-444B-B820-F34490837076}">
      <text>
        <r>
          <rPr>
            <b/>
            <sz val="9"/>
            <color rgb="FF000000"/>
            <rFont val="Tahoma"/>
            <family val="2"/>
          </rPr>
          <t>Note:</t>
        </r>
        <r>
          <rPr>
            <sz val="9"/>
            <color rgb="FF000000"/>
            <rFont val="Tahoma"/>
            <family val="2"/>
          </rPr>
          <t xml:space="preserve"> Management increased the dividend by 14% last year. This year I have entered a 7% increase (half of 14%). 
</t>
        </r>
        <r>
          <rPr>
            <sz val="9"/>
            <color rgb="FF000000"/>
            <rFont val="Tahoma"/>
            <family val="2"/>
          </rPr>
          <t xml:space="preserve">Fadi:Board approved 10% Div increase on 9/30 (Published by Claudia Assis)
</t>
        </r>
      </text>
    </comment>
    <comment ref="L49" authorId="0" shapeId="0" xr:uid="{84CE44C6-C07D-439A-A386-B60A65BFC218}">
      <text>
        <r>
          <rPr>
            <b/>
            <sz val="9"/>
            <color rgb="FF000000"/>
            <rFont val="Tahoma"/>
            <family val="2"/>
          </rPr>
          <t xml:space="preserve">Primary Input: </t>
        </r>
        <r>
          <rPr>
            <sz val="9"/>
            <color rgb="FF000000"/>
            <rFont val="Tahoma"/>
            <family val="2"/>
          </rPr>
          <t xml:space="preserve">If you believe the macroeconomic and competitive landscape  will result in a favorable conditions for the company, consider increaseing the number of new stores over time, for each region. If not decrease the store count. </t>
        </r>
      </text>
    </comment>
    <comment ref="L54" authorId="0" shapeId="0" xr:uid="{8D89D6CD-96E4-4E98-9056-65776388969F}">
      <text>
        <r>
          <rPr>
            <b/>
            <sz val="9"/>
            <color rgb="FF000000"/>
            <rFont val="Tahoma"/>
            <family val="2"/>
          </rPr>
          <t xml:space="preserve">Primary Input: </t>
        </r>
        <r>
          <rPr>
            <sz val="9"/>
            <color rgb="FF000000"/>
            <rFont val="Tahoma"/>
            <family val="2"/>
          </rPr>
          <t xml:space="preserve">If you believe the SBUX product offerings, macroeconomic and competitive conditions  will benefit the company, increase the Comp Store Sales rate. If not, decrease the rate.
</t>
        </r>
        <r>
          <rPr>
            <b/>
            <sz val="9"/>
            <color rgb="FF000000"/>
            <rFont val="Tahoma"/>
            <family val="2"/>
          </rPr>
          <t xml:space="preserve">
</t>
        </r>
        <r>
          <rPr>
            <b/>
            <sz val="9"/>
            <color rgb="FF000000"/>
            <rFont val="Tahoma"/>
            <family val="2"/>
          </rPr>
          <t>Management Guidance:</t>
        </r>
        <r>
          <rPr>
            <sz val="9"/>
            <color rgb="FF000000"/>
            <rFont val="Tahoma"/>
            <family val="2"/>
          </rPr>
          <t xml:space="preserve"> Americas and U.S. comparable store sales declines of 12% to 17% for each of Q4 and full year.  (previously declines of 10% to 20% for each of Q4 and full year).
</t>
        </r>
        <r>
          <rPr>
            <b/>
            <sz val="9"/>
            <color rgb="FF000000"/>
            <rFont val="Tahoma"/>
            <family val="2"/>
          </rPr>
          <t>Source:</t>
        </r>
        <r>
          <rPr>
            <sz val="9"/>
            <color rgb="FF000000"/>
            <rFont val="Tahoma"/>
            <family val="2"/>
          </rPr>
          <t xml:space="preserve"> F3Q2020 Press Release, July 28, 2020</t>
        </r>
      </text>
    </comment>
    <comment ref="N54" authorId="2" shapeId="0" xr:uid="{1ABD2459-5FCF-A24E-B584-A5E9F3844D67}">
      <text>
        <r>
          <rPr>
            <b/>
            <sz val="10"/>
            <color rgb="FF000000"/>
            <rFont val="Tahoma"/>
            <family val="2"/>
          </rPr>
          <t xml:space="preserve">Fadi:I expect Covid to tapmer the rebound in the first three quarters of the year, the decrease in revenues will be offset with the on line orders/pick up and digital p[latform, mobile apps.
</t>
        </r>
        <r>
          <rPr>
            <sz val="10"/>
            <color rgb="FF000000"/>
            <rFont val="Tahoma"/>
            <family val="2"/>
          </rPr>
          <t xml:space="preserve">
</t>
        </r>
      </text>
    </comment>
    <comment ref="O54" authorId="0" shapeId="0" xr:uid="{6877058F-4827-436F-8E7E-0F5233BC44EB}">
      <text>
        <r>
          <rPr>
            <b/>
            <sz val="9"/>
            <color rgb="FF000000"/>
            <rFont val="Tahoma"/>
            <family val="2"/>
          </rPr>
          <t xml:space="preserve">Comment from F3Q2020 Earnings Call: </t>
        </r>
        <r>
          <rPr>
            <sz val="9"/>
            <color rgb="FF000000"/>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Q54" authorId="2" shapeId="0" xr:uid="{299EB7FE-5E07-CB47-9DA6-D0AB6E49B0CC}">
      <text>
        <r>
          <rPr>
            <b/>
            <sz val="10"/>
            <color rgb="FF000000"/>
            <rFont val="Tahoma"/>
            <family val="2"/>
          </rPr>
          <t xml:space="preserve">Fadi: higher growth post covid from this quarter into 2022
</t>
        </r>
        <r>
          <rPr>
            <b/>
            <sz val="10"/>
            <color rgb="FF000000"/>
            <rFont val="Tahoma"/>
            <family val="2"/>
          </rPr>
          <t xml:space="preserve">
</t>
        </r>
        <r>
          <rPr>
            <b/>
            <sz val="10"/>
            <color rgb="FF000000"/>
            <rFont val="Tahoma"/>
            <family val="2"/>
          </rPr>
          <t xml:space="preserve">
</t>
        </r>
        <r>
          <rPr>
            <sz val="10"/>
            <color rgb="FF000000"/>
            <rFont val="Tahoma"/>
            <family val="2"/>
          </rPr>
          <t xml:space="preserve">
</t>
        </r>
      </text>
    </comment>
    <comment ref="H67" authorId="0" shapeId="0" xr:uid="{BABABC73-1D12-4DF2-9E5E-E841BFA2DCB7}">
      <text>
        <r>
          <rPr>
            <b/>
            <sz val="9"/>
            <color rgb="FF000000"/>
            <rFont val="Tahoma"/>
            <family val="2"/>
          </rPr>
          <t>3Q2019 Earnings call (7/25/2019) guidance for FY2019:</t>
        </r>
        <r>
          <rPr>
            <sz val="9"/>
            <color rgb="FF000000"/>
            <rFont val="Tahoma"/>
            <family val="2"/>
          </rPr>
          <t xml:space="preserve"> ~2,000 net new Starbucks stores globally
</t>
        </r>
        <r>
          <rPr>
            <sz val="9"/>
            <color rgb="FF000000"/>
            <rFont val="Tahoma"/>
            <family val="2"/>
          </rPr>
          <t xml:space="preserve">Americas over 600
</t>
        </r>
        <r>
          <rPr>
            <sz val="9"/>
            <color rgb="FF000000"/>
            <rFont val="Tahoma"/>
            <family val="2"/>
          </rPr>
          <t xml:space="preserve">CAP ~1,100 (nearly 600 in China)
</t>
        </r>
        <r>
          <rPr>
            <u/>
            <sz val="9"/>
            <color rgb="FF000000"/>
            <rFont val="Tahoma"/>
            <family val="2"/>
          </rPr>
          <t>EMEA ~300</t>
        </r>
        <r>
          <rPr>
            <sz val="9"/>
            <color rgb="FF000000"/>
            <rFont val="Tahoma"/>
            <family val="2"/>
          </rPr>
          <t xml:space="preserve"> (virtually all license)</t>
        </r>
        <r>
          <rPr>
            <b/>
            <sz val="9"/>
            <color rgb="FF000000"/>
            <rFont val="Tahoma"/>
            <family val="2"/>
          </rPr>
          <t xml:space="preserve">
</t>
        </r>
        <r>
          <rPr>
            <b/>
            <sz val="9"/>
            <color rgb="FF000000"/>
            <rFont val="Tahoma"/>
            <family val="2"/>
          </rPr>
          <t xml:space="preserve">
</t>
        </r>
        <r>
          <rPr>
            <b/>
            <sz val="9"/>
            <color rgb="FF000000"/>
            <rFont val="Tahoma"/>
            <family val="2"/>
          </rPr>
          <t xml:space="preserve">Previous Guidance:
</t>
        </r>
        <r>
          <rPr>
            <b/>
            <sz val="9"/>
            <color rgb="FF000000"/>
            <rFont val="Tahoma"/>
            <family val="2"/>
          </rPr>
          <t xml:space="preserve">2Q2019 Earnings call guidance for FY2019: </t>
        </r>
        <r>
          <rPr>
            <sz val="9"/>
            <color rgb="FF000000"/>
            <rFont val="Tahoma"/>
            <family val="2"/>
          </rPr>
          <t xml:space="preserve">~2,100 net new Starbucks stores globally
</t>
        </r>
        <r>
          <rPr>
            <sz val="9"/>
            <color rgb="FF000000"/>
            <rFont val="Tahoma"/>
            <family val="2"/>
          </rPr>
          <t xml:space="preserve">Americas over 600
</t>
        </r>
        <r>
          <rPr>
            <sz val="9"/>
            <color rgb="FF000000"/>
            <rFont val="Tahoma"/>
            <family val="2"/>
          </rPr>
          <t xml:space="preserve">CAP ~1,100 (nearly 600 in China)
</t>
        </r>
        <r>
          <rPr>
            <sz val="9"/>
            <color rgb="FF000000"/>
            <rFont val="Tahoma"/>
            <family val="2"/>
          </rPr>
          <t>EMEA ~400 (virtually all license)</t>
        </r>
      </text>
    </comment>
    <comment ref="M67" authorId="0" shapeId="0" xr:uid="{9A4440A0-FA0D-4052-B280-1F2587BA4552}">
      <text>
        <r>
          <rPr>
            <sz val="9"/>
            <color rgb="FF000000"/>
            <rFont val="Tahoma"/>
            <family val="2"/>
          </rPr>
          <t>M</t>
        </r>
        <r>
          <rPr>
            <b/>
            <sz val="9"/>
            <color rgb="FF000000"/>
            <rFont val="Tahoma"/>
            <family val="2"/>
          </rPr>
          <t>anagement Gudiance:</t>
        </r>
        <r>
          <rPr>
            <sz val="9"/>
            <color rgb="FF000000"/>
            <rFont val="Tahoma"/>
            <family val="2"/>
          </rPr>
          <t xml:space="preserve"> Americas approximately 300 net new stores
</t>
        </r>
        <r>
          <rPr>
            <b/>
            <sz val="9"/>
            <color rgb="FF000000"/>
            <rFont val="Tahoma"/>
            <family val="2"/>
          </rPr>
          <t xml:space="preserve">Source: </t>
        </r>
        <r>
          <rPr>
            <sz val="9"/>
            <color rgb="FF000000"/>
            <rFont val="Tahoma"/>
            <family val="2"/>
          </rPr>
          <t>F3Q2020 Press Release, July 28, 2020</t>
        </r>
      </text>
    </comment>
    <comment ref="H77" authorId="0" shapeId="0" xr:uid="{1D79115A-EE07-4E1F-A6A6-CD8AF6211E06}">
      <text>
        <r>
          <rPr>
            <b/>
            <sz val="9"/>
            <color rgb="FF000000"/>
            <rFont val="Tahoma"/>
            <family val="2"/>
          </rPr>
          <t xml:space="preserve">F3Q2019 Earnings call (7/25/2019) guidance for FY2019:
</t>
        </r>
        <r>
          <rPr>
            <sz val="9"/>
            <color rgb="FF000000"/>
            <rFont val="Tahoma"/>
            <family val="2"/>
          </rPr>
          <t xml:space="preserve">Consolidated operating margin down moderately
</t>
        </r>
        <r>
          <rPr>
            <sz val="9"/>
            <color rgb="FF000000"/>
            <rFont val="Tahoma"/>
            <family val="2"/>
          </rPr>
          <t xml:space="preserve">&gt;Americas operating margin up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 xml:space="preserve">&gt;Channel Development operating margin mid-30% range
</t>
        </r>
        <r>
          <rPr>
            <b/>
            <sz val="9"/>
            <color rgb="FF000000"/>
            <rFont val="Tahoma"/>
            <family val="2"/>
          </rPr>
          <t xml:space="preserve">
</t>
        </r>
        <r>
          <rPr>
            <b/>
            <sz val="9"/>
            <color rgb="FF000000"/>
            <rFont val="Tahoma"/>
            <family val="2"/>
          </rPr>
          <t xml:space="preserve">Past Guidance:
</t>
        </r>
        <r>
          <rPr>
            <b/>
            <sz val="9"/>
            <color rgb="FF000000"/>
            <rFont val="Tahoma"/>
            <family val="2"/>
          </rPr>
          <t xml:space="preserve">F2Q2019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t>
        </r>
        <r>
          <rPr>
            <u/>
            <sz val="9"/>
            <color rgb="FF000000"/>
            <rFont val="Tahoma"/>
            <family val="2"/>
          </rPr>
          <t>up</t>
        </r>
        <r>
          <rPr>
            <sz val="9"/>
            <color rgb="FF000000"/>
            <rFont val="Tahoma"/>
            <family val="2"/>
          </rPr>
          <t xml:space="preserve">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 xml:space="preserve">&gt;Channel Development operating margin </t>
        </r>
        <r>
          <rPr>
            <u/>
            <sz val="9"/>
            <color rgb="FF000000"/>
            <rFont val="Tahoma"/>
            <family val="2"/>
          </rPr>
          <t>mid-30%</t>
        </r>
        <r>
          <rPr>
            <sz val="9"/>
            <color rgb="FF000000"/>
            <rFont val="Tahoma"/>
            <family val="2"/>
          </rPr>
          <t xml:space="preserve"> range</t>
        </r>
        <r>
          <rPr>
            <b/>
            <sz val="9"/>
            <color rgb="FF000000"/>
            <rFont val="Tahoma"/>
            <family val="2"/>
          </rPr>
          <t xml:space="preserve">
</t>
        </r>
        <r>
          <rPr>
            <b/>
            <sz val="9"/>
            <color rgb="FF000000"/>
            <rFont val="Tahoma"/>
            <family val="2"/>
          </rPr>
          <t xml:space="preserve">
</t>
        </r>
        <r>
          <rPr>
            <b/>
            <sz val="9"/>
            <color rgb="FF000000"/>
            <rFont val="Tahoma"/>
            <family val="2"/>
          </rPr>
          <t xml:space="preserve">F1Q2019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down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&gt;Channel Development operating margin high 30% range</t>
        </r>
      </text>
    </comment>
    <comment ref="O77" authorId="0" shapeId="0" xr:uid="{0BEC7B09-C406-4F84-B85D-BE3440566F1F}">
      <text>
        <r>
          <rPr>
            <b/>
            <sz val="9"/>
            <color rgb="FF000000"/>
            <rFont val="Tahoma"/>
            <family val="2"/>
          </rPr>
          <t xml:space="preserve">Comment from F3Q2020 Earnings Call: </t>
        </r>
        <r>
          <rPr>
            <sz val="9"/>
            <color rgb="FF000000"/>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F79" authorId="0" shapeId="0" xr:uid="{E8FEEF10-A864-490D-984F-D93848AE91C8}">
      <text>
        <r>
          <rPr>
            <b/>
            <sz val="9"/>
            <color indexed="81"/>
            <rFont val="Tahoma"/>
            <family val="2"/>
          </rPr>
          <t xml:space="preserve">Primary Input: </t>
        </r>
        <r>
          <rPr>
            <sz val="9"/>
            <color indexed="81"/>
            <rFont val="Tahoma"/>
            <family val="2"/>
          </rPr>
          <t>This cell will be impacted by product mix (lower vs higher cost products), occupancy costs, changes in employee wages and other operating costs. Consider historic seasonal trend and incorporate your view of the future in your estimates.</t>
        </r>
      </text>
    </comment>
    <comment ref="N79" authorId="2" shapeId="0" xr:uid="{0AAD1CE2-6D01-5F4D-9148-749509FE2CA0}">
      <text>
        <r>
          <rPr>
            <b/>
            <sz val="10"/>
            <color rgb="FF000000"/>
            <rFont val="Tahoma"/>
            <family val="2"/>
          </rPr>
          <t xml:space="preserve">Faid, incresased operating expenses for the next quarters due to Covid in the US
</t>
        </r>
        <r>
          <rPr>
            <sz val="10"/>
            <color rgb="FF000000"/>
            <rFont val="Tahoma"/>
            <family val="2"/>
          </rPr>
          <t xml:space="preserve">
</t>
        </r>
      </text>
    </comment>
    <comment ref="F82" authorId="0" shapeId="0" xr:uid="{252B23A1-1F2A-4663-B497-1465C379527C}">
      <text>
        <r>
          <rPr>
            <b/>
            <sz val="9"/>
            <color indexed="81"/>
            <rFont val="Tahoma"/>
            <family val="2"/>
          </rPr>
          <t xml:space="preserve">Primary Input: </t>
        </r>
        <r>
          <rPr>
            <sz val="9"/>
            <color indexed="81"/>
            <rFont val="Tahoma"/>
            <family val="2"/>
          </rPr>
          <t>Similar comment as with the Americas Region above.</t>
        </r>
        <r>
          <rPr>
            <b/>
            <sz val="9"/>
            <color indexed="81"/>
            <rFont val="Tahoma"/>
            <family val="2"/>
          </rPr>
          <t xml:space="preserve">
</t>
        </r>
      </text>
    </comment>
    <comment ref="F87" authorId="0" shapeId="0" xr:uid="{5D52F90C-9D4F-4FA3-B734-1D3E13CABD5A}">
      <text>
        <r>
          <rPr>
            <b/>
            <sz val="9"/>
            <color indexed="81"/>
            <rFont val="Tahoma"/>
            <family val="2"/>
          </rPr>
          <t xml:space="preserve">Primary Input: </t>
        </r>
        <r>
          <rPr>
            <sz val="9"/>
            <color indexed="81"/>
            <rFont val="Tahoma"/>
            <family val="2"/>
          </rPr>
          <t>Similar comment as with the Americas Region above (also remember that U.S. Dollar strength is a headwind for SBUX).</t>
        </r>
      </text>
    </comment>
    <comment ref="L87" authorId="0" shapeId="0" xr:uid="{CF0A3ACE-5388-4A71-AC1A-7A23B8D0C31D}">
      <text>
        <r>
          <rPr>
            <b/>
            <sz val="9"/>
            <color rgb="FF000000"/>
            <rFont val="Tahoma"/>
            <family val="2"/>
          </rPr>
          <t>Primary Input:</t>
        </r>
        <r>
          <rPr>
            <sz val="9"/>
            <color rgb="FF000000"/>
            <rFont val="Tahoma"/>
            <family val="2"/>
          </rPr>
          <t xml:space="preserve"> If you believe the SBUX product offerings, macroeconomic and competitive conditions  will benefit the company, increase the Comp Store Sales rate. If not, decrease the rate.
</t>
        </r>
        <r>
          <rPr>
            <sz val="9"/>
            <color rgb="FF000000"/>
            <rFont val="Tahoma"/>
            <family val="2"/>
          </rPr>
          <t xml:space="preserve">
</t>
        </r>
        <r>
          <rPr>
            <b/>
            <sz val="9"/>
            <color rgb="FF000000"/>
            <rFont val="Tahoma"/>
            <family val="2"/>
          </rPr>
          <t xml:space="preserve">Management Guidance: </t>
        </r>
        <r>
          <rPr>
            <sz val="9"/>
            <color rgb="FF000000"/>
            <rFont val="Tahoma"/>
            <family val="2"/>
          </rPr>
          <t xml:space="preserve">International comparable store sales declines of 10% to 15% for Q4 and 20% to 25% for full year inclusive of a benefit from value-added tax exemption of approximately 3% and 1%, respectively  (previously declines of 10% to 20% for Q4 and 20% to 30% for full year).
</t>
        </r>
        <r>
          <rPr>
            <b/>
            <sz val="9"/>
            <color rgb="FF000000"/>
            <rFont val="Tahoma"/>
            <family val="2"/>
          </rPr>
          <t xml:space="preserve">Source: </t>
        </r>
        <r>
          <rPr>
            <sz val="9"/>
            <color rgb="FF000000"/>
            <rFont val="Tahoma"/>
            <family val="2"/>
          </rPr>
          <t xml:space="preserve">F3Q2020 Press Release, July 28, 2020
</t>
        </r>
        <r>
          <rPr>
            <sz val="9"/>
            <color rgb="FF000000"/>
            <rFont val="Tahoma"/>
            <family val="2"/>
          </rPr>
          <t xml:space="preserve">
</t>
        </r>
        <r>
          <rPr>
            <b/>
            <sz val="9"/>
            <color rgb="FF000000"/>
            <rFont val="Tahoma"/>
            <family val="2"/>
          </rPr>
          <t xml:space="preserve">Comment from F3Q2020 Earnings Call: </t>
        </r>
        <r>
          <rPr>
            <sz val="9"/>
            <color rgb="FF000000"/>
            <rFont val="Tahoma"/>
            <family val="2"/>
          </rPr>
          <t xml:space="preserve">"Moving on to our International segment, with the expectation of COVID-19 impacts continuing to ease in the fourth quarter, particularly in Japan, we now expect International's comparable store sales to decline between 10% and 15% in Q4, including a 3% favorable VAT impact. For China specifically, we expect Q4 comparable store sales to range between flat and minus 5%.
</t>
        </r>
        <r>
          <rPr>
            <sz val="9"/>
            <color rgb="FF000000"/>
            <rFont val="Tahoma"/>
            <family val="2"/>
          </rPr>
          <t xml:space="preserve">Although this is generally in line with our previous guidance and now reflects both a new tailwind and a new headwind, the new tailwind is the temporary VAT exemption which I mentioned earlier, benefiting China's fourth quarter comp sales growth by about 4 percentage points. The new headwind is a combination of factors. First, COVID-related emergency response measures in Beijing where Starbucks currently has over 360 locations. And second, a prolonged slowdown in international and domestic travel, impacting Starbucks locations at China's airports and tourist venues. We expect the VAT exemption will expire at the end of December"
</t>
        </r>
      </text>
    </comment>
    <comment ref="N87" authorId="2" shapeId="0" xr:uid="{00AD968C-8FB5-F743-BB31-B59DFBF2F8AD}">
      <text>
        <r>
          <rPr>
            <b/>
            <sz val="10"/>
            <color rgb="FF000000"/>
            <rFont val="Tahoma"/>
            <family val="2"/>
          </rPr>
          <t xml:space="preserve">Covid imoact, milder than the US
</t>
        </r>
        <r>
          <rPr>
            <b/>
            <sz val="10"/>
            <color rgb="FF000000"/>
            <rFont val="Tahoma"/>
            <family val="2"/>
          </rPr>
          <t xml:space="preserve">
</t>
        </r>
        <r>
          <rPr>
            <sz val="10"/>
            <color rgb="FF000000"/>
            <rFont val="Tahoma"/>
            <family val="2"/>
          </rPr>
          <t xml:space="preserve">
</t>
        </r>
      </text>
    </comment>
    <comment ref="O87" authorId="0" shapeId="0" xr:uid="{63288F2F-5916-4CAD-B331-E5440BCC2EF2}">
      <text>
        <r>
          <rPr>
            <b/>
            <sz val="9"/>
            <color rgb="FF000000"/>
            <rFont val="Tahoma"/>
            <family val="2"/>
          </rPr>
          <t xml:space="preserve">Comment from F3Q2020 Earnings Call: </t>
        </r>
        <r>
          <rPr>
            <sz val="9"/>
            <color rgb="FF000000"/>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M93" authorId="0" shapeId="0" xr:uid="{FB4F18BF-6D96-4CF8-991F-601E41E0BBC3}">
      <text>
        <r>
          <rPr>
            <b/>
            <sz val="9"/>
            <color rgb="FF000000"/>
            <rFont val="Tahoma"/>
            <family val="2"/>
          </rPr>
          <t xml:space="preserve">Management Gudiance: </t>
        </r>
        <r>
          <rPr>
            <sz val="9"/>
            <color rgb="FF000000"/>
            <rFont val="Tahoma"/>
            <family val="2"/>
          </rPr>
          <t>Management does not provide guidance for the entire International segment, but did guide China to at least 300 net new stores.</t>
        </r>
        <r>
          <rPr>
            <b/>
            <sz val="9"/>
            <color rgb="FF000000"/>
            <rFont val="Tahoma"/>
            <family val="2"/>
          </rPr>
          <t xml:space="preserve">
</t>
        </r>
        <r>
          <rPr>
            <b/>
            <sz val="9"/>
            <color rgb="FF000000"/>
            <rFont val="Tahoma"/>
            <family val="2"/>
          </rPr>
          <t xml:space="preserve">Source: </t>
        </r>
        <r>
          <rPr>
            <sz val="9"/>
            <color rgb="FF000000"/>
            <rFont val="Tahoma"/>
            <family val="2"/>
          </rPr>
          <t>F3Q2020 Press Release, July 28, 2020</t>
        </r>
      </text>
    </comment>
    <comment ref="K95" authorId="0" shapeId="0" xr:uid="{AA0D2C97-CD25-4A87-B22B-1F65909A7128}">
      <text>
        <r>
          <rPr>
            <b/>
            <sz val="9"/>
            <color rgb="FF000000"/>
            <rFont val="Tahoma"/>
            <family val="2"/>
          </rPr>
          <t>Comment from F3Q2020 Earnings Call:</t>
        </r>
        <r>
          <rPr>
            <sz val="9"/>
            <color rgb="FF000000"/>
            <rFont val="Tahoma"/>
            <family val="2"/>
          </rPr>
          <t xml:space="preserve"> "Also contributing to the decline were lower product sales to our licensees as a result of lost sales related to the COVID-19 outbreak as well as temporary royalty relief that we granted our international licensees. And there was an additional 2% revenue dilutive impact of transitioning our Thailand business to licensed operations last year."</t>
        </r>
      </text>
    </comment>
    <comment ref="O111" authorId="0" shapeId="0" xr:uid="{B068BA4A-D593-4B86-9C10-157F221539AC}">
      <text>
        <r>
          <rPr>
            <b/>
            <sz val="9"/>
            <color rgb="FF000000"/>
            <rFont val="Tahoma"/>
            <family val="2"/>
          </rPr>
          <t>Comment from F3Q2020 Earnings Call:</t>
        </r>
        <r>
          <rPr>
            <sz val="9"/>
            <color rgb="FF000000"/>
            <rFont val="Tahoma"/>
            <family val="2"/>
          </rPr>
          <t xml:space="preserve"> "We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F113" authorId="0" shapeId="0" xr:uid="{8D65BFF8-4FF8-40E5-83F8-85B1987E2DD8}">
      <text>
        <r>
          <rPr>
            <b/>
            <sz val="9"/>
            <color indexed="81"/>
            <rFont val="Tahoma"/>
            <family val="2"/>
          </rPr>
          <t xml:space="preserve">Primary Input: </t>
        </r>
        <r>
          <rPr>
            <sz val="9"/>
            <color indexed="81"/>
            <rFont val="Tahoma"/>
            <family val="2"/>
          </rPr>
          <t>Similar comment as with the Americas Region above.</t>
        </r>
      </text>
    </comment>
    <comment ref="L113" authorId="2" shapeId="0" xr:uid="{72FCC382-8E3A-E74C-B577-0400D0B34C24}">
      <text>
        <r>
          <rPr>
            <b/>
            <sz val="10"/>
            <color rgb="FF000000"/>
            <rFont val="Tahoma"/>
            <family val="2"/>
          </rPr>
          <t xml:space="preserve">Fadi: I reduced this and the next two quarters a bit as per the management guidance there will be less need to support licensed stores.
</t>
        </r>
        <r>
          <rPr>
            <sz val="10"/>
            <color rgb="FF000000"/>
            <rFont val="Tahoma"/>
            <family val="2"/>
          </rPr>
          <t xml:space="preserve">
</t>
        </r>
        <r>
          <rPr>
            <sz val="10"/>
            <color rgb="FF000000"/>
            <rFont val="Tahoma"/>
            <family val="2"/>
          </rPr>
          <t xml:space="preserve">
</t>
        </r>
      </text>
    </comment>
    <comment ref="B114" authorId="0" shapeId="0" xr:uid="{F69FB386-7D31-485F-AFC2-CE79C8F6E23A}">
      <text>
        <r>
          <rPr>
            <b/>
            <sz val="9"/>
            <color rgb="FF000000"/>
            <rFont val="Tahoma"/>
            <family val="2"/>
          </rPr>
          <t xml:space="preserve">Description of Channel Development Segment from 10-K: </t>
        </r>
        <r>
          <rPr>
            <sz val="9"/>
            <color rgb="FF000000"/>
            <rFont val="Tahoma"/>
            <family val="2"/>
          </rPr>
          <t xml:space="preserve">"Our Channel Development segment includes roasted whole bean and ground coffees, Seattle's Best Coffee®, Starbucks- and Teavana-branded single-serve
</t>
        </r>
        <r>
          <rPr>
            <sz val="9"/>
            <color rgb="FF000000"/>
            <rFont val="Tahoma"/>
            <family val="2"/>
          </rPr>
          <t xml:space="preserve">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K115" authorId="0" shapeId="0" xr:uid="{4383EBF9-407E-43C8-8471-8E2BDD34ED89}">
      <text>
        <r>
          <rPr>
            <b/>
            <sz val="9"/>
            <color rgb="FF000000"/>
            <rFont val="Tahoma"/>
            <family val="2"/>
          </rPr>
          <t>Comment from F3Q2020 Earnings Call: "</t>
        </r>
        <r>
          <rPr>
            <sz val="9"/>
            <color rgb="FF000000"/>
            <rFont val="Tahoma"/>
            <family val="2"/>
          </rPr>
          <t xml:space="preserve">When normalizing for the 21% unfavorable impact of lapping Global Coffee Alliance transition-related items that benefited the prior year including higher inventory sales as Nestlé prepared to fulfill customer orders"...based on the fact that the high revenue mark in F3Q2019 was due in part to higher inventory sales, the F3Q2021 revenue will probably be somewhat below this level.
</t>
        </r>
      </text>
    </comment>
    <comment ref="L116" authorId="2" shapeId="0" xr:uid="{B33E2229-13C2-2843-B98B-314E64AA2288}">
      <text>
        <r>
          <rPr>
            <b/>
            <sz val="10"/>
            <color rgb="FF000000"/>
            <rFont val="Tahoma"/>
            <family val="2"/>
          </rPr>
          <t>Fadi: better channel sale of single serving and packaged coffee through Nestle, increased 21%(Q3 earning calls)</t>
        </r>
        <r>
          <rPr>
            <sz val="10"/>
            <color rgb="FF000000"/>
            <rFont val="Tahoma"/>
            <family val="2"/>
          </rPr>
          <t xml:space="preserve">
</t>
        </r>
      </text>
    </comment>
    <comment ref="M116" authorId="0" shapeId="0" xr:uid="{E7FD8567-7691-4BF8-8044-430DBADE816B}">
      <text>
        <r>
          <rPr>
            <b/>
            <sz val="9"/>
            <color rgb="FF000000"/>
            <rFont val="Tahoma"/>
            <family val="2"/>
          </rPr>
          <t xml:space="preserve">Management Gudiance: </t>
        </r>
        <r>
          <rPr>
            <sz val="9"/>
            <color rgb="FF000000"/>
            <rFont val="Tahoma"/>
            <family val="2"/>
          </rPr>
          <t xml:space="preserve">Channel Development revenue decline of 5% to 6% for full year.
</t>
        </r>
        <r>
          <rPr>
            <b/>
            <sz val="9"/>
            <color rgb="FF000000"/>
            <rFont val="Tahoma"/>
            <family val="2"/>
          </rPr>
          <t>Source:</t>
        </r>
        <r>
          <rPr>
            <sz val="9"/>
            <color rgb="FF000000"/>
            <rFont val="Tahoma"/>
            <family val="2"/>
          </rPr>
          <t xml:space="preserve"> F3Q2020 Press Release, July 28, 2020</t>
        </r>
      </text>
    </comment>
    <comment ref="H125" authorId="0" shapeId="0" xr:uid="{0AFB8492-6631-4EBA-A90B-77B9FC895AA5}">
      <text>
        <r>
          <rPr>
            <b/>
            <sz val="9"/>
            <color rgb="FF000000"/>
            <rFont val="Tahoma"/>
            <family val="2"/>
          </rPr>
          <t xml:space="preserve">F3Q2019 Earnings call (7/25/2019) guidance for FY2019:
</t>
        </r>
        <r>
          <rPr>
            <sz val="9"/>
            <color rgb="FF000000"/>
            <rFont val="Tahoma"/>
            <family val="2"/>
          </rPr>
          <t xml:space="preserve">Consolidated operating margin down moderately
</t>
        </r>
        <r>
          <rPr>
            <sz val="9"/>
            <color rgb="FF000000"/>
            <rFont val="Tahoma"/>
            <family val="2"/>
          </rPr>
          <t xml:space="preserve">&gt;Americas operating margin up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&gt;Channel Development operating margin mid-30% range</t>
        </r>
        <r>
          <rPr>
            <b/>
            <sz val="9"/>
            <color rgb="FF000000"/>
            <rFont val="Tahoma"/>
            <family val="2"/>
          </rPr>
          <t xml:space="preserve">
</t>
        </r>
        <r>
          <rPr>
            <b/>
            <sz val="9"/>
            <color rgb="FF000000"/>
            <rFont val="Tahoma"/>
            <family val="2"/>
          </rPr>
          <t xml:space="preserve">
</t>
        </r>
        <r>
          <rPr>
            <b/>
            <sz val="9"/>
            <color rgb="FF000000"/>
            <rFont val="Tahoma"/>
            <family val="2"/>
          </rPr>
          <t xml:space="preserve">Past Guidance:
</t>
        </r>
        <r>
          <rPr>
            <b/>
            <sz val="9"/>
            <color rgb="FF000000"/>
            <rFont val="Tahoma"/>
            <family val="2"/>
          </rPr>
          <t xml:space="preserve">F2Q2019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up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&gt;Channel Development operating margin mid-30% range</t>
        </r>
        <r>
          <rPr>
            <b/>
            <sz val="9"/>
            <color rgb="FF000000"/>
            <rFont val="Tahoma"/>
            <family val="2"/>
          </rPr>
          <t xml:space="preserve">
</t>
        </r>
        <r>
          <rPr>
            <b/>
            <sz val="9"/>
            <color rgb="FF000000"/>
            <rFont val="Tahoma"/>
            <family val="2"/>
          </rPr>
          <t xml:space="preserve">
</t>
        </r>
        <r>
          <rPr>
            <b/>
            <sz val="9"/>
            <color rgb="FF000000"/>
            <rFont val="Tahoma"/>
            <family val="2"/>
          </rPr>
          <t xml:space="preserve">F1Q2019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down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&gt;Channel Development operating margin high 30% range</t>
        </r>
      </text>
    </comment>
    <comment ref="K125" authorId="0" shapeId="0" xr:uid="{76B44A94-361A-43C5-AB45-DB3A3FA1BFA4}">
      <text>
        <r>
          <rPr>
            <b/>
            <sz val="9"/>
            <color rgb="FF000000"/>
            <rFont val="Tahoma"/>
            <family val="2"/>
          </rPr>
          <t>Comment from F3Q2020 Earnings Call: "</t>
        </r>
        <r>
          <rPr>
            <sz val="9"/>
            <color rgb="FF000000"/>
            <rFont val="Tahoma"/>
            <family val="2"/>
          </rPr>
          <t>Normalizing for the 460 basis point impact of the transition activities I just mentioned, Channel Development's non-GAAP operating margin contracted 340 basis points in Q3. The contraction was due primarily to a business mix shift within Channel Development as well as deleverage on fixed coffee manufacturing costs shared across the company's operating segments driven by lower retail production volumes resulting from COVID-19."</t>
        </r>
      </text>
    </comment>
    <comment ref="N127" authorId="2" shapeId="0" xr:uid="{E9D3DAF0-57A0-A943-9508-C56E4CCBA083}">
      <text>
        <r>
          <rPr>
            <b/>
            <sz val="10"/>
            <color rgb="FF000000"/>
            <rFont val="Tahoma"/>
            <family val="2"/>
          </rPr>
          <t xml:space="preserve">Fadi: reduced expenses due to increases sales, higher effciency and spreading of fixed costs
</t>
        </r>
        <r>
          <rPr>
            <sz val="10"/>
            <color rgb="FF000000"/>
            <rFont val="Tahoma"/>
            <family val="2"/>
          </rPr>
          <t xml:space="preserve">
</t>
        </r>
      </text>
    </comment>
    <comment ref="H147" authorId="0" shapeId="0" xr:uid="{09086669-1B74-4F2F-9BFD-613EEE8C272D}">
      <text>
        <r>
          <rPr>
            <b/>
            <sz val="9"/>
            <color rgb="FF000000"/>
            <rFont val="Tahoma"/>
            <family val="2"/>
          </rPr>
          <t xml:space="preserve">3Q2019 Earnings call (7/25/2019) guidance for FY2019: </t>
        </r>
        <r>
          <rPr>
            <sz val="9"/>
            <color rgb="FF000000"/>
            <rFont val="Tahoma"/>
            <family val="2"/>
          </rPr>
          <t>Revenue growth of 7%.</t>
        </r>
        <r>
          <rPr>
            <b/>
            <sz val="9"/>
            <color rgb="FF000000"/>
            <rFont val="Tahoma"/>
            <family val="2"/>
          </rPr>
          <t xml:space="preserve">
</t>
        </r>
        <r>
          <rPr>
            <b/>
            <sz val="9"/>
            <color rgb="FF000000"/>
            <rFont val="Tahoma"/>
            <family val="2"/>
          </rPr>
          <t xml:space="preserve">
</t>
        </r>
        <r>
          <rPr>
            <b/>
            <sz val="9"/>
            <color rgb="FF000000"/>
            <rFont val="Tahoma"/>
            <family val="2"/>
          </rPr>
          <t xml:space="preserve">Previous Guidance:
</t>
        </r>
        <r>
          <rPr>
            <b/>
            <sz val="9"/>
            <color rgb="FF000000"/>
            <rFont val="Tahoma"/>
            <family val="2"/>
          </rPr>
          <t xml:space="preserve">2Q2019 Earnings call guidance for FY2019: </t>
        </r>
        <r>
          <rPr>
            <sz val="9"/>
            <color rgb="FF000000"/>
            <rFont val="Tahoma"/>
            <family val="2"/>
          </rPr>
          <t xml:space="preserve">Revenue growth between 5% and 7%.
</t>
        </r>
        <r>
          <rPr>
            <sz val="9"/>
            <color rgb="FF000000"/>
            <rFont val="Tahoma"/>
            <family val="2"/>
          </rPr>
          <t xml:space="preserve">
</t>
        </r>
        <r>
          <rPr>
            <sz val="9"/>
            <color rgb="FF000000"/>
            <rFont val="Tahoma"/>
            <family val="2"/>
          </rPr>
          <t xml:space="preserve">"As a reminder, we will lap the East China acquisition at the
</t>
        </r>
        <r>
          <rPr>
            <sz val="9"/>
            <color rgb="FF000000"/>
            <rFont val="Tahoma"/>
            <family val="2"/>
          </rPr>
          <t xml:space="preserve">beginning of Q2, at which point we will no longer see the year-over-year benefit to our total revenue growth. At the
</t>
        </r>
        <r>
          <rPr>
            <sz val="9"/>
            <color rgb="FF000000"/>
            <rFont val="Tahoma"/>
            <family val="2"/>
          </rPr>
          <t xml:space="preserve">same time, we will still bear the year-over-year revenue headwind from the Global Coffee Alliance. We expect
</t>
        </r>
        <r>
          <rPr>
            <sz val="9"/>
            <color rgb="FF000000"/>
            <rFont val="Tahoma"/>
            <family val="2"/>
          </rPr>
          <t xml:space="preserve">these factors to yield significantly lower revenue growth in Q2 compared to Q1.  
</t>
        </r>
        <r>
          <rPr>
            <sz val="9"/>
            <color rgb="FF000000"/>
            <rFont val="Tahoma"/>
            <family val="2"/>
          </rPr>
          <t xml:space="preserve">
</t>
        </r>
        <r>
          <rPr>
            <sz val="9"/>
            <color rgb="FF000000"/>
            <rFont val="Tahoma"/>
            <family val="2"/>
          </rPr>
          <t xml:space="preserve">Given the fact that Q2 is a seasonally low period for us and with the continued substantial carryover of last year's U.S. tax reform-related
</t>
        </r>
        <r>
          <rPr>
            <sz val="9"/>
            <color rgb="FF000000"/>
            <rFont val="Tahoma"/>
            <family val="2"/>
          </rPr>
          <t xml:space="preserve">investments, we also expect our non-GAAP operating margin percentage to be lower in Q2 compared to Q1.
</t>
        </r>
        <r>
          <rPr>
            <sz val="9"/>
            <color rgb="FF000000"/>
            <rFont val="Tahoma"/>
            <family val="2"/>
          </rPr>
          <t xml:space="preserve">
</t>
        </r>
        <r>
          <rPr>
            <sz val="9"/>
            <color rgb="FF000000"/>
            <rFont val="Tahoma"/>
            <family val="2"/>
          </rPr>
          <t xml:space="preserve">We are in the early phases of our G&amp;A reduction program, having just started in Q1 and the benefits to the P&amp;L
</t>
        </r>
        <r>
          <rPr>
            <sz val="9"/>
            <color rgb="FF000000"/>
            <rFont val="Tahoma"/>
            <family val="2"/>
          </rPr>
          <t xml:space="preserve">will not begin to meaningfully materialize until the back half of the fiscal year. This is an area of continued focus
</t>
        </r>
        <r>
          <rPr>
            <sz val="9"/>
            <color rgb="FF000000"/>
            <rFont val="Tahoma"/>
            <family val="2"/>
          </rPr>
          <t xml:space="preserve">for us and we remain committed to reducing G&amp;A spending as a percentage of system sales over the next three
</t>
        </r>
        <r>
          <rPr>
            <sz val="9"/>
            <color rgb="FF000000"/>
            <rFont val="Tahoma"/>
            <family val="2"/>
          </rPr>
          <t xml:space="preserve">years to drive profitable growth-at-scale, while making the necessary investments in our business. As we start to
</t>
        </r>
        <r>
          <rPr>
            <sz val="9"/>
            <color rgb="FF000000"/>
            <rFont val="Tahoma"/>
            <family val="2"/>
          </rPr>
          <t xml:space="preserve">lap the tax reform-related investments in Q3 and with the benefit of our continued focus on improving G&amp;A
</t>
        </r>
        <r>
          <rPr>
            <sz val="9"/>
            <color rgb="FF000000"/>
            <rFont val="Tahoma"/>
            <family val="2"/>
          </rPr>
          <t xml:space="preserve">efficiency, we expect our non-GAAP operating margin percentage to be higher in the second half of the year
</t>
        </r>
        <r>
          <rPr>
            <sz val="9"/>
            <color rgb="FF000000"/>
            <rFont val="Tahoma"/>
            <family val="2"/>
          </rPr>
          <t xml:space="preserve">compared to the first half, even with the one-time cost of our global leadership conference that will impact Q4.
</t>
        </r>
        <r>
          <rPr>
            <sz val="9"/>
            <color rgb="FF000000"/>
            <rFont val="Tahoma"/>
            <family val="2"/>
          </rPr>
          <t>Please note that all of this is consistent with our full year guidance for 2019.</t>
        </r>
      </text>
    </comment>
    <comment ref="L147" authorId="0" shapeId="0" xr:uid="{97017612-F2B9-4C76-AC38-695388763B23}">
      <text>
        <r>
          <rPr>
            <b/>
            <sz val="9"/>
            <color rgb="FF000000"/>
            <rFont val="Tahoma"/>
            <family val="2"/>
          </rPr>
          <t>Management Guidance:</t>
        </r>
        <r>
          <rPr>
            <sz val="9"/>
            <color rgb="FF000000"/>
            <rFont val="Tahoma"/>
            <family val="2"/>
          </rPr>
          <t xml:space="preserve"> Consolidated revenue decline of 10% to 15% for Q4.
</t>
        </r>
        <r>
          <rPr>
            <b/>
            <sz val="9"/>
            <color rgb="FF000000"/>
            <rFont val="Tahoma"/>
            <family val="2"/>
          </rPr>
          <t>Source:</t>
        </r>
        <r>
          <rPr>
            <sz val="9"/>
            <color rgb="FF000000"/>
            <rFont val="Tahoma"/>
            <family val="2"/>
          </rPr>
          <t xml:space="preserve"> F3Q2020 Press Release, July 28, 2020</t>
        </r>
      </text>
    </comment>
    <comment ref="H150" authorId="0" shapeId="0" xr:uid="{1AC5A6FE-2E7D-4292-8526-475FE5AC6A6E}">
      <text>
        <r>
          <rPr>
            <b/>
            <sz val="9"/>
            <color rgb="FF000000"/>
            <rFont val="Tahoma"/>
            <family val="2"/>
          </rPr>
          <t xml:space="preserve">F3Q2019 Earnings call (7/25/2019) guidance for FY2019: </t>
        </r>
        <r>
          <rPr>
            <sz val="9"/>
            <color rgb="FF000000"/>
            <rFont val="Tahoma"/>
            <family val="2"/>
          </rPr>
          <t>19% to 20%, Non-GAAP tax rate in the range of 19% to 20%.</t>
        </r>
        <r>
          <rPr>
            <b/>
            <sz val="9"/>
            <color rgb="FF000000"/>
            <rFont val="Tahoma"/>
            <family val="2"/>
          </rPr>
          <t xml:space="preserve">
</t>
        </r>
        <r>
          <rPr>
            <b/>
            <sz val="9"/>
            <color rgb="FF000000"/>
            <rFont val="Tahoma"/>
            <family val="2"/>
          </rPr>
          <t xml:space="preserve">
</t>
        </r>
        <r>
          <rPr>
            <b/>
            <sz val="9"/>
            <color rgb="FF000000"/>
            <rFont val="Tahoma"/>
            <family val="2"/>
          </rPr>
          <t xml:space="preserve">Previous Guidance:
</t>
        </r>
        <r>
          <rPr>
            <b/>
            <sz val="9"/>
            <color rgb="FF000000"/>
            <rFont val="Tahoma"/>
            <family val="2"/>
          </rPr>
          <t xml:space="preserve">F2Q2019 Earnings call guidance for FY2019: </t>
        </r>
        <r>
          <rPr>
            <sz val="9"/>
            <color rgb="FF000000"/>
            <rFont val="Tahoma"/>
            <family val="2"/>
          </rPr>
          <t xml:space="preserve">20% to 22%, Non-GAAP tax rate in the range of 19% to 21%.
</t>
        </r>
        <r>
          <rPr>
            <b/>
            <sz val="9"/>
            <color rgb="FF000000"/>
            <rFont val="Tahoma"/>
            <family val="2"/>
          </rPr>
          <t>F1Q2019 Earnings call guidance for FY2019:</t>
        </r>
        <r>
          <rPr>
            <sz val="9"/>
            <color rgb="FF000000"/>
            <rFont val="Tahoma"/>
            <family val="2"/>
          </rPr>
          <t xml:space="preserve"> 21% to 23%</t>
        </r>
      </text>
    </comment>
    <comment ref="L150" authorId="0" shapeId="0" xr:uid="{5FD06BF1-CB64-4ED3-BB36-CF2367571570}">
      <text>
        <r>
          <rPr>
            <b/>
            <sz val="9"/>
            <color rgb="FF000000"/>
            <rFont val="Tahoma"/>
            <family val="2"/>
          </rPr>
          <t>Management Guidance:</t>
        </r>
        <r>
          <rPr>
            <sz val="9"/>
            <color rgb="FF000000"/>
            <rFont val="Tahoma"/>
            <family val="2"/>
          </rPr>
          <t xml:space="preserve"> GAAP and non-GAAP effective tax rates in the range of mid- to high-20%s.
</t>
        </r>
        <r>
          <rPr>
            <b/>
            <sz val="9"/>
            <color rgb="FF000000"/>
            <rFont val="Tahoma"/>
            <family val="2"/>
          </rPr>
          <t>Source:</t>
        </r>
        <r>
          <rPr>
            <sz val="9"/>
            <color rgb="FF000000"/>
            <rFont val="Tahoma"/>
            <family val="2"/>
          </rPr>
          <t xml:space="preserve"> F3Q2020 Press Release, July 28, 2020</t>
        </r>
      </text>
    </comment>
    <comment ref="X153" authorId="0" shapeId="0" xr:uid="{D14599A9-702C-456B-BAA3-86430560C12D}">
      <text>
        <r>
          <rPr>
            <b/>
            <sz val="9"/>
            <color rgb="FF000000"/>
            <rFont val="Tahoma"/>
            <family val="2"/>
          </rPr>
          <t>GROWTH RATES TOO HIGH - CHECK THE PAST AND CONSENSUS</t>
        </r>
        <r>
          <rPr>
            <sz val="9"/>
            <color rgb="FF000000"/>
            <rFont val="Tahoma"/>
            <family val="2"/>
          </rPr>
          <t xml:space="preserve">
</t>
        </r>
      </text>
    </comment>
    <comment ref="B156" authorId="0" shapeId="0" xr:uid="{AD7544DA-3FBA-40F9-AE15-5804DA93DE00}">
      <text>
        <r>
          <rPr>
            <b/>
            <sz val="9"/>
            <color rgb="FF000000"/>
            <rFont val="Tahoma"/>
            <family val="2"/>
          </rPr>
          <t>Note:</t>
        </r>
        <r>
          <rPr>
            <sz val="9"/>
            <color rgb="FF000000"/>
            <rFont val="Tahoma"/>
            <family val="2"/>
          </rPr>
          <t xml:space="preserve"> Item 2 Unregistered Sales of Equity Securities includes the ASRs. They have been seperated here. (Refer to F1Q2019 and F2Q2019 to reconcile)</t>
        </r>
      </text>
    </comment>
    <comment ref="L159" authorId="2" shapeId="0" xr:uid="{C466EEE9-7EDC-5B45-BEFC-2361242A1A09}">
      <text>
        <r>
          <rPr>
            <b/>
            <sz val="10"/>
            <color rgb="FF000000"/>
            <rFont val="Tahoma"/>
            <family val="2"/>
          </rPr>
          <t xml:space="preserve">Fadi:current price 8
</t>
        </r>
        <r>
          <rPr>
            <b/>
            <sz val="10"/>
            <color rgb="FF000000"/>
            <rFont val="Tahoma"/>
            <family val="2"/>
          </rPr>
          <t>6</t>
        </r>
        <r>
          <rPr>
            <sz val="10"/>
            <color rgb="FF000000"/>
            <rFont val="Tahoma"/>
            <family val="2"/>
          </rPr>
          <t xml:space="preserve">
</t>
        </r>
      </text>
    </comment>
    <comment ref="N160" authorId="2" shapeId="0" xr:uid="{B56E3EB1-8221-4740-94B0-924CA14D573D}">
      <text>
        <r>
          <rPr>
            <b/>
            <sz val="10"/>
            <color rgb="FF000000"/>
            <rFont val="Tahoma"/>
            <family val="2"/>
          </rPr>
          <t xml:space="preserve">Fadi: Reduced stock repurchase to preserve cash.
</t>
        </r>
        <r>
          <rPr>
            <b/>
            <sz val="10"/>
            <color rgb="FF000000"/>
            <rFont val="Tahoma"/>
            <family val="2"/>
          </rPr>
          <t xml:space="preserve">
</t>
        </r>
        <r>
          <rPr>
            <sz val="10"/>
            <color rgb="FF000000"/>
            <rFont val="Tahoma"/>
            <family val="2"/>
          </rPr>
          <t xml:space="preserve">
</t>
        </r>
      </text>
    </comment>
    <comment ref="B171" authorId="0" shapeId="0" xr:uid="{20E44D2E-2CAE-4DBE-B7FA-D71F408A75C3}">
      <text>
        <r>
          <rPr>
            <sz val="9"/>
            <color rgb="FF000000"/>
            <rFont val="Tahoma"/>
            <family val="2"/>
          </rPr>
          <t xml:space="preserve">Includes transaction costs for the acquisition of our East China joint venture; ongoing amortization expense of acquired
</t>
        </r>
        <r>
          <rPr>
            <sz val="9"/>
            <color rgb="FF000000"/>
            <rFont val="Tahoma"/>
            <family val="2"/>
          </rPr>
          <t>intangible assets associated with the acquisition of East China and Starbucks Japan; and the related post-acquisition integration costs, such as incremental information technology and compensation-related costs</t>
        </r>
      </text>
    </comment>
    <comment ref="B178" authorId="0" shapeId="0" xr:uid="{85CAA317-FB8F-44ED-8BFB-2649D3570234}">
      <text>
        <r>
          <rPr>
            <b/>
            <sz val="9"/>
            <color rgb="FF000000"/>
            <rFont val="Tahoma"/>
            <family val="2"/>
          </rPr>
          <t>Enter negative EPS income tax effect as positive on this line</t>
        </r>
      </text>
    </comment>
    <comment ref="Q209" authorId="2" shapeId="0" xr:uid="{7F7068E7-3686-5645-AF64-6177950BE9C3}">
      <text>
        <r>
          <rPr>
            <b/>
            <sz val="10"/>
            <color rgb="FF000000"/>
            <rFont val="Tahoma"/>
            <family val="2"/>
          </rPr>
          <t xml:space="preserve">Fadi: Lower debt repayment to conserve cash
</t>
        </r>
        <r>
          <rPr>
            <sz val="10"/>
            <color rgb="FF000000"/>
            <rFont val="Tahoma"/>
            <family val="2"/>
          </rPr>
          <t xml:space="preserve">
</t>
        </r>
      </text>
    </comment>
    <comment ref="B231" authorId="0" shapeId="0" xr:uid="{B2B9A67E-D66C-434E-A5CC-DD9B8240C6E8}">
      <text>
        <r>
          <rPr>
            <sz val="9"/>
            <color rgb="FF000000"/>
            <rFont val="Tahoma"/>
            <family val="2"/>
          </rPr>
          <t>Since Assets must equal Liabilities + Equity, we use Liabilities + Equity in this equation to have the securities balance move with the balance sheet without causing a circular reference error.</t>
        </r>
      </text>
    </comment>
    <comment ref="B240" authorId="0" shapeId="0" xr:uid="{059A8E95-FF20-4526-887F-EFE97F11CFA6}">
      <text>
        <r>
          <rPr>
            <b/>
            <sz val="9"/>
            <color rgb="FF000000"/>
            <rFont val="Tahoma"/>
            <family val="2"/>
          </rPr>
          <t>Note: Use the company's 10-K not SEC web data</t>
        </r>
      </text>
    </comment>
    <comment ref="B252" authorId="0" shapeId="0" xr:uid="{02FAB36C-1A75-4CBE-8005-0C70712348F2}">
      <text>
        <r>
          <rPr>
            <b/>
            <sz val="9"/>
            <color rgb="FF000000"/>
            <rFont val="Tahoma"/>
            <family val="2"/>
          </rPr>
          <t>Change sign</t>
        </r>
      </text>
    </comment>
    <comment ref="B256" authorId="0" shapeId="0" xr:uid="{625AB450-A2D1-4C0D-B625-85EEB2B23A99}">
      <text>
        <r>
          <rPr>
            <b/>
            <sz val="9"/>
            <color rgb="FF000000"/>
            <rFont val="Tahoma"/>
            <family val="2"/>
          </rPr>
          <t>Change sign</t>
        </r>
      </text>
    </comment>
    <comment ref="H260" authorId="0" shapeId="0" xr:uid="{71985C27-1775-43B4-AA57-48B544A35CC0}">
      <text>
        <r>
          <rPr>
            <b/>
            <sz val="9"/>
            <color rgb="FF000000"/>
            <rFont val="Tahoma"/>
            <family val="2"/>
          </rPr>
          <t xml:space="preserve">3Q2019 Earnings call (7/25/2019) guidance for FY2019:
</t>
        </r>
        <r>
          <rPr>
            <sz val="9"/>
            <color rgb="FF000000"/>
            <rFont val="Tahoma"/>
            <family val="2"/>
          </rPr>
          <t>Capex ~ $2B</t>
        </r>
      </text>
    </comment>
    <comment ref="M260" authorId="0" shapeId="0" xr:uid="{02148E3D-AB86-4B4B-8382-5D40A1F60245}">
      <text>
        <r>
          <rPr>
            <b/>
            <sz val="9"/>
            <color rgb="FF000000"/>
            <rFont val="Tahoma"/>
            <family val="2"/>
          </rPr>
          <t xml:space="preserve">Management Guidance: </t>
        </r>
        <r>
          <rPr>
            <sz val="9"/>
            <color rgb="FF000000"/>
            <rFont val="Tahoma"/>
            <family val="2"/>
          </rPr>
          <t xml:space="preserve">Full year capex ~ $1.5B.
</t>
        </r>
        <r>
          <rPr>
            <b/>
            <sz val="9"/>
            <color rgb="FF000000"/>
            <rFont val="Tahoma"/>
            <family val="2"/>
          </rPr>
          <t xml:space="preserve">Source: </t>
        </r>
        <r>
          <rPr>
            <sz val="9"/>
            <color rgb="FF000000"/>
            <rFont val="Tahoma"/>
            <family val="2"/>
          </rPr>
          <t>F3Q2020 Press Release, July 28, 2020</t>
        </r>
      </text>
    </comment>
    <comment ref="B264" authorId="0" shapeId="0" xr:uid="{7AE9D924-9E2C-4CDA-8ADE-4B8DABE4047D}">
      <text>
        <r>
          <rPr>
            <b/>
            <sz val="9"/>
            <color rgb="FF000000"/>
            <rFont val="Tahoma"/>
            <family val="2"/>
          </rPr>
          <t>Change sign for payments of debt</t>
        </r>
      </text>
    </comment>
    <comment ref="B277" authorId="0" shapeId="0" xr:uid="{FA95C4A7-0B69-4F13-92E4-DBC34B46CEE3}">
      <text>
        <r>
          <rPr>
            <sz val="9"/>
            <color rgb="FF000000"/>
            <rFont val="Tahoma"/>
            <family val="2"/>
          </rPr>
          <t>Cash Flow from Operations - Capital Expenditures + After tax Interest Expense</t>
        </r>
      </text>
    </comment>
    <comment ref="B293" authorId="0" shapeId="0" xr:uid="{F789C202-E518-4FE7-901E-DBFB65C32F92}">
      <text>
        <r>
          <rPr>
            <b/>
            <sz val="9"/>
            <color rgb="FF000000"/>
            <rFont val="Tahoma"/>
            <family val="2"/>
          </rPr>
          <t xml:space="preserve">Multiple Note 1) </t>
        </r>
        <r>
          <rPr>
            <sz val="9"/>
            <color rgb="FF000000"/>
            <rFont val="Tahoma"/>
            <family val="2"/>
          </rPr>
          <t>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9/27/2020.</t>
        </r>
      </text>
    </comment>
    <comment ref="G294" authorId="2" shapeId="0" xr:uid="{5F18D382-AF5F-FF43-997E-DD6CFF939DA4}">
      <text>
        <r>
          <rPr>
            <b/>
            <sz val="10"/>
            <color rgb="FF000000"/>
            <rFont val="Tahoma"/>
            <family val="2"/>
          </rPr>
          <t>Fadi: Based on Fact set consensus</t>
        </r>
        <r>
          <rPr>
            <sz val="10"/>
            <color rgb="FF000000"/>
            <rFont val="Tahoma"/>
            <family val="2"/>
          </rPr>
          <t xml:space="preserve">
</t>
        </r>
      </text>
    </comment>
    <comment ref="C297" authorId="2" shapeId="0" xr:uid="{7B6AADE8-D24A-6341-BCE4-A4571EEF8AA7}">
      <text>
        <r>
          <rPr>
            <b/>
            <sz val="10"/>
            <color rgb="FF000000"/>
            <rFont val="Tahoma"/>
            <family val="2"/>
          </rPr>
          <t xml:space="preserve">Fadi:I picked it on the higher PE ratio recently
</t>
        </r>
        <r>
          <rPr>
            <sz val="10"/>
            <color rgb="FF000000"/>
            <rFont val="Tahoma"/>
            <family val="2"/>
          </rPr>
          <t xml:space="preserve">
</t>
        </r>
      </text>
    </comment>
    <comment ref="G297" authorId="2" shapeId="0" xr:uid="{B56B689D-287B-C049-BF8E-51E86C575277}">
      <text>
        <r>
          <rPr>
            <b/>
            <sz val="10"/>
            <color rgb="FF000000"/>
            <rFont val="Tahoma"/>
            <family val="2"/>
          </rPr>
          <t>I picked it on the higher end of estimate</t>
        </r>
        <r>
          <rPr>
            <sz val="10"/>
            <color rgb="FF000000"/>
            <rFont val="Tahoma"/>
            <family val="2"/>
          </rPr>
          <t xml:space="preserve">
</t>
        </r>
      </text>
    </comment>
    <comment ref="C298" authorId="0" shapeId="0" xr:uid="{2B8325C0-0615-4636-BE39-057F61701307}">
      <text>
        <r>
          <rPr>
            <b/>
            <sz val="9"/>
            <color rgb="FF000000"/>
            <rFont val="Tahoma"/>
            <family val="2"/>
          </rPr>
          <t xml:space="preserve">Multiple Note 2) </t>
        </r>
        <r>
          <rPr>
            <sz val="9"/>
            <color rgb="FF000000"/>
            <rFont val="Tahoma"/>
            <family val="2"/>
          </rPr>
          <t xml:space="preserve">Multiples in this section are calculated including the value of net cash and are based on the 3-month average daily share price compared to the consensus EPS estimates for the next twelve month period. </t>
        </r>
      </text>
    </comment>
    <comment ref="B301" authorId="0" shapeId="0" xr:uid="{861BD2B8-6B43-4A14-8C17-E5891E2376D0}">
      <text>
        <r>
          <rPr>
            <sz val="9"/>
            <color rgb="FF000000"/>
            <rFont val="Tahoma"/>
            <family val="2"/>
          </rPr>
          <t>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8/22/2020.</t>
        </r>
      </text>
    </comment>
    <comment ref="K302" authorId="2" shapeId="0" xr:uid="{7BE1FDA3-B4DC-3649-A119-0A73D7030BA5}">
      <text>
        <r>
          <rPr>
            <b/>
            <sz val="10"/>
            <color rgb="FF000000"/>
            <rFont val="Tahoma"/>
            <family val="2"/>
          </rPr>
          <t>Fadi:  SBUX currently higher than the industry average and comps (although no perfect comp) 34x compared to 24.5x</t>
        </r>
        <r>
          <rPr>
            <sz val="10"/>
            <color rgb="FF000000"/>
            <rFont val="Tahoma"/>
            <family val="2"/>
          </rPr>
          <t xml:space="preserve">
</t>
        </r>
      </text>
    </comment>
    <comment ref="C303" authorId="0" shapeId="0" xr:uid="{C8595294-E50A-485C-94B7-52DE006F807D}">
      <text>
        <r>
          <rPr>
            <sz val="9"/>
            <color rgb="FF000000"/>
            <rFont val="Tahoma"/>
            <family val="2"/>
          </rPr>
          <t xml:space="preserve">The DCF calculation relies on an estimate of the equity to total capital ratio. Since the share price goes into the calculation of the capital ratio, this will naturally cause a circular reference. To demonstrate assume the current share price is $100 and the DCF is projecting a price of $150. If the DCF target price of $150 came to pass, then equity would make up a larger percentage of the total capital structure and the share price would actually be much lower.
</t>
        </r>
        <r>
          <rPr>
            <sz val="9"/>
            <color rgb="FF000000"/>
            <rFont val="Tahoma"/>
            <family val="2"/>
          </rPr>
          <t xml:space="preserve"> 
</t>
        </r>
        <r>
          <rPr>
            <sz val="9"/>
            <color rgb="FF000000"/>
            <rFont val="Tahoma"/>
            <family val="2"/>
          </rPr>
          <t xml:space="preserve">Consider what would happen if we simply used the current share price in the DCF calculation, and market risk increased from one quarter to the next. As the share price declines, the equity to total capital ratio will also decline. As a result the discount rate will decline, and the share price projected by the DCF would actually increase, despite the heighten level of risk. The reverse effect would occur in a scenario where market risk decreases from one period to the next. From a reasonableness standpoint this simply does not make sense directionally.
</t>
        </r>
        <r>
          <rPr>
            <sz val="9"/>
            <color rgb="FF000000"/>
            <rFont val="Tahoma"/>
            <family val="2"/>
          </rPr>
          <t xml:space="preserve"> 
</t>
        </r>
        <r>
          <rPr>
            <sz val="9"/>
            <color rgb="FF000000"/>
            <rFont val="Tahoma"/>
            <family val="2"/>
          </rPr>
          <t>To solve this issue the target share price must be used in the calculation of debt to equity. You can use trial and error to type in share prices until the price for the market capitalization calculation equals that of the DCF target. Or you can simply input the equation of "Target Share Price" = "Implied DCF 12-month target value" (i.e. "DCF check") and use the Goal Seek function to change "Target Share Price" to equal the final DCF target. This should be the final step in your model, as any changes in the inputs could impact the valuation.</t>
        </r>
      </text>
    </comment>
    <comment ref="O306" authorId="2" shapeId="0" xr:uid="{424FAFA6-8FDE-5A4C-83B8-5FC627E9F260}">
      <text>
        <r>
          <rPr>
            <b/>
            <sz val="10"/>
            <color rgb="FF000000"/>
            <rFont val="Tahoma"/>
            <family val="2"/>
          </rPr>
          <t>Fadi: Based on Fact set consensus</t>
        </r>
        <r>
          <rPr>
            <sz val="10"/>
            <color rgb="FF000000"/>
            <rFont val="Tahoma"/>
            <family val="2"/>
          </rPr>
          <t xml:space="preserve">
</t>
        </r>
      </text>
    </comment>
    <comment ref="C307" authorId="0" shapeId="0" xr:uid="{0954FEB3-54E3-489E-916E-AF60A483989A}">
      <text>
        <r>
          <rPr>
            <sz val="9"/>
            <color rgb="FF000000"/>
            <rFont val="Tahoma"/>
            <family val="2"/>
          </rPr>
          <t>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r>
      </text>
    </comment>
    <comment ref="C308" authorId="0" shapeId="0" xr:uid="{3918E59F-3660-4D64-9BEE-3B0076344CAA}">
      <text>
        <r>
          <rPr>
            <sz val="9"/>
            <color rgb="FF000000"/>
            <rFont val="Tahoma"/>
            <family val="2"/>
          </rPr>
          <t>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 (based on a 12-month forecast, refer to the ERP model for details).</t>
        </r>
      </text>
    </comment>
    <comment ref="B317" authorId="0" shapeId="0" xr:uid="{B0AE71BA-5BB7-4EAC-9D67-E2D4F85389D2}">
      <text>
        <r>
          <rPr>
            <sz val="9"/>
            <color rgb="FF000000"/>
            <rFont val="Tahoma"/>
            <family val="2"/>
          </rPr>
          <t xml:space="preserve">&gt;Assumes constant networking capital in the constant growth stage.
</t>
        </r>
        <r>
          <rPr>
            <sz val="9"/>
            <color rgb="FF000000"/>
            <rFont val="Tahoma"/>
            <family val="2"/>
          </rPr>
          <t xml:space="preserve">&gt;Assumes debt balance and interest expense remains constant in the constant growth stage, and that book value of debt approximates fair value.
</t>
        </r>
      </text>
    </comment>
    <comment ref="C321" authorId="0" shapeId="0" xr:uid="{85BE6D82-676A-467F-B00F-64F4ADCD33F3}">
      <text>
        <r>
          <rPr>
            <sz val="9"/>
            <color rgb="FF000000"/>
            <rFont val="Tahoma"/>
            <family val="2"/>
          </rPr>
          <t xml:space="preserve">The Stage 2 long-term WACC assumes the weight and cost of debt remains constant, and cost of equity reaches the long-term average based on a long-term beta of 0.85
</t>
        </r>
        <r>
          <rPr>
            <sz val="9"/>
            <color rgb="FF000000"/>
            <rFont val="Tahoma"/>
            <family val="2"/>
          </rPr>
          <t xml:space="preserve"> using the historic average VIX of 18.43%, the historic average 10-year U.S. Treasury rate of 6.23%, and Constant Sharpe of 0.312.</t>
        </r>
      </text>
    </comment>
    <comment ref="C323" authorId="3" shapeId="0" xr:uid="{00000000-0006-0000-0200-000053000000}">
      <text>
        <r>
          <rPr>
            <b/>
            <sz val="9"/>
            <color rgb="FF000000"/>
            <rFont val="Tahoma"/>
            <family val="2"/>
          </rPr>
          <t xml:space="preserve">Equation:
</t>
        </r>
        <r>
          <rPr>
            <b/>
            <sz val="9"/>
            <color rgb="FF000000"/>
            <rFont val="Tahoma"/>
            <family val="2"/>
          </rPr>
          <t>CFO:</t>
        </r>
        <r>
          <rPr>
            <sz val="9"/>
            <color rgb="FF000000"/>
            <rFont val="Tahoma"/>
            <family val="2"/>
          </rPr>
          <t xml:space="preserve"> [CFO x (1 + Constant CFO growth rate)] 
</t>
        </r>
        <r>
          <rPr>
            <b/>
            <sz val="9"/>
            <color rgb="FF000000"/>
            <rFont val="Tahoma"/>
            <family val="2"/>
          </rPr>
          <t>Minus Capex:</t>
        </r>
        <r>
          <rPr>
            <sz val="9"/>
            <color rgb="FF000000"/>
            <rFont val="Tahoma"/>
            <family val="2"/>
          </rPr>
          <t xml:space="preserve"> [(Average Capex to sales ratio) x [Sales x (1 + Constant Sales growth rate)]
</t>
        </r>
        <r>
          <rPr>
            <b/>
            <sz val="9"/>
            <color rgb="FF000000"/>
            <rFont val="Tahoma"/>
            <family val="2"/>
          </rPr>
          <t>Plus after-tax cost of debt:</t>
        </r>
        <r>
          <rPr>
            <sz val="9"/>
            <color rgb="FF000000"/>
            <rFont val="Tahoma"/>
            <family val="2"/>
          </rPr>
          <t xml:space="preserve"> [After tax cost of debt x Long-Term debt] </t>
        </r>
      </text>
    </comment>
    <comment ref="C325" authorId="4" shapeId="0" xr:uid="{00000000-0006-0000-0200-000054000000}">
      <text>
        <r>
          <rPr>
            <sz val="9"/>
            <color rgb="FF000000"/>
            <rFont val="Tahoma"/>
            <family val="2"/>
          </rPr>
          <t xml:space="preserve">This adds back cash and removes debt from the enterprise value to arrive at the equity only value
</t>
        </r>
      </text>
    </comment>
    <comment ref="B328" authorId="0" shapeId="0" xr:uid="{0B687D9C-DEAB-40E6-9BE6-315B785F33A7}">
      <text>
        <r>
          <rPr>
            <sz val="9"/>
            <color rgb="FF000000"/>
            <rFont val="Tahoma"/>
            <family val="2"/>
          </rPr>
          <t>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8/22/2020</t>
        </r>
      </text>
    </comment>
  </commentList>
</comments>
</file>

<file path=xl/sharedStrings.xml><?xml version="1.0" encoding="utf-8"?>
<sst xmlns="http://schemas.openxmlformats.org/spreadsheetml/2006/main" count="1133" uniqueCount="395">
  <si>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</si>
  <si>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</si>
  <si>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</si>
  <si>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</si>
  <si>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</si>
  <si>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</si>
  <si>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</si>
  <si>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</si>
  <si>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</si>
  <si>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Total liabilities</t>
  </si>
  <si>
    <t>Total liabilities and equity</t>
  </si>
  <si>
    <t>Cash flows from operating activities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</si>
  <si>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</si>
  <si>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</si>
  <si>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</si>
  <si>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</si>
  <si>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</si>
  <si>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</si>
  <si>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</si>
  <si>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Multiple Valuation</t>
  </si>
  <si>
    <t>Balance Sheet Ratios &amp; Assumptions</t>
  </si>
  <si>
    <t>Receivables turnover</t>
  </si>
  <si>
    <t>Number of days of payables</t>
  </si>
  <si>
    <t>Cash Flow Ratios &amp; Assumptions</t>
  </si>
  <si>
    <t>Operating margin (GAAP)</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</si>
  <si>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</si>
  <si>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</si>
  <si>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</si>
  <si>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</si>
  <si>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</si>
  <si>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</si>
  <si>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</si>
  <si>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</si>
  <si>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</si>
  <si>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P/E used for valuation</t>
  </si>
  <si>
    <t>Provisions for income tax</t>
  </si>
  <si>
    <t>Cash and equivalents</t>
  </si>
  <si>
    <t>Goodwill</t>
  </si>
  <si>
    <t>Accounts payable</t>
  </si>
  <si>
    <t xml:space="preserve">Retained earnings </t>
  </si>
  <si>
    <t>Total shareholders' equity</t>
  </si>
  <si>
    <t>Beta (relative to the S&amp;P500)</t>
  </si>
  <si>
    <t>Revenue growth (in perpetuity)</t>
  </si>
  <si>
    <t>Constant CFO growth rate</t>
  </si>
  <si>
    <t>DCF Valuation</t>
  </si>
  <si>
    <t xml:space="preserve">Basic EPS </t>
  </si>
  <si>
    <t xml:space="preserve">Diluted EPS </t>
  </si>
  <si>
    <t>P/E 3-month high</t>
  </si>
  <si>
    <t>P/E 3-month low</t>
  </si>
  <si>
    <t>DCF Period (approximate number of years)</t>
  </si>
  <si>
    <t xml:space="preserve">Plus cash/(debt) per share </t>
  </si>
  <si>
    <t>Implied P/E 12-month target value</t>
  </si>
  <si>
    <t>Implied DCF 12-month target value</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</si>
  <si>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</si>
  <si>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</si>
  <si>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</si>
  <si>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</si>
  <si>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</si>
  <si>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</si>
  <si>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 xml:space="preserve">Net Cash and investments per share </t>
  </si>
  <si>
    <t>Days sales outstanding</t>
  </si>
  <si>
    <t>Payables turnover</t>
  </si>
  <si>
    <t>Net Cash from Operations growth rate (YoY)</t>
  </si>
  <si>
    <t xml:space="preserve">Standard deviation </t>
  </si>
  <si>
    <t>Implied upper bound</t>
  </si>
  <si>
    <t>Implied Lower bound</t>
  </si>
  <si>
    <t>Implied target value</t>
  </si>
  <si>
    <t>Implied 50/50 average target value</t>
  </si>
  <si>
    <t xml:space="preserve">Implied target price band </t>
  </si>
  <si>
    <t>Total operating income/(loss)</t>
  </si>
  <si>
    <t>Income/(loss) before income tax</t>
  </si>
  <si>
    <t xml:space="preserve">Depreciation and amortization </t>
  </si>
  <si>
    <t>Changes in operating assets and liabilities, net of the effects</t>
  </si>
  <si>
    <t>Depreciation &amp; amortization-to-average P&amp;E</t>
  </si>
  <si>
    <t>Prepaid expenses and other current assets</t>
  </si>
  <si>
    <t>Free Cash Flow to Firm (FCFF)</t>
  </si>
  <si>
    <t>Total Debt</t>
  </si>
  <si>
    <t xml:space="preserve">Adjusted net cash  per share </t>
  </si>
  <si>
    <t>Non-GAAP Adjustments</t>
  </si>
  <si>
    <t>Cash Flow Statement Ratios</t>
  </si>
  <si>
    <t>Capex to revenue</t>
  </si>
  <si>
    <t>Equity</t>
  </si>
  <si>
    <t>Average CapEx (% of sales)</t>
  </si>
  <si>
    <t>Weighted Average Cost of Capital (WACC) Inputs</t>
  </si>
  <si>
    <t>Stage 1 WACC</t>
  </si>
  <si>
    <t>Share-based compensation to revenue</t>
  </si>
  <si>
    <t>NPV of Stage 1 cash flows</t>
  </si>
  <si>
    <t>PV of terminal value (Stage 2)</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</si>
  <si>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</si>
  <si>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</si>
  <si>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Monthly return</t>
  </si>
  <si>
    <t>Diff from mean</t>
  </si>
  <si>
    <t>Diff Squared</t>
  </si>
  <si>
    <t>Mean</t>
  </si>
  <si>
    <t>Sum of squared differences</t>
  </si>
  <si>
    <t>Variance</t>
  </si>
  <si>
    <t>Standard Deviation</t>
  </si>
  <si>
    <t>check</t>
  </si>
  <si>
    <t>Target share price</t>
  </si>
  <si>
    <t>DCF check</t>
  </si>
  <si>
    <t>Estimate of Risk Free (future 10yr UST)</t>
  </si>
  <si>
    <t>Segment Data</t>
  </si>
  <si>
    <t>Reconciliation</t>
  </si>
  <si>
    <t>P/E 3-month average</t>
  </si>
  <si>
    <t>Adjustments</t>
  </si>
  <si>
    <t>Constant market Sharpe ratio</t>
  </si>
  <si>
    <t>S&amp;P500 implied volatility</t>
  </si>
  <si>
    <t>Constant Growth Stage Assumptions</t>
  </si>
  <si>
    <t>Stage 2 Long-Term WACC</t>
  </si>
  <si>
    <t>Risk Estimation Summary</t>
  </si>
  <si>
    <t>Dec-18</t>
  </si>
  <si>
    <t xml:space="preserve">   Net income attributable to common shareholders</t>
  </si>
  <si>
    <t>Accounts receivable</t>
  </si>
  <si>
    <t>Other investing activities</t>
  </si>
  <si>
    <t>Repurchase of common stock</t>
  </si>
  <si>
    <t>Other financing activities</t>
  </si>
  <si>
    <t>Cash and equivalents at end of period (BS)</t>
  </si>
  <si>
    <t>Effect of exchange rate changes &amp; restricted cash</t>
  </si>
  <si>
    <t>Accumulated other comprehensive loss</t>
  </si>
  <si>
    <t>Revenue growth rate (GAAP, YoY)</t>
  </si>
  <si>
    <t>Starbucks Income Statement</t>
  </si>
  <si>
    <t>Starbucks Balance Sheet</t>
  </si>
  <si>
    <t>Starbucks Cash Flow Statement</t>
  </si>
  <si>
    <t>F1Q19</t>
  </si>
  <si>
    <t>Sept-19E</t>
  </si>
  <si>
    <t>Dec-19E</t>
  </si>
  <si>
    <t>Mar-20E</t>
  </si>
  <si>
    <t>June-20E</t>
  </si>
  <si>
    <t>Sept-20E</t>
  </si>
  <si>
    <t>Dec-20E</t>
  </si>
  <si>
    <t>Mar-21E</t>
  </si>
  <si>
    <t>June-21E</t>
  </si>
  <si>
    <t>Sept-21E</t>
  </si>
  <si>
    <t>Dec-21E</t>
  </si>
  <si>
    <t>Mar-22E</t>
  </si>
  <si>
    <t>June-22E</t>
  </si>
  <si>
    <t>Sept-22E</t>
  </si>
  <si>
    <t>Dec-22E</t>
  </si>
  <si>
    <t>Mar-23E</t>
  </si>
  <si>
    <t>June-23E</t>
  </si>
  <si>
    <t>Sept-23E</t>
  </si>
  <si>
    <t>F4Q20E</t>
  </si>
  <si>
    <t>FY 2020E</t>
  </si>
  <si>
    <t>F1Q21E</t>
  </si>
  <si>
    <t>F2Q21E</t>
  </si>
  <si>
    <t>F3Q21E</t>
  </si>
  <si>
    <t>F4Q21E</t>
  </si>
  <si>
    <t>FY 2021E</t>
  </si>
  <si>
    <t>F1Q22E</t>
  </si>
  <si>
    <t>F2Q22E</t>
  </si>
  <si>
    <t>F3Q22E</t>
  </si>
  <si>
    <t>F4Q22E</t>
  </si>
  <si>
    <t>FY 2022E</t>
  </si>
  <si>
    <t>F1Q23E</t>
  </si>
  <si>
    <t>F2Q23E</t>
  </si>
  <si>
    <t>F3Q23E</t>
  </si>
  <si>
    <t>F4Q23E</t>
  </si>
  <si>
    <t>FY 2023E</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</si>
  <si>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</si>
  <si>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</si>
  <si>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</si>
  <si>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</si>
  <si>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</si>
  <si>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</si>
  <si>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</si>
  <si>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</si>
  <si>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</si>
  <si>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</si>
  <si>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Americas (GAAP)</t>
  </si>
  <si>
    <t>Restructuring and impairments</t>
  </si>
  <si>
    <t>Americas company-operated stores</t>
  </si>
  <si>
    <t>Americas licensed stores</t>
  </si>
  <si>
    <t>Comp store sales - Ticket</t>
  </si>
  <si>
    <t>Comp store sales - Transaction</t>
  </si>
  <si>
    <t>Comp store sales - Total</t>
  </si>
  <si>
    <t xml:space="preserve">Net new company operated stores added </t>
  </si>
  <si>
    <t>Estimated stores included in comp sales calculation [step 1]</t>
  </si>
  <si>
    <t>Estimated revenue per store in comp sales calc ($M) [step 4]</t>
  </si>
  <si>
    <t>Comp sale revenue reconciliation [step 5]</t>
  </si>
  <si>
    <t xml:space="preserve">Net new licensed  stores added </t>
  </si>
  <si>
    <t>Revenue per company operated store [step 2]</t>
  </si>
  <si>
    <t>Average revenue per licensed store</t>
  </si>
  <si>
    <t>Average licensed stores in the period</t>
  </si>
  <si>
    <t>Americas Revenue: Other</t>
  </si>
  <si>
    <t>Americas Revenue: licensed stores ($M)</t>
  </si>
  <si>
    <t>Americas Revenue: Company-operated stores ($M)</t>
  </si>
  <si>
    <t>Other revenue YoY growth rate</t>
  </si>
  <si>
    <t>Americas total net revenues ($M)</t>
  </si>
  <si>
    <t>Americas total stores</t>
  </si>
  <si>
    <t>Americas total net store additions</t>
  </si>
  <si>
    <t>Operating expenses exDepreciation($M)</t>
  </si>
  <si>
    <t>Operating expenses exDepreciation (% of revenue)</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</si>
  <si>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</si>
  <si>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</si>
  <si>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</si>
  <si>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</si>
  <si>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</si>
  <si>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</si>
  <si>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</si>
  <si>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Revenue YoY growth rate</t>
  </si>
  <si>
    <t>Company-operated revenue</t>
  </si>
  <si>
    <t>Licensed store revenue</t>
  </si>
  <si>
    <t>Other revenue</t>
  </si>
  <si>
    <t>Operating Income</t>
  </si>
  <si>
    <t>Gain on acquisition of JV/disposition of business</t>
  </si>
  <si>
    <r>
      <t xml:space="preserve">Other company-operated revenue (stores open less than 13 months and FX) </t>
    </r>
    <r>
      <rPr>
        <i/>
        <sz val="11"/>
        <color theme="3"/>
        <rFont val="Calibri"/>
        <family val="2"/>
        <scheme val="minor"/>
      </rPr>
      <t>[step 3]</t>
    </r>
  </si>
  <si>
    <r>
      <t>Other company-operated revenue (stores open less than 13 months and FX)</t>
    </r>
    <r>
      <rPr>
        <i/>
        <sz val="11"/>
        <color theme="3"/>
        <rFont val="Calibri"/>
        <family val="2"/>
        <scheme val="minor"/>
      </rPr>
      <t xml:space="preserve"> [step 3]</t>
    </r>
  </si>
  <si>
    <t>Nestle Transaction (Operating expenses)</t>
  </si>
  <si>
    <t>Restructuring and impairments (Operating expenses)</t>
  </si>
  <si>
    <t>Stock Awards (Operating expenses)</t>
  </si>
  <si>
    <t>Total impact on operating expenses</t>
  </si>
  <si>
    <t>Total impact on operating income</t>
  </si>
  <si>
    <t>Gain/(loss) on acquisitions and divestitures (Net income)</t>
  </si>
  <si>
    <t>Impact of extra week - 4Q2016 (Operating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</si>
  <si>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</si>
  <si>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</si>
  <si>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</si>
  <si>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</si>
  <si>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</si>
  <si>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</si>
  <si>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</si>
  <si>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Short-term investments</t>
  </si>
  <si>
    <t>Accounts receivable, net</t>
  </si>
  <si>
    <t>Inventories</t>
  </si>
  <si>
    <t>Long-term investments</t>
  </si>
  <si>
    <t xml:space="preserve">Property, plant and equipment, net </t>
  </si>
  <si>
    <t>Other intangible assets, net</t>
  </si>
  <si>
    <t>Accrued liabilities</t>
  </si>
  <si>
    <t>Stored value card liability and deferred revenue</t>
  </si>
  <si>
    <t>Long-term debt</t>
  </si>
  <si>
    <t>Other long-term liabilities</t>
  </si>
  <si>
    <t>Common stock and additional paid in capital</t>
  </si>
  <si>
    <t>Noncontrolling interest</t>
  </si>
  <si>
    <t>Net income - including noncontrolling interests</t>
  </si>
  <si>
    <t>Deferred income taxes, net</t>
  </si>
  <si>
    <t>Income earned from equity method investees</t>
  </si>
  <si>
    <t>Distributions received from equity method investees</t>
  </si>
  <si>
    <t>Stock-based compensation expense</t>
  </si>
  <si>
    <t>Deferred revenue</t>
  </si>
  <si>
    <t>Proceeds from issuance of common stock</t>
  </si>
  <si>
    <t>Sale/Maturities/(Purchases) of investments</t>
  </si>
  <si>
    <t>Additions to PP&amp;E</t>
  </si>
  <si>
    <t>Gain resulting from acquisitions/sales</t>
  </si>
  <si>
    <t>Other Noncash Income/(Expense)</t>
  </si>
  <si>
    <t>Other operating assets and liabilities</t>
  </si>
  <si>
    <t>Cash dividends paid</t>
  </si>
  <si>
    <t>Increase/(Decrease) in prepaid expenses, other</t>
  </si>
  <si>
    <t>Operating margin (Non-GAAP)</t>
  </si>
  <si>
    <t>Interest &amp; other income as a % of average  investments and cash</t>
  </si>
  <si>
    <t>Interest expense as a % of average debt balances</t>
  </si>
  <si>
    <t>Deferred income taxes as % of def revenue &amp; stored value liability</t>
  </si>
  <si>
    <t xml:space="preserve">Distributions from equity investments as a % of income </t>
  </si>
  <si>
    <t>Inventory turnover</t>
  </si>
  <si>
    <t>Short-term investments as a % of total investments</t>
  </si>
  <si>
    <t>Total investments as a % of assets</t>
  </si>
  <si>
    <t>Debt to equity ratio</t>
  </si>
  <si>
    <t>Short-term debt to total debt</t>
  </si>
  <si>
    <t>All Other  (Operating expense)</t>
  </si>
  <si>
    <t>Americas total operating expenses</t>
  </si>
  <si>
    <t>Americas total operating income</t>
  </si>
  <si>
    <t>Americas total operating margin (%)</t>
  </si>
  <si>
    <t>Notes &amp; Instructions</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</si>
  <si>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2019. </t>
    </r>
  </si>
  <si>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</si>
  <si>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</si>
  <si>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</si>
  <si>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</si>
  <si>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</si>
  <si>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</si>
  <si>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rPr>
        <b/>
        <sz val="11"/>
        <color theme="1"/>
        <rFont val="Calibri"/>
        <family val="2"/>
        <scheme val="minor"/>
      </rPr>
      <t xml:space="preserve">Equity Section: </t>
    </r>
    <r>
      <rPr>
        <sz val="11"/>
        <color theme="1"/>
        <rFont val="Calibri"/>
        <family val="2"/>
        <scheme val="minor"/>
      </rPr>
      <t>Common stock is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</si>
  <si>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</si>
  <si>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</si>
  <si>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</si>
  <si>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</si>
  <si>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</si>
  <si>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</si>
  <si>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</si>
  <si>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</si>
  <si>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t>Minimum tax withholdings on share-based awards</t>
  </si>
  <si>
    <r>
      <rPr>
        <b/>
        <i/>
        <sz val="11"/>
        <color theme="1"/>
        <rFont val="Calibri"/>
        <family val="2"/>
        <scheme val="minor"/>
      </rPr>
      <t xml:space="preserve">Income Statement: </t>
    </r>
    <r>
      <rPr>
        <sz val="11"/>
        <color theme="1"/>
        <rFont val="Calibri"/>
        <family val="2"/>
        <scheme val="minor"/>
      </rPr>
      <t>The primary drivers of this model are the estimates of Comp Store Sales, Net New Stores, and the ratio of Operating expenses (excluding depreciation) as a percentage of revenue, for each geographic region.  Management's guidance is used as a reasonableness check against the forecasts entered into this model. Total revenue is calibrated to meet consensus estimates.</t>
    </r>
  </si>
  <si>
    <t>Cash &amp; marketable securities (exEquity method investments)</t>
  </si>
  <si>
    <t>F2Q19</t>
  </si>
  <si>
    <t>Mar-19</t>
  </si>
  <si>
    <t>General and administrative expenses (GAAP)</t>
  </si>
  <si>
    <t>June-19</t>
  </si>
  <si>
    <t>F3Q19</t>
  </si>
  <si>
    <t>Dec-23E</t>
  </si>
  <si>
    <t>Mar-24E</t>
  </si>
  <si>
    <t>June-24E</t>
  </si>
  <si>
    <t>Sept-24E</t>
  </si>
  <si>
    <t>F1Q24E</t>
  </si>
  <si>
    <t>F2Q24E</t>
  </si>
  <si>
    <t>F3Q24E</t>
  </si>
  <si>
    <t>F4Q24E</t>
  </si>
  <si>
    <t>FY 2024E</t>
  </si>
  <si>
    <t>F4Q19</t>
  </si>
  <si>
    <t>FY 2019</t>
  </si>
  <si>
    <t>F1Q20</t>
  </si>
  <si>
    <t>F2Q20</t>
  </si>
  <si>
    <t>F3Q20</t>
  </si>
  <si>
    <t>Product and distribution costs</t>
  </si>
  <si>
    <t>Revenue - Company-operated stores</t>
  </si>
  <si>
    <t>Revenue - Licensed stores revenue</t>
  </si>
  <si>
    <t>Revenue - Product, Services, and Other</t>
  </si>
  <si>
    <t>Total revenues</t>
  </si>
  <si>
    <t>Proceeds from issuance of commercial paper</t>
  </si>
  <si>
    <t>Increase/(Decrease) in Income Taxes Payable</t>
  </si>
  <si>
    <t xml:space="preserve">Debt/commercial paper (payments) </t>
  </si>
  <si>
    <t>Debt issuance</t>
  </si>
  <si>
    <t>Other current liabilities</t>
  </si>
  <si>
    <t>Accrued payroll and benefits (current)</t>
  </si>
  <si>
    <t>Income taxes payable (current)</t>
  </si>
  <si>
    <t xml:space="preserve">Current portion of operating lease liability </t>
  </si>
  <si>
    <t>Equity investments</t>
  </si>
  <si>
    <t>Operating lease, right-of-use asset</t>
  </si>
  <si>
    <t>Other long-term assets</t>
  </si>
  <si>
    <t>Current portion of debt</t>
  </si>
  <si>
    <t>Operating lease liability</t>
  </si>
  <si>
    <t>Day Count (number of days in the quarter)</t>
  </si>
  <si>
    <t>Dec-24E</t>
  </si>
  <si>
    <t>Mar-25E</t>
  </si>
  <si>
    <t>June-25E</t>
  </si>
  <si>
    <t>Sept-25E</t>
  </si>
  <si>
    <t>F1Q25E</t>
  </si>
  <si>
    <t>F2Q25E</t>
  </si>
  <si>
    <t>F3Q25E</t>
  </si>
  <si>
    <t>F4Q25E</t>
  </si>
  <si>
    <t>FY 2025E</t>
  </si>
  <si>
    <r>
      <rPr>
        <i/>
        <sz val="11"/>
        <color theme="1"/>
        <rFont val="Calibri"/>
        <family val="2"/>
        <scheme val="minor"/>
      </rPr>
      <t>To reflect the fact that not all of the individual metrics used in the comparable store sales estimate are disclosed by the company, the following steps are used to estimate the historic comparable sales inputs.</t>
    </r>
    <r>
      <rPr>
        <b/>
        <i/>
        <sz val="11"/>
        <color theme="1"/>
        <rFont val="Calibri"/>
        <family val="2"/>
        <scheme val="minor"/>
      </rPr>
      <t xml:space="preserve">
Method for using Comparable Store Sales in this model:</t>
    </r>
    <r>
      <rPr>
        <sz val="11"/>
        <color theme="1"/>
        <rFont val="Calibri"/>
        <family val="2"/>
        <scheme val="minor"/>
      </rPr>
      <t xml:space="preserve">
</t>
    </r>
    <r>
      <rPr>
        <b/>
        <sz val="11"/>
        <color theme="1"/>
        <rFont val="Calibri"/>
        <family val="2"/>
        <scheme val="minor"/>
      </rPr>
      <t xml:space="preserve">Step 1) </t>
    </r>
    <r>
      <rPr>
        <sz val="11"/>
        <color theme="1"/>
        <rFont val="Calibri"/>
        <family val="2"/>
        <scheme val="minor"/>
      </rPr>
      <t xml:space="preserve">Estimate the number of stores included in the comp store sales calculation as the number of stores from four quarters ago.
</t>
    </r>
    <r>
      <rPr>
        <b/>
        <sz val="11"/>
        <color theme="1"/>
        <rFont val="Calibri"/>
        <family val="2"/>
        <scheme val="minor"/>
      </rPr>
      <t>Step 2)</t>
    </r>
    <r>
      <rPr>
        <sz val="11"/>
        <color theme="1"/>
        <rFont val="Calibri"/>
        <family val="2"/>
        <scheme val="minor"/>
      </rPr>
      <t xml:space="preserve"> Calculate the ratio of total revenue to the total number of stores at the end of the period (theoretically should use average number of stores, however this is a simplified approach and given the relatively low level of precision with over all comp stores sales, this approach should be reasonable).
</t>
    </r>
    <r>
      <rPr>
        <b/>
        <sz val="11"/>
        <color theme="1"/>
        <rFont val="Calibri"/>
        <family val="2"/>
        <scheme val="minor"/>
      </rPr>
      <t>Step 3)</t>
    </r>
    <r>
      <rPr>
        <sz val="11"/>
        <color theme="1"/>
        <rFont val="Calibri"/>
        <family val="2"/>
        <scheme val="minor"/>
      </rPr>
      <t xml:space="preserve"> Estimate the "other" revenue which is not included in the Comp Store Sales number related to the stores which have not been open for more than 13 months. The simplified approach to estimating this revenue is to take the total number of stores which were not included in Step 1, and multiply by the simple average revenue per store during the quarter. Note that since the impact of fx changes are excluded from comp store sales, the fx impact is inherently captured in this category for remaining revenue.
</t>
    </r>
    <r>
      <rPr>
        <b/>
        <sz val="11"/>
        <color theme="1"/>
        <rFont val="Calibri"/>
        <family val="2"/>
        <scheme val="minor"/>
      </rPr>
      <t>Step 4)</t>
    </r>
    <r>
      <rPr>
        <sz val="11"/>
        <color theme="1"/>
        <rFont val="Calibri"/>
        <family val="2"/>
        <scheme val="minor"/>
      </rPr>
      <t xml:space="preserve"> Use the "Goal Seek" function to solve for the comparable prior period Comp Store Sales dollar amount which will make the reported total Comp Store Sales percentage equal the total revenue for the segment. This metric will be "trued-up" each quarter as an additional Comp Store Sales percentage observation is made available. 
</t>
    </r>
    <r>
      <rPr>
        <b/>
        <sz val="11"/>
        <color theme="1"/>
        <rFont val="Calibri"/>
        <family val="2"/>
        <scheme val="minor"/>
      </rPr>
      <t xml:space="preserve">Step 5) </t>
    </r>
    <r>
      <rPr>
        <sz val="11"/>
        <color theme="1"/>
        <rFont val="Calibri"/>
        <family val="2"/>
        <scheme val="minor"/>
      </rPr>
      <t xml:space="preserve">Change the comparable period from the previous year "Other" revenue so that the total segment revenue reconciles.
</t>
    </r>
    <r>
      <rPr>
        <b/>
        <sz val="11"/>
        <color theme="1"/>
        <rFont val="Calibri"/>
        <family val="2"/>
        <scheme val="minor"/>
      </rPr>
      <t>Note:</t>
    </r>
    <r>
      <rPr>
        <sz val="11"/>
        <color theme="1"/>
        <rFont val="Calibri"/>
        <family val="2"/>
        <scheme val="minor"/>
      </rPr>
      <t xml:space="preserve"> Since the company does not disclose the number of stores in the Comp Store Sales calculation, or the revenue for the other stores, there is no way to verify if the historic results for the Comp Store Sales components are accurate. Therefore, the components in the historical periods are shaded blue to indicate that these values represent estimates.
</t>
    </r>
    <r>
      <rPr>
        <b/>
        <sz val="11"/>
        <color theme="1"/>
        <rFont val="Calibri"/>
        <family val="2"/>
        <scheme val="minor"/>
      </rPr>
      <t xml:space="preserve">NOTE 1-Comp Store Sales: </t>
    </r>
    <r>
      <rPr>
        <sz val="11"/>
        <color theme="1"/>
        <rFont val="Calibri"/>
        <family val="2"/>
        <scheme val="minor"/>
      </rPr>
      <t>Comp store sales only include Company-operated stores which have been open 13 months or longer. Comparable store sales exclude the effects of fluctuations in foreign currency exchange rates and Siren Retail stores. Stores that are temporarily closed or operating at reduced hours due to the COVID-19 outbreak remain in comparable store sales while stores identified for permanent closure have been removed.</t>
    </r>
  </si>
  <si>
    <r>
      <t xml:space="preserve">Last updated: </t>
    </r>
    <r>
      <rPr>
        <sz val="11"/>
        <color theme="1"/>
        <rFont val="Calibri"/>
        <family val="2"/>
        <scheme val="minor"/>
      </rPr>
      <t>8/9/2020</t>
    </r>
  </si>
  <si>
    <t>International Segment (GAAP)</t>
  </si>
  <si>
    <t>International company-operated stores</t>
  </si>
  <si>
    <t>Int'l Revenue: Company-operated stores ($M)</t>
  </si>
  <si>
    <t>International licensed stores</t>
  </si>
  <si>
    <t>Int'l Revenue: licensed stores ($M)</t>
  </si>
  <si>
    <t>Int'l Revenue: Other</t>
  </si>
  <si>
    <t>Int'l total stores</t>
  </si>
  <si>
    <t>Int'l total net store additions</t>
  </si>
  <si>
    <t>Int'l total net revenues ($M)</t>
  </si>
  <si>
    <t>Int'l Total operating expenses</t>
  </si>
  <si>
    <t>Int'l Total operating income</t>
  </si>
  <si>
    <t>Int'l Total operating margin (%)</t>
  </si>
  <si>
    <t>Channel Development Revenue</t>
  </si>
  <si>
    <t>Net revenues ($M)</t>
  </si>
  <si>
    <t>Net revenue YoY growth rate</t>
  </si>
  <si>
    <t>International transaction and integration related costs</t>
  </si>
  <si>
    <t>Share Count Analysis</t>
  </si>
  <si>
    <t>Sept '18 ASR - Share repurchase assumptions: average price</t>
  </si>
  <si>
    <t>Sept '18 ASR - Share repurchase: amount in the period ($M)</t>
  </si>
  <si>
    <t>Sept '18 ASR -Shares repurchased (in millions)</t>
  </si>
  <si>
    <t>March '19 ASR - Share repurchase assumptions: average price</t>
  </si>
  <si>
    <t>March '19 ASR - Share repurchase: amount in the period ($M)</t>
  </si>
  <si>
    <t>March '19 ASR -Shares repurchased (in millions)</t>
  </si>
  <si>
    <t>Share repurchase assumptions: average price (exASRs)</t>
  </si>
  <si>
    <t>Share repurchase: amount in the period ($M, exASRs)</t>
  </si>
  <si>
    <t>Shares repurchased (in millions, exASRs)</t>
  </si>
  <si>
    <t>Non-GAAP EPS Growth (YoY)</t>
  </si>
  <si>
    <t>Cash Flow From Operations Growth (YoY)</t>
  </si>
  <si>
    <t>Free Cash Flow Growth (YoY)</t>
  </si>
  <si>
    <r>
      <rPr>
        <b/>
        <sz val="11"/>
        <color theme="1"/>
        <rFont val="Calibri"/>
        <family val="2"/>
        <scheme val="minor"/>
      </rPr>
      <t>Last updated:</t>
    </r>
    <r>
      <rPr>
        <sz val="11"/>
        <color theme="1"/>
        <rFont val="Calibri"/>
        <family val="2"/>
        <scheme val="minor"/>
      </rPr>
      <t xml:space="preserve"> 8/22/2020</t>
    </r>
  </si>
  <si>
    <t>Price</t>
  </si>
  <si>
    <t>% Change</t>
  </si>
  <si>
    <t>Orange cells = Consensus estimates (updated 8/22/2020)</t>
  </si>
  <si>
    <t>Purple cells = Company guidance (updated 7/28/2020)</t>
  </si>
  <si>
    <t>FY2021 PE Estimate</t>
  </si>
  <si>
    <t>P based  on PE</t>
  </si>
  <si>
    <t>Shares B</t>
  </si>
  <si>
    <t>Est Eq Value $B</t>
  </si>
  <si>
    <t>Debt $B</t>
  </si>
  <si>
    <t>Cash/Invest $B</t>
  </si>
  <si>
    <t>NET DEBT $B</t>
  </si>
  <si>
    <t>EV</t>
  </si>
  <si>
    <t>P/E E12</t>
  </si>
  <si>
    <t>P/E EFY2021</t>
  </si>
  <si>
    <t>Consensus FY2021 EPS Range</t>
  </si>
  <si>
    <t>Average</t>
  </si>
  <si>
    <t>High</t>
  </si>
  <si>
    <t>Low</t>
  </si>
  <si>
    <t xml:space="preserve">Implied PT </t>
  </si>
  <si>
    <t>at Average PE</t>
  </si>
  <si>
    <t>at High PE</t>
  </si>
  <si>
    <t>at Low PE</t>
  </si>
  <si>
    <t>Average EPS</t>
  </si>
  <si>
    <t>High EPS</t>
  </si>
  <si>
    <t>Low EPS</t>
  </si>
  <si>
    <t xml:space="preserve"> value of mean monthly return</t>
  </si>
  <si>
    <t>Mean monthly return</t>
  </si>
  <si>
    <t>32x</t>
  </si>
  <si>
    <t>34.0x</t>
  </si>
  <si>
    <t>29.0x</t>
  </si>
  <si>
    <t>EBITTDA</t>
  </si>
  <si>
    <t>EV/EBITDA  Calculation FY2021</t>
  </si>
  <si>
    <t>EBITDA</t>
  </si>
  <si>
    <t>EV/EBITDA</t>
  </si>
  <si>
    <t>Blue cells = Contributor estimates (updated 10/23/2020)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</si>
</sst>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3">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
    <numFmt numFmtId="226" formatCode="0.0\x"/>
    <numFmt numFmtId="227" formatCode="0.00000"/>
    <numFmt numFmtId="228" formatCode="_(* #,##0.0000_);_(* \(#,##0.0000\);_(* &quot;-&quot;??_);_(@_)"/>
    <numFmt numFmtId="229" formatCode="0.000%"/>
    <numFmt numFmtId="230" formatCode="_(&quot;$&quot;* #,##0_);_(&quot;$&quot;* \(#,##0\);_(&quot;$&quot;* &quot;-&quot;??_);_(@_)"/>
  </numFmts>
  <fonts count="9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i/>
      <sz val="11"/>
      <color theme="1"/>
      <name val="Calibri"/>
      <family val="2"/>
      <scheme val="minor"/>
    </font>
    <font>
      <i/>
      <sz val="8"/>
      <name val="Calibri"/>
      <family val="2"/>
      <scheme val="minor"/>
    </font>
    <font>
      <sz val="8"/>
      <name val="Calibri"/>
      <family val="2"/>
      <scheme val="minor"/>
    </font>
    <font>
      <u val="singleAccounting"/>
      <sz val="11"/>
      <color rgb="FFFF0000"/>
      <name val="Calibri"/>
      <family val="2"/>
      <scheme val="minor"/>
    </font>
    <font>
      <u/>
      <sz val="11"/>
      <name val="Calibri"/>
      <family val="2"/>
      <scheme val="minor"/>
    </font>
    <font>
      <i/>
      <sz val="11"/>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sz val="9"/>
      <color rgb="FF000000"/>
      <name val="Tahoma"/>
      <family val="2"/>
    </font>
    <font>
      <b/>
      <sz val="9"/>
      <color rgb="FF000000"/>
      <name val="Tahoma"/>
      <family val="2"/>
    </font>
    <font>
      <u/>
      <sz val="9"/>
      <color rgb="FF000000"/>
      <name val="Tahoma"/>
      <family val="2"/>
    </font>
    <font>
      <sz val="10"/>
      <color rgb="FF000000"/>
      <name val="Tahoma"/>
      <family val="2"/>
    </font>
    <font>
      <b/>
      <sz val="10"/>
      <color rgb="FF000000"/>
      <name val="Tahoma"/>
      <family val="2"/>
    </font>
    <font>
      <i/>
      <sz val="11"/>
      <color rgb="FFFF0000"/>
      <name val="Calibri"/>
      <family val="2"/>
      <scheme val="minor"/>
    </font>
    <font>
      <sz val="11"/>
      <color theme="1"/>
      <name val="Calibri (Body)_x0000_"/>
    </font>
    <font>
      <b/>
      <sz val="11"/>
      <color theme="1"/>
      <name val="Calibri (Body)_x0000_"/>
    </font>
  </fonts>
  <fills count="16">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FF00"/>
        <bgColor rgb="FF000000"/>
      </patternFill>
    </fill>
    <fill>
      <patternFill patternType="solid">
        <fgColor theme="4"/>
        <bgColor indexed="64"/>
      </patternFill>
    </fill>
  </fills>
  <borders count="4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44" fontId="1" fillId="0" borderId="0" applyFont="0" applyFill="0" applyBorder="0" applyAlignment="0" applyProtection="0"/>
  </cellStyleXfs>
  <cellXfs count="592">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9" fontId="4" fillId="0" borderId="0" xfId="2" applyFont="1" applyAlignment="1">
      <alignment horizontal="right"/>
    </xf>
    <xf numFmtId="165" fontId="4" fillId="0" borderId="5" xfId="1" applyNumberFormat="1" applyFont="1" applyBorder="1" applyAlignment="1">
      <alignment horizontal="right"/>
    </xf>
    <xf numFmtId="164" fontId="56" fillId="0" borderId="0" xfId="1" quotePrefix="1" applyNumberFormat="1" applyFont="1" applyAlignment="1">
      <alignment horizontal="right"/>
    </xf>
    <xf numFmtId="164" fontId="56" fillId="0" borderId="5" xfId="1" quotePrefix="1" applyNumberFormat="1" applyFont="1" applyBorder="1" applyAlignment="1">
      <alignment horizontal="right"/>
    </xf>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4" fontId="55" fillId="0" borderId="0" xfId="1" quotePrefix="1" applyNumberFormat="1" applyFont="1" applyAlignment="1">
      <alignment horizontal="right"/>
    </xf>
    <xf numFmtId="43" fontId="55" fillId="0" borderId="0" xfId="1" quotePrefix="1" applyFont="1" applyAlignment="1">
      <alignment horizontal="right"/>
    </xf>
    <xf numFmtId="165" fontId="4" fillId="0" borderId="31" xfId="1" applyNumberFormat="1" applyFont="1" applyBorder="1" applyAlignment="1">
      <alignment horizontal="right"/>
    </xf>
    <xf numFmtId="165" fontId="4" fillId="0" borderId="32" xfId="1" applyNumberFormat="1" applyFont="1" applyBorder="1" applyAlignment="1">
      <alignment horizontal="right"/>
    </xf>
    <xf numFmtId="164" fontId="4" fillId="0" borderId="5" xfId="1" quotePrefix="1" applyNumberFormat="1" applyFont="1" applyBorder="1" applyAlignment="1">
      <alignment horizontal="right"/>
    </xf>
    <xf numFmtId="164" fontId="4" fillId="0" borderId="0" xfId="1" applyNumberFormat="1" applyFont="1" applyAlignment="1">
      <alignment horizontal="left"/>
    </xf>
    <xf numFmtId="165" fontId="4" fillId="0" borderId="2" xfId="1" applyNumberFormat="1" applyFont="1" applyBorder="1" applyAlignment="1">
      <alignment horizontal="right"/>
    </xf>
    <xf numFmtId="164" fontId="56" fillId="0" borderId="2" xfId="1" quotePrefix="1" applyNumberFormat="1" applyFont="1" applyBorder="1" applyAlignment="1">
      <alignment horizontal="right"/>
    </xf>
    <xf numFmtId="9" fontId="55" fillId="0" borderId="2" xfId="2" quotePrefix="1" applyFont="1" applyBorder="1" applyAlignment="1">
      <alignment horizontal="right"/>
    </xf>
    <xf numFmtId="164" fontId="4" fillId="0" borderId="4" xfId="1" applyNumberFormat="1" applyFont="1" applyBorder="1" applyAlignment="1">
      <alignment horizontal="right"/>
    </xf>
    <xf numFmtId="0" fontId="4" fillId="0" borderId="0" xfId="0" applyFont="1" applyAlignment="1">
      <alignment vertical="top" wrapText="1"/>
    </xf>
    <xf numFmtId="164" fontId="54" fillId="3" borderId="0" xfId="1" quotePrefix="1" applyNumberFormat="1" applyFont="1" applyFill="1" applyAlignment="1">
      <alignment horizontal="right"/>
    </xf>
    <xf numFmtId="164" fontId="58" fillId="2" borderId="2" xfId="1" quotePrefix="1" applyNumberFormat="1" applyFont="1" applyFill="1" applyBorder="1" applyAlignment="1">
      <alignment horizontal="right"/>
    </xf>
    <xf numFmtId="164" fontId="59"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2" fillId="0" borderId="0" xfId="1" applyNumberFormat="1" applyFont="1" applyAlignment="1">
      <alignment horizontal="right"/>
    </xf>
    <xf numFmtId="165" fontId="62" fillId="0" borderId="5" xfId="1" applyNumberFormat="1" applyFont="1" applyBorder="1" applyAlignment="1">
      <alignment horizontal="right"/>
    </xf>
    <xf numFmtId="0" fontId="4"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2" fillId="0" borderId="0" xfId="0" applyFont="1"/>
    <xf numFmtId="43" fontId="63" fillId="0" borderId="0" xfId="1" applyFont="1" applyAlignment="1">
      <alignment horizontal="right"/>
    </xf>
    <xf numFmtId="43" fontId="63" fillId="0" borderId="5" xfId="1" applyFont="1" applyBorder="1" applyAlignment="1">
      <alignment horizontal="right"/>
    </xf>
    <xf numFmtId="43" fontId="62" fillId="0" borderId="0" xfId="1" applyFont="1" applyAlignment="1">
      <alignment horizontal="right"/>
    </xf>
    <xf numFmtId="0" fontId="62" fillId="0" borderId="3" xfId="0" applyFont="1" applyBorder="1" applyAlignment="1">
      <alignment horizontal="left" indent="1"/>
    </xf>
    <xf numFmtId="0" fontId="62" fillId="11" borderId="4" xfId="0" applyFont="1" applyFill="1" applyBorder="1" applyAlignment="1">
      <alignment horizontal="left"/>
    </xf>
    <xf numFmtId="165" fontId="62" fillId="0" borderId="0" xfId="1" quotePrefix="1" applyNumberFormat="1" applyFont="1" applyAlignment="1">
      <alignment horizontal="right"/>
    </xf>
    <xf numFmtId="165" fontId="63" fillId="0" borderId="7" xfId="1" applyNumberFormat="1" applyFont="1" applyBorder="1" applyAlignment="1">
      <alignment horizontal="right"/>
    </xf>
    <xf numFmtId="166" fontId="62" fillId="0" borderId="0" xfId="2" quotePrefix="1" applyNumberFormat="1" applyFont="1" applyAlignment="1">
      <alignment horizontal="right"/>
    </xf>
    <xf numFmtId="165" fontId="62" fillId="0" borderId="5" xfId="1" quotePrefix="1" applyNumberFormat="1" applyFont="1" applyBorder="1" applyAlignment="1">
      <alignment horizontal="right"/>
    </xf>
    <xf numFmtId="166" fontId="62" fillId="9" borderId="0" xfId="2" quotePrefix="1" applyNumberFormat="1" applyFont="1" applyFill="1" applyAlignment="1">
      <alignment horizontal="right"/>
    </xf>
    <xf numFmtId="0" fontId="62" fillId="11" borderId="3" xfId="0" applyFont="1" applyFill="1" applyBorder="1" applyAlignment="1">
      <alignment horizontal="left"/>
    </xf>
    <xf numFmtId="9" fontId="62" fillId="0" borderId="0" xfId="2" quotePrefix="1" applyFont="1" applyAlignment="1">
      <alignment horizontal="right"/>
    </xf>
    <xf numFmtId="165" fontId="66" fillId="0" borderId="0" xfId="2" applyNumberFormat="1" applyFont="1" applyAlignment="1">
      <alignment horizontal="right"/>
    </xf>
    <xf numFmtId="166" fontId="62" fillId="0" borderId="0" xfId="2" applyNumberFormat="1" applyFont="1" applyAlignment="1">
      <alignment horizontal="right"/>
    </xf>
    <xf numFmtId="9" fontId="62" fillId="0" borderId="5" xfId="2" applyFont="1" applyBorder="1" applyAlignment="1">
      <alignment horizontal="right"/>
    </xf>
    <xf numFmtId="166" fontId="62" fillId="0" borderId="5" xfId="2" applyNumberFormat="1" applyFont="1" applyBorder="1" applyAlignment="1">
      <alignment horizontal="right"/>
    </xf>
    <xf numFmtId="9" fontId="62" fillId="0" borderId="0" xfId="2" applyFont="1" applyAlignment="1">
      <alignment horizontal="right"/>
    </xf>
    <xf numFmtId="0" fontId="62" fillId="0" borderId="3" xfId="0" applyFont="1" applyBorder="1"/>
    <xf numFmtId="164" fontId="62" fillId="0" borderId="0" xfId="1" quotePrefix="1" applyNumberFormat="1" applyFont="1" applyAlignment="1">
      <alignment horizontal="right"/>
    </xf>
    <xf numFmtId="164" fontId="62" fillId="0" borderId="5" xfId="1" quotePrefix="1" applyNumberFormat="1" applyFont="1" applyBorder="1" applyAlignment="1">
      <alignment horizontal="right"/>
    </xf>
    <xf numFmtId="164" fontId="62" fillId="9" borderId="0" xfId="1" quotePrefix="1" applyNumberFormat="1" applyFont="1" applyFill="1" applyAlignment="1">
      <alignment horizontal="right"/>
    </xf>
    <xf numFmtId="165" fontId="64" fillId="9" borderId="0" xfId="1" applyNumberFormat="1" applyFont="1" applyFill="1" applyAlignment="1">
      <alignment horizontal="right"/>
    </xf>
    <xf numFmtId="9" fontId="62" fillId="0" borderId="5" xfId="2" quotePrefix="1" applyFont="1" applyBorder="1" applyAlignment="1">
      <alignment horizontal="right"/>
    </xf>
    <xf numFmtId="165" fontId="62" fillId="9" borderId="0" xfId="1" applyNumberFormat="1" applyFont="1" applyFill="1" applyAlignment="1">
      <alignment horizontal="right"/>
    </xf>
    <xf numFmtId="9" fontId="62" fillId="9" borderId="0" xfId="2" applyFont="1" applyFill="1" applyAlignment="1">
      <alignment horizontal="right"/>
    </xf>
    <xf numFmtId="166" fontId="62" fillId="9" borderId="0" xfId="2" applyNumberFormat="1" applyFont="1" applyFill="1" applyAlignment="1">
      <alignment horizontal="right"/>
    </xf>
    <xf numFmtId="165" fontId="55" fillId="0" borderId="9" xfId="1" applyNumberFormat="1" applyFont="1" applyBorder="1" applyAlignment="1">
      <alignment horizontal="right"/>
    </xf>
    <xf numFmtId="0" fontId="65" fillId="0" borderId="25" xfId="0" applyFont="1" applyBorder="1" applyAlignment="1">
      <alignment horizontal="left"/>
    </xf>
    <xf numFmtId="7" fontId="62" fillId="0" borderId="0" xfId="1" applyNumberFormat="1" applyFont="1" applyAlignment="1">
      <alignment horizontal="right"/>
    </xf>
    <xf numFmtId="7" fontId="4" fillId="0" borderId="5" xfId="1" applyNumberFormat="1" applyFont="1" applyBorder="1" applyAlignment="1">
      <alignment horizontal="right"/>
    </xf>
    <xf numFmtId="7" fontId="62" fillId="9" borderId="0" xfId="1" applyNumberFormat="1" applyFont="1" applyFill="1" applyAlignment="1">
      <alignment horizontal="right"/>
    </xf>
    <xf numFmtId="9" fontId="62" fillId="9" borderId="4" xfId="2" applyFont="1" applyFill="1" applyBorder="1" applyAlignment="1">
      <alignment horizontal="right"/>
    </xf>
    <xf numFmtId="43" fontId="62" fillId="0" borderId="7" xfId="1" applyFont="1" applyBorder="1" applyAlignment="1">
      <alignment horizontal="right"/>
    </xf>
    <xf numFmtId="43" fontId="62" fillId="0" borderId="8" xfId="1" applyFont="1" applyBorder="1" applyAlignment="1">
      <alignment horizontal="right"/>
    </xf>
    <xf numFmtId="165" fontId="62" fillId="0" borderId="8" xfId="1" applyNumberFormat="1" applyFont="1" applyBorder="1" applyAlignment="1">
      <alignment horizontal="right"/>
    </xf>
    <xf numFmtId="0" fontId="4" fillId="0" borderId="4" xfId="0" applyFont="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3" fillId="0" borderId="3" xfId="0" applyFont="1" applyBorder="1" applyAlignment="1">
      <alignment horizontal="left" indent="1"/>
    </xf>
    <xf numFmtId="0" fontId="63" fillId="0" borderId="4" xfId="0" applyFont="1" applyBorder="1" applyAlignment="1">
      <alignment horizontal="left" indent="1"/>
    </xf>
    <xf numFmtId="0" fontId="61" fillId="2" borderId="3" xfId="0" applyFont="1" applyFill="1" applyBorder="1" applyAlignment="1">
      <alignment horizontal="left"/>
    </xf>
    <xf numFmtId="0" fontId="65" fillId="11" borderId="4" xfId="0" applyFont="1" applyFill="1" applyBorder="1" applyAlignment="1">
      <alignment horizontal="left"/>
    </xf>
    <xf numFmtId="0" fontId="62" fillId="0" borderId="25" xfId="0" applyFont="1" applyBorder="1" applyAlignment="1">
      <alignment horizontal="left"/>
    </xf>
    <xf numFmtId="0" fontId="62" fillId="0" borderId="26" xfId="0" applyFont="1" applyBorder="1" applyAlignment="1">
      <alignment horizontal="left"/>
    </xf>
    <xf numFmtId="0" fontId="63" fillId="0" borderId="3" xfId="0" applyFont="1" applyBorder="1" applyAlignment="1">
      <alignment horizontal="left"/>
    </xf>
    <xf numFmtId="0" fontId="63" fillId="0" borderId="4" xfId="0" applyFont="1" applyBorder="1" applyAlignment="1">
      <alignment horizontal="left"/>
    </xf>
    <xf numFmtId="0" fontId="62" fillId="0" borderId="3" xfId="0" applyFont="1" applyBorder="1" applyAlignment="1">
      <alignment horizontal="left" indent="2"/>
    </xf>
    <xf numFmtId="0" fontId="62" fillId="0" borderId="6" xfId="0" applyFont="1" applyBorder="1" applyAlignment="1">
      <alignment horizontal="left"/>
    </xf>
    <xf numFmtId="166" fontId="62" fillId="0" borderId="5" xfId="2" quotePrefix="1" applyNumberFormat="1" applyFont="1" applyBorder="1" applyAlignment="1">
      <alignment horizontal="right"/>
    </xf>
    <xf numFmtId="165" fontId="63" fillId="11" borderId="0" xfId="1" applyNumberFormat="1" applyFont="1" applyFill="1" applyAlignment="1">
      <alignment horizontal="right"/>
    </xf>
    <xf numFmtId="165" fontId="62" fillId="11" borderId="0" xfId="1" applyNumberFormat="1" applyFont="1" applyFill="1" applyAlignment="1">
      <alignment horizontal="right"/>
    </xf>
    <xf numFmtId="165" fontId="62" fillId="11" borderId="5" xfId="1" applyNumberFormat="1" applyFont="1" applyFill="1" applyBorder="1" applyAlignment="1">
      <alignment horizontal="right"/>
    </xf>
    <xf numFmtId="165" fontId="62" fillId="11" borderId="30" xfId="1" applyNumberFormat="1" applyFont="1" applyFill="1" applyBorder="1" applyAlignment="1">
      <alignment horizontal="right"/>
    </xf>
    <xf numFmtId="165" fontId="62" fillId="11" borderId="29" xfId="1" applyNumberFormat="1" applyFont="1" applyFill="1" applyBorder="1" applyAlignment="1">
      <alignment horizontal="right"/>
    </xf>
    <xf numFmtId="164" fontId="58" fillId="2" borderId="33" xfId="1" quotePrefix="1" applyNumberFormat="1" applyFont="1" applyFill="1" applyBorder="1" applyAlignment="1">
      <alignment horizontal="right"/>
    </xf>
    <xf numFmtId="164" fontId="59" fillId="2" borderId="5" xfId="1" quotePrefix="1" applyNumberFormat="1" applyFont="1" applyFill="1" applyBorder="1" applyAlignment="1">
      <alignment horizontal="right"/>
    </xf>
    <xf numFmtId="9" fontId="62" fillId="0" borderId="8" xfId="2" quotePrefix="1" applyFont="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0" fontId="61" fillId="2" borderId="4" xfId="0" applyFont="1" applyFill="1" applyBorder="1" applyAlignment="1">
      <alignment horizontal="left"/>
    </xf>
    <xf numFmtId="0" fontId="69" fillId="0" borderId="3" xfId="0" applyFont="1" applyBorder="1"/>
    <xf numFmtId="0" fontId="67" fillId="0" borderId="3" xfId="0" applyFont="1" applyBorder="1"/>
    <xf numFmtId="165" fontId="68" fillId="0" borderId="13" xfId="1" applyNumberFormat="1" applyFont="1" applyBorder="1" applyAlignment="1">
      <alignment horizontal="right"/>
    </xf>
    <xf numFmtId="166" fontId="62" fillId="0" borderId="4" xfId="2" applyNumberFormat="1" applyFont="1" applyBorder="1" applyAlignment="1">
      <alignment horizontal="right"/>
    </xf>
    <xf numFmtId="166" fontId="63" fillId="0" borderId="13" xfId="2" applyNumberFormat="1" applyFont="1" applyBorder="1" applyAlignment="1">
      <alignment horizontal="right"/>
    </xf>
    <xf numFmtId="0" fontId="68" fillId="0" borderId="12" xfId="0" applyFont="1" applyBorder="1" applyAlignment="1">
      <alignment horizontal="left" indent="1"/>
    </xf>
    <xf numFmtId="0" fontId="68" fillId="0" borderId="3" xfId="0" applyFont="1" applyBorder="1" applyAlignment="1">
      <alignment horizontal="left" indent="1"/>
    </xf>
    <xf numFmtId="0" fontId="63" fillId="0" borderId="12" xfId="0" applyFont="1" applyBorder="1" applyAlignment="1">
      <alignment horizontal="left" indent="1"/>
    </xf>
    <xf numFmtId="166" fontId="68" fillId="0" borderId="13" xfId="2" applyNumberFormat="1" applyFont="1" applyBorder="1" applyAlignment="1">
      <alignment horizontal="right"/>
    </xf>
    <xf numFmtId="0" fontId="65" fillId="0" borderId="3" xfId="0" applyFont="1" applyBorder="1"/>
    <xf numFmtId="166" fontId="62" fillId="0" borderId="8" xfId="2" quotePrefix="1" applyNumberFormat="1" applyFont="1" applyBorder="1" applyAlignment="1">
      <alignment horizontal="right"/>
    </xf>
    <xf numFmtId="166" fontId="4" fillId="0" borderId="0" xfId="2" applyNumberFormat="1" applyFont="1" applyAlignment="1">
      <alignment horizontal="right"/>
    </xf>
    <xf numFmtId="5" fontId="65" fillId="0" borderId="4" xfId="1" applyNumberFormat="1" applyFont="1" applyBorder="1" applyAlignment="1">
      <alignment horizontal="right"/>
    </xf>
    <xf numFmtId="165" fontId="62" fillId="0" borderId="4" xfId="1" applyNumberFormat="1" applyFont="1" applyBorder="1" applyAlignment="1">
      <alignment horizontal="right"/>
    </xf>
    <xf numFmtId="167" fontId="62" fillId="0" borderId="0" xfId="1" applyNumberFormat="1" applyFont="1" applyAlignment="1">
      <alignment horizontal="right"/>
    </xf>
    <xf numFmtId="166" fontId="62" fillId="0" borderId="0" xfId="1" applyNumberFormat="1" applyFont="1" applyAlignment="1">
      <alignment horizontal="right"/>
    </xf>
    <xf numFmtId="5" fontId="63" fillId="0" borderId="4" xfId="1" applyNumberFormat="1" applyFont="1" applyBorder="1" applyAlignment="1">
      <alignment horizontal="right"/>
    </xf>
    <xf numFmtId="5" fontId="63" fillId="0" borderId="24" xfId="1" applyNumberFormat="1" applyFont="1" applyBorder="1" applyAlignment="1">
      <alignment horizontal="right"/>
    </xf>
    <xf numFmtId="0" fontId="63" fillId="0" borderId="1" xfId="0" applyFont="1" applyBorder="1" applyAlignment="1">
      <alignment horizontal="left"/>
    </xf>
    <xf numFmtId="5" fontId="63" fillId="0" borderId="11" xfId="1" applyNumberFormat="1" applyFont="1" applyBorder="1" applyAlignment="1">
      <alignment horizontal="right"/>
    </xf>
    <xf numFmtId="0" fontId="62" fillId="0" borderId="1" xfId="0" applyFont="1" applyBorder="1"/>
    <xf numFmtId="5" fontId="62" fillId="0" borderId="4" xfId="1" applyNumberFormat="1" applyFont="1" applyBorder="1" applyAlignment="1">
      <alignment horizontal="right"/>
    </xf>
    <xf numFmtId="10" fontId="62" fillId="9" borderId="4" xfId="2" applyNumberFormat="1" applyFont="1" applyFill="1" applyBorder="1" applyAlignment="1">
      <alignment horizontal="right"/>
    </xf>
    <xf numFmtId="165" fontId="62" fillId="0" borderId="0" xfId="1" applyNumberFormat="1" applyFont="1" applyAlignment="1">
      <alignment horizontal="left"/>
    </xf>
    <xf numFmtId="43" fontId="62" fillId="0" borderId="0" xfId="1" applyFont="1" applyAlignment="1">
      <alignment horizontal="left"/>
    </xf>
    <xf numFmtId="0" fontId="2" fillId="0" borderId="0" xfId="0" applyFont="1"/>
    <xf numFmtId="164" fontId="6" fillId="2" borderId="34" xfId="1" quotePrefix="1" applyNumberFormat="1" applyFont="1" applyFill="1" applyBorder="1" applyAlignment="1">
      <alignment horizontal="center" vertical="center" wrapText="1"/>
    </xf>
    <xf numFmtId="0" fontId="0" fillId="0" borderId="40" xfId="0" applyBorder="1"/>
    <xf numFmtId="0" fontId="0" fillId="0" borderId="41" xfId="0" applyBorder="1"/>
    <xf numFmtId="0" fontId="0" fillId="0" borderId="38" xfId="0" applyBorder="1"/>
    <xf numFmtId="10" fontId="0" fillId="0" borderId="0" xfId="2" applyNumberFormat="1" applyFont="1"/>
    <xf numFmtId="10" fontId="0" fillId="0" borderId="0" xfId="0" applyNumberFormat="1"/>
    <xf numFmtId="10" fontId="0" fillId="0" borderId="38" xfId="0" applyNumberFormat="1" applyBorder="1"/>
    <xf numFmtId="0" fontId="0" fillId="0" borderId="36" xfId="0" applyBorder="1"/>
    <xf numFmtId="0" fontId="2" fillId="0" borderId="0" xfId="0" applyFont="1" applyAlignment="1">
      <alignment horizontal="right"/>
    </xf>
    <xf numFmtId="0" fontId="2" fillId="0" borderId="41" xfId="0" applyFont="1" applyBorder="1"/>
    <xf numFmtId="0" fontId="0" fillId="12" borderId="0" xfId="0" applyFill="1"/>
    <xf numFmtId="0" fontId="2" fillId="12" borderId="0" xfId="0" applyFont="1" applyFill="1" applyAlignment="1">
      <alignment horizontal="right"/>
    </xf>
    <xf numFmtId="10" fontId="2" fillId="12" borderId="41" xfId="2" applyNumberFormat="1" applyFont="1" applyFill="1" applyBorder="1"/>
    <xf numFmtId="10" fontId="71" fillId="0" borderId="41" xfId="1" applyNumberFormat="1" applyFont="1" applyBorder="1"/>
    <xf numFmtId="0" fontId="71" fillId="0" borderId="0" xfId="0" applyFont="1" applyAlignment="1">
      <alignment horizontal="right"/>
    </xf>
    <xf numFmtId="227" fontId="0" fillId="0" borderId="41" xfId="0" applyNumberFormat="1" applyBorder="1"/>
    <xf numFmtId="227" fontId="0" fillId="0" borderId="39" xfId="0" applyNumberFormat="1" applyBorder="1"/>
    <xf numFmtId="0" fontId="72" fillId="0" borderId="0" xfId="0" applyFont="1" applyAlignment="1">
      <alignment horizontal="right"/>
    </xf>
    <xf numFmtId="166" fontId="62" fillId="0" borderId="0" xfId="2" applyNumberFormat="1" applyFont="1" applyAlignment="1">
      <alignment horizontal="left"/>
    </xf>
    <xf numFmtId="9" fontId="62" fillId="0" borderId="0" xfId="1" applyNumberFormat="1" applyFont="1" applyAlignment="1">
      <alignment horizontal="left"/>
    </xf>
    <xf numFmtId="227" fontId="2" fillId="0" borderId="41" xfId="0" applyNumberFormat="1" applyFont="1" applyBorder="1"/>
    <xf numFmtId="0" fontId="0" fillId="0" borderId="37" xfId="0" applyBorder="1"/>
    <xf numFmtId="0" fontId="2" fillId="0" borderId="38" xfId="0" applyFont="1" applyBorder="1" applyAlignment="1">
      <alignment horizontal="right"/>
    </xf>
    <xf numFmtId="0" fontId="62" fillId="0" borderId="10" xfId="0" applyFont="1" applyBorder="1" applyAlignment="1">
      <alignment horizontal="left"/>
    </xf>
    <xf numFmtId="0" fontId="63" fillId="0" borderId="6" xfId="0" applyFont="1" applyBorder="1"/>
    <xf numFmtId="43" fontId="64" fillId="0" borderId="4" xfId="1" quotePrefix="1" applyFont="1" applyBorder="1" applyAlignment="1">
      <alignment horizontal="right"/>
    </xf>
    <xf numFmtId="5" fontId="63" fillId="0" borderId="10" xfId="1" applyNumberFormat="1" applyFont="1" applyBorder="1" applyAlignment="1">
      <alignment horizontal="right"/>
    </xf>
    <xf numFmtId="0" fontId="62" fillId="0" borderId="6" xfId="0" applyFont="1" applyBorder="1"/>
    <xf numFmtId="6" fontId="62" fillId="0" borderId="10" xfId="0" applyNumberFormat="1" applyFont="1" applyBorder="1"/>
    <xf numFmtId="0" fontId="62" fillId="0" borderId="4" xfId="0" applyFont="1" applyBorder="1"/>
    <xf numFmtId="165" fontId="74" fillId="0" borderId="5" xfId="1" quotePrefix="1" applyNumberFormat="1" applyFont="1" applyBorder="1" applyAlignment="1">
      <alignment horizontal="right"/>
    </xf>
    <xf numFmtId="43" fontId="63" fillId="0" borderId="8" xfId="1" applyFont="1" applyBorder="1" applyAlignment="1">
      <alignment horizontal="right"/>
    </xf>
    <xf numFmtId="0" fontId="62" fillId="0" borderId="12" xfId="0" applyFont="1" applyBorder="1"/>
    <xf numFmtId="0" fontId="62" fillId="0" borderId="13" xfId="0" applyFont="1" applyBorder="1"/>
    <xf numFmtId="0" fontId="62" fillId="11" borderId="0" xfId="0" applyFont="1" applyFill="1" applyAlignment="1">
      <alignment horizontal="left"/>
    </xf>
    <xf numFmtId="166" fontId="62" fillId="9" borderId="7" xfId="2" applyNumberFormat="1" applyFont="1" applyFill="1" applyBorder="1" applyAlignment="1">
      <alignment horizontal="right"/>
    </xf>
    <xf numFmtId="166" fontId="62" fillId="9" borderId="7" xfId="2" quotePrefix="1" applyNumberFormat="1" applyFont="1" applyFill="1" applyBorder="1" applyAlignment="1">
      <alignment horizontal="right"/>
    </xf>
    <xf numFmtId="9" fontId="4" fillId="0" borderId="0" xfId="1" applyNumberFormat="1" applyFont="1"/>
    <xf numFmtId="9" fontId="62" fillId="9" borderId="0" xfId="2" quotePrefix="1" applyFont="1" applyFill="1" applyAlignment="1">
      <alignment horizontal="right"/>
    </xf>
    <xf numFmtId="225" fontId="63" fillId="0" borderId="10" xfId="1" applyNumberFormat="1" applyFont="1" applyBorder="1" applyAlignment="1">
      <alignment horizontal="right"/>
    </xf>
    <xf numFmtId="5" fontId="67" fillId="0" borderId="4" xfId="1" applyNumberFormat="1" applyFont="1" applyBorder="1" applyAlignment="1">
      <alignment horizontal="right"/>
    </xf>
    <xf numFmtId="165" fontId="70" fillId="0" borderId="4" xfId="1" applyNumberFormat="1" applyFont="1" applyBorder="1" applyAlignment="1">
      <alignment horizontal="right"/>
    </xf>
    <xf numFmtId="43" fontId="64" fillId="0" borderId="4" xfId="1" applyFont="1" applyBorder="1" applyAlignment="1">
      <alignment horizontal="right"/>
    </xf>
    <xf numFmtId="165" fontId="0" fillId="0" borderId="35" xfId="1" applyNumberFormat="1" applyFont="1" applyBorder="1"/>
    <xf numFmtId="10" fontId="0" fillId="0" borderId="35" xfId="2" applyNumberFormat="1" applyFont="1" applyBorder="1"/>
    <xf numFmtId="10" fontId="0" fillId="0" borderId="35" xfId="0" applyNumberFormat="1" applyBorder="1"/>
    <xf numFmtId="10" fontId="0" fillId="0" borderId="38" xfId="2" applyNumberFormat="1" applyFont="1" applyBorder="1"/>
    <xf numFmtId="166" fontId="62" fillId="9" borderId="4" xfId="2" applyNumberFormat="1" applyFont="1" applyFill="1" applyBorder="1" applyAlignment="1">
      <alignment horizontal="right"/>
    </xf>
    <xf numFmtId="165" fontId="73" fillId="0" borderId="0" xfId="1" applyNumberFormat="1" applyFont="1" applyAlignment="1">
      <alignment horizontal="right"/>
    </xf>
    <xf numFmtId="0" fontId="62" fillId="0" borderId="3" xfId="3" applyFont="1" applyBorder="1" applyAlignment="1">
      <alignment horizontal="left" vertical="top"/>
    </xf>
    <xf numFmtId="0" fontId="62" fillId="0" borderId="4" xfId="3" applyFont="1" applyBorder="1" applyAlignment="1">
      <alignment horizontal="left" vertical="top"/>
    </xf>
    <xf numFmtId="17" fontId="62" fillId="0" borderId="0" xfId="1" applyNumberFormat="1" applyFont="1" applyAlignment="1">
      <alignment horizontal="right" wrapText="1"/>
    </xf>
    <xf numFmtId="0" fontId="62" fillId="0" borderId="4" xfId="0" applyFont="1" applyBorder="1" applyAlignment="1">
      <alignment horizontal="left" indent="1"/>
    </xf>
    <xf numFmtId="0" fontId="62" fillId="0" borderId="3" xfId="0" applyFont="1" applyBorder="1" applyAlignment="1">
      <alignment horizontal="left" indent="3"/>
    </xf>
    <xf numFmtId="0" fontId="63" fillId="0" borderId="3" xfId="0" applyFont="1" applyBorder="1" applyAlignment="1">
      <alignment horizontal="left" indent="4"/>
    </xf>
    <xf numFmtId="0" fontId="62" fillId="0" borderId="3" xfId="0" applyFont="1" applyBorder="1" applyAlignment="1">
      <alignment horizontal="left" indent="5"/>
    </xf>
    <xf numFmtId="164" fontId="62" fillId="0" borderId="0" xfId="1" applyNumberFormat="1" applyFont="1" applyAlignment="1">
      <alignment horizontal="right"/>
    </xf>
    <xf numFmtId="164" fontId="62" fillId="0" borderId="5" xfId="1" applyNumberFormat="1" applyFont="1" applyBorder="1" applyAlignment="1">
      <alignment horizontal="right"/>
    </xf>
    <xf numFmtId="164" fontId="63" fillId="0" borderId="0" xfId="1" applyNumberFormat="1" applyFont="1" applyAlignment="1">
      <alignment horizontal="right"/>
    </xf>
    <xf numFmtId="164" fontId="63" fillId="0" borderId="5" xfId="1" applyNumberFormat="1" applyFont="1" applyBorder="1" applyAlignment="1">
      <alignment horizontal="right"/>
    </xf>
    <xf numFmtId="164" fontId="64" fillId="0" borderId="0" xfId="1" applyNumberFormat="1" applyFont="1" applyAlignment="1">
      <alignment horizontal="right"/>
    </xf>
    <xf numFmtId="164" fontId="64" fillId="0" borderId="5" xfId="1" applyNumberFormat="1" applyFont="1" applyBorder="1" applyAlignment="1">
      <alignment horizontal="right"/>
    </xf>
    <xf numFmtId="164" fontId="54" fillId="0" borderId="0" xfId="1" applyNumberFormat="1" applyFont="1" applyAlignment="1">
      <alignment horizontal="right"/>
    </xf>
    <xf numFmtId="164" fontId="54" fillId="0" borderId="5" xfId="1" applyNumberFormat="1" applyFont="1" applyBorder="1" applyAlignment="1">
      <alignment horizontal="right"/>
    </xf>
    <xf numFmtId="164" fontId="64" fillId="9" borderId="0" xfId="1" applyNumberFormat="1" applyFont="1" applyFill="1" applyAlignment="1">
      <alignment horizontal="right"/>
    </xf>
    <xf numFmtId="165" fontId="55" fillId="0" borderId="5" xfId="1" quotePrefix="1" applyNumberFormat="1" applyFont="1" applyBorder="1" applyAlignment="1">
      <alignment horizontal="right"/>
    </xf>
    <xf numFmtId="165" fontId="4" fillId="0" borderId="29" xfId="1" quotePrefix="1" applyNumberFormat="1" applyFont="1" applyBorder="1" applyAlignment="1">
      <alignment horizontal="right"/>
    </xf>
    <xf numFmtId="9" fontId="75" fillId="0" borderId="0" xfId="2" applyFont="1" applyAlignment="1">
      <alignment horizontal="right"/>
    </xf>
    <xf numFmtId="9" fontId="75" fillId="0" borderId="5" xfId="2" applyFont="1" applyBorder="1" applyAlignment="1">
      <alignment horizontal="right"/>
    </xf>
    <xf numFmtId="9" fontId="63" fillId="0" borderId="5" xfId="2" applyFont="1" applyBorder="1" applyAlignment="1">
      <alignment horizontal="right"/>
    </xf>
    <xf numFmtId="164" fontId="55" fillId="0" borderId="5" xfId="1" quotePrefix="1" applyNumberFormat="1" applyFont="1" applyBorder="1" applyAlignment="1">
      <alignment horizontal="right"/>
    </xf>
    <xf numFmtId="9" fontId="63" fillId="9" borderId="0" xfId="2" applyFont="1" applyFill="1" applyAlignment="1">
      <alignment horizontal="right"/>
    </xf>
    <xf numFmtId="167" fontId="62" fillId="9" borderId="0" xfId="1" applyNumberFormat="1" applyFont="1" applyFill="1" applyAlignment="1">
      <alignment horizontal="right"/>
    </xf>
    <xf numFmtId="0" fontId="76" fillId="0" borderId="0" xfId="0" applyFont="1"/>
    <xf numFmtId="0" fontId="76" fillId="0" borderId="3" xfId="0" applyFont="1" applyBorder="1" applyAlignment="1">
      <alignment horizontal="left"/>
    </xf>
    <xf numFmtId="0" fontId="76" fillId="0" borderId="4" xfId="0" applyFont="1" applyBorder="1" applyAlignment="1">
      <alignment horizontal="left"/>
    </xf>
    <xf numFmtId="165" fontId="76" fillId="0" borderId="0" xfId="1" applyNumberFormat="1" applyFont="1" applyAlignment="1">
      <alignment horizontal="right"/>
    </xf>
    <xf numFmtId="165" fontId="76" fillId="9" borderId="0" xfId="1" applyNumberFormat="1" applyFont="1" applyFill="1" applyAlignment="1">
      <alignment horizontal="right"/>
    </xf>
    <xf numFmtId="165" fontId="76" fillId="0" borderId="5" xfId="1" quotePrefix="1" applyNumberFormat="1" applyFont="1" applyBorder="1" applyAlignment="1">
      <alignment horizontal="right"/>
    </xf>
    <xf numFmtId="167" fontId="76" fillId="9" borderId="0" xfId="1" applyNumberFormat="1" applyFont="1" applyFill="1" applyAlignment="1">
      <alignment horizontal="right"/>
    </xf>
    <xf numFmtId="0" fontId="76" fillId="0" borderId="3" xfId="0" applyFont="1" applyBorder="1" applyAlignment="1">
      <alignment horizontal="left" indent="2"/>
    </xf>
    <xf numFmtId="0" fontId="76" fillId="0" borderId="4" xfId="0" applyFont="1" applyBorder="1" applyAlignment="1">
      <alignment horizontal="left" indent="1"/>
    </xf>
    <xf numFmtId="164" fontId="76" fillId="0" borderId="0" xfId="1" applyNumberFormat="1" applyFont="1" applyAlignment="1">
      <alignment horizontal="right"/>
    </xf>
    <xf numFmtId="164" fontId="76" fillId="0" borderId="5" xfId="1" quotePrefix="1" applyNumberFormat="1" applyFont="1" applyBorder="1" applyAlignment="1">
      <alignment horizontal="right"/>
    </xf>
    <xf numFmtId="167" fontId="76" fillId="0" borderId="0" xfId="1" applyNumberFormat="1" applyFont="1" applyAlignment="1">
      <alignment horizontal="right"/>
    </xf>
    <xf numFmtId="165" fontId="63" fillId="0" borderId="31" xfId="1" applyNumberFormat="1" applyFont="1" applyBorder="1" applyAlignment="1">
      <alignment horizontal="right"/>
    </xf>
    <xf numFmtId="165" fontId="55" fillId="0" borderId="32" xfId="1" quotePrefix="1" applyNumberFormat="1" applyFont="1" applyBorder="1" applyAlignment="1">
      <alignment horizontal="right"/>
    </xf>
    <xf numFmtId="0" fontId="62" fillId="0" borderId="12" xfId="0" applyFont="1" applyBorder="1" applyAlignment="1">
      <alignment horizontal="left" indent="2"/>
    </xf>
    <xf numFmtId="0" fontId="62" fillId="0" borderId="13" xfId="0" applyFont="1" applyBorder="1" applyAlignment="1">
      <alignment horizontal="left" indent="1"/>
    </xf>
    <xf numFmtId="9" fontId="62" fillId="9" borderId="30" xfId="2" applyFont="1" applyFill="1" applyBorder="1" applyAlignment="1">
      <alignment horizontal="right"/>
    </xf>
    <xf numFmtId="164" fontId="63" fillId="0" borderId="30" xfId="1" applyNumberFormat="1" applyFont="1" applyBorder="1" applyAlignment="1">
      <alignment horizontal="right"/>
    </xf>
    <xf numFmtId="164" fontId="55" fillId="0" borderId="29" xfId="1" quotePrefix="1" applyNumberFormat="1" applyFont="1" applyBorder="1" applyAlignment="1">
      <alignment horizontal="right"/>
    </xf>
    <xf numFmtId="164" fontId="63" fillId="0" borderId="29" xfId="1" quotePrefix="1" applyNumberFormat="1" applyFont="1" applyBorder="1" applyAlignment="1">
      <alignment horizontal="right"/>
    </xf>
    <xf numFmtId="164" fontId="62" fillId="0" borderId="0" xfId="2" applyNumberFormat="1" applyFont="1" applyAlignment="1">
      <alignment horizontal="right"/>
    </xf>
    <xf numFmtId="164" fontId="64" fillId="0" borderId="0" xfId="2" applyNumberFormat="1" applyFont="1" applyAlignment="1">
      <alignment horizontal="right"/>
    </xf>
    <xf numFmtId="164" fontId="63" fillId="0" borderId="0" xfId="2" applyNumberFormat="1" applyFont="1" applyAlignment="1">
      <alignment horizontal="right"/>
    </xf>
    <xf numFmtId="166" fontId="63" fillId="0" borderId="0" xfId="2" applyNumberFormat="1" applyFont="1" applyAlignment="1">
      <alignment horizontal="right"/>
    </xf>
    <xf numFmtId="43" fontId="76" fillId="0" borderId="0" xfId="1" applyFont="1"/>
    <xf numFmtId="43" fontId="76" fillId="0" borderId="4" xfId="1" applyFont="1" applyBorder="1"/>
    <xf numFmtId="43" fontId="76" fillId="0" borderId="5" xfId="1" quotePrefix="1" applyFont="1" applyBorder="1" applyAlignment="1">
      <alignment horizontal="right"/>
    </xf>
    <xf numFmtId="43" fontId="76" fillId="0" borderId="3" xfId="1" applyFont="1" applyBorder="1" applyAlignment="1">
      <alignment horizontal="left" indent="4"/>
    </xf>
    <xf numFmtId="166" fontId="76" fillId="0" borderId="0" xfId="2" applyNumberFormat="1" applyFont="1" applyAlignment="1">
      <alignment horizontal="right"/>
    </xf>
    <xf numFmtId="166" fontId="76" fillId="9" borderId="0" xfId="2" applyNumberFormat="1" applyFont="1" applyFill="1" applyAlignment="1">
      <alignment horizontal="right"/>
    </xf>
    <xf numFmtId="164" fontId="62" fillId="0" borderId="32" xfId="1" applyNumberFormat="1" applyFont="1" applyBorder="1" applyAlignment="1">
      <alignment horizontal="right"/>
    </xf>
    <xf numFmtId="164" fontId="64" fillId="0" borderId="5" xfId="2" applyNumberFormat="1" applyFont="1" applyBorder="1" applyAlignment="1">
      <alignment horizontal="right"/>
    </xf>
    <xf numFmtId="0" fontId="78" fillId="0" borderId="0" xfId="0" applyFont="1"/>
    <xf numFmtId="0" fontId="79" fillId="0" borderId="4" xfId="0" applyFont="1" applyBorder="1" applyAlignment="1">
      <alignment horizontal="left"/>
    </xf>
    <xf numFmtId="0" fontId="77" fillId="0" borderId="13" xfId="0" applyFont="1" applyBorder="1"/>
    <xf numFmtId="164" fontId="77" fillId="0" borderId="30" xfId="1" applyNumberFormat="1" applyFont="1" applyBorder="1" applyAlignment="1">
      <alignment horizontal="right"/>
    </xf>
    <xf numFmtId="164" fontId="77" fillId="0" borderId="29" xfId="1" applyNumberFormat="1" applyFont="1" applyBorder="1" applyAlignment="1">
      <alignment horizontal="right"/>
    </xf>
    <xf numFmtId="43" fontId="77" fillId="0" borderId="44" xfId="1" applyFont="1" applyBorder="1" applyAlignment="1">
      <alignment horizontal="right"/>
    </xf>
    <xf numFmtId="43" fontId="77" fillId="0" borderId="42" xfId="1" applyFont="1" applyBorder="1" applyAlignment="1">
      <alignment horizontal="right"/>
    </xf>
    <xf numFmtId="43" fontId="62" fillId="9" borderId="7" xfId="1" applyFont="1" applyFill="1" applyBorder="1" applyAlignment="1">
      <alignment horizontal="right"/>
    </xf>
    <xf numFmtId="9" fontId="66" fillId="0" borderId="0" xfId="2" applyFont="1" applyAlignment="1">
      <alignment horizontal="right"/>
    </xf>
    <xf numFmtId="0" fontId="77" fillId="0" borderId="26" xfId="0" applyFont="1" applyBorder="1" applyAlignment="1">
      <alignment horizontal="left"/>
    </xf>
    <xf numFmtId="0" fontId="77" fillId="0" borderId="12" xfId="0" applyFont="1" applyBorder="1" applyAlignment="1">
      <alignment horizontal="left" indent="2"/>
    </xf>
    <xf numFmtId="0" fontId="77" fillId="0" borderId="13" xfId="0" applyFont="1" applyBorder="1" applyAlignment="1">
      <alignment horizontal="left"/>
    </xf>
    <xf numFmtId="0" fontId="76" fillId="0" borderId="25" xfId="0" applyFont="1" applyBorder="1" applyAlignment="1">
      <alignment horizontal="left" indent="1"/>
    </xf>
    <xf numFmtId="0" fontId="76" fillId="0" borderId="26" xfId="0" applyFont="1" applyBorder="1"/>
    <xf numFmtId="164" fontId="80" fillId="0" borderId="31" xfId="1" applyNumberFormat="1" applyFont="1" applyBorder="1" applyAlignment="1">
      <alignment horizontal="right"/>
    </xf>
    <xf numFmtId="164" fontId="80" fillId="0" borderId="32" xfId="1" applyNumberFormat="1" applyFont="1" applyBorder="1" applyAlignment="1">
      <alignment horizontal="right"/>
    </xf>
    <xf numFmtId="164" fontId="81" fillId="0" borderId="31" xfId="1" applyNumberFormat="1" applyFont="1" applyBorder="1" applyAlignment="1">
      <alignment horizontal="right"/>
    </xf>
    <xf numFmtId="164" fontId="81" fillId="0" borderId="32" xfId="1" applyNumberFormat="1" applyFont="1" applyBorder="1" applyAlignment="1">
      <alignment horizontal="right"/>
    </xf>
    <xf numFmtId="0" fontId="77" fillId="0" borderId="43" xfId="0" applyFont="1" applyBorder="1" applyAlignment="1">
      <alignment horizontal="left" indent="2"/>
    </xf>
    <xf numFmtId="0" fontId="62" fillId="11" borderId="4" xfId="0" applyFont="1" applyFill="1" applyBorder="1" applyAlignment="1">
      <alignment horizontal="left" indent="1"/>
    </xf>
    <xf numFmtId="9" fontId="62" fillId="0" borderId="7" xfId="2" applyFont="1" applyBorder="1" applyAlignment="1">
      <alignment horizontal="right"/>
    </xf>
    <xf numFmtId="9" fontId="62" fillId="9" borderId="7" xfId="2" applyFont="1" applyFill="1" applyBorder="1" applyAlignment="1">
      <alignment horizontal="right"/>
    </xf>
    <xf numFmtId="164" fontId="62" fillId="9" borderId="0" xfId="1" applyNumberFormat="1" applyFont="1" applyFill="1" applyAlignment="1">
      <alignment horizontal="right"/>
    </xf>
    <xf numFmtId="164" fontId="62" fillId="0" borderId="31" xfId="1" applyNumberFormat="1" applyFont="1" applyBorder="1" applyAlignment="1">
      <alignment horizontal="right"/>
    </xf>
    <xf numFmtId="43" fontId="62" fillId="0" borderId="5" xfId="1" quotePrefix="1" applyFont="1" applyBorder="1" applyAlignment="1">
      <alignment horizontal="right"/>
    </xf>
    <xf numFmtId="166" fontId="62" fillId="0" borderId="7" xfId="2" quotePrefix="1" applyNumberFormat="1" applyFont="1" applyBorder="1" applyAlignment="1">
      <alignment horizontal="right"/>
    </xf>
    <xf numFmtId="166" fontId="4" fillId="0" borderId="8" xfId="2" quotePrefix="1" applyNumberFormat="1" applyFont="1" applyBorder="1" applyAlignment="1">
      <alignment horizontal="right"/>
    </xf>
    <xf numFmtId="10" fontId="4" fillId="0" borderId="0" xfId="2" applyNumberFormat="1" applyFont="1" applyAlignment="1">
      <alignment horizontal="right"/>
    </xf>
    <xf numFmtId="0" fontId="4" fillId="0" borderId="10" xfId="0" applyFont="1" applyBorder="1" applyAlignment="1">
      <alignment horizontal="left"/>
    </xf>
    <xf numFmtId="43" fontId="55" fillId="0" borderId="0" xfId="0" applyNumberFormat="1" applyFont="1" applyAlignment="1">
      <alignment horizontal="left"/>
    </xf>
    <xf numFmtId="164" fontId="63" fillId="0" borderId="5" xfId="1" quotePrefix="1" applyNumberFormat="1" applyFont="1" applyBorder="1" applyAlignment="1">
      <alignment horizontal="right"/>
    </xf>
    <xf numFmtId="166" fontId="63" fillId="0" borderId="5" xfId="2" quotePrefix="1" applyNumberFormat="1" applyFont="1" applyBorder="1" applyAlignment="1">
      <alignment horizontal="right"/>
    </xf>
    <xf numFmtId="165" fontId="64" fillId="11" borderId="5" xfId="1" applyNumberFormat="1" applyFont="1" applyFill="1" applyBorder="1" applyAlignment="1">
      <alignment horizontal="right"/>
    </xf>
    <xf numFmtId="165" fontId="63" fillId="11" borderId="5" xfId="1" applyNumberFormat="1" applyFont="1" applyFill="1" applyBorder="1" applyAlignment="1">
      <alignment horizontal="right"/>
    </xf>
    <xf numFmtId="165" fontId="54" fillId="3" borderId="0" xfId="1" quotePrefix="1" applyNumberFormat="1" applyFont="1" applyFill="1" applyAlignment="1">
      <alignment horizontal="right"/>
    </xf>
    <xf numFmtId="165" fontId="54" fillId="3" borderId="5" xfId="1" quotePrefix="1" applyNumberFormat="1" applyFont="1" applyFill="1" applyBorder="1" applyAlignment="1">
      <alignment horizontal="right"/>
    </xf>
    <xf numFmtId="165" fontId="63" fillId="0" borderId="8" xfId="1" applyNumberFormat="1" applyFont="1" applyBorder="1" applyAlignment="1">
      <alignment horizontal="right"/>
    </xf>
    <xf numFmtId="165" fontId="4" fillId="11" borderId="31" xfId="1" applyNumberFormat="1" applyFont="1" applyFill="1" applyBorder="1" applyAlignment="1">
      <alignment horizontal="right"/>
    </xf>
    <xf numFmtId="165" fontId="62" fillId="11" borderId="32" xfId="1" applyNumberFormat="1" applyFont="1" applyFill="1" applyBorder="1" applyAlignment="1">
      <alignment horizontal="right"/>
    </xf>
    <xf numFmtId="165" fontId="64" fillId="11" borderId="0" xfId="1" applyNumberFormat="1" applyFont="1" applyFill="1" applyAlignment="1">
      <alignment horizontal="right"/>
    </xf>
    <xf numFmtId="165" fontId="62" fillId="0" borderId="32" xfId="1" applyNumberFormat="1" applyFont="1" applyBorder="1" applyAlignment="1">
      <alignment horizontal="right"/>
    </xf>
    <xf numFmtId="165" fontId="62" fillId="9" borderId="31" xfId="1" applyNumberFormat="1" applyFont="1" applyFill="1" applyBorder="1" applyAlignment="1">
      <alignment horizontal="right"/>
    </xf>
    <xf numFmtId="165" fontId="62" fillId="11" borderId="31" xfId="1" applyNumberFormat="1" applyFont="1" applyFill="1" applyBorder="1" applyAlignment="1">
      <alignment horizontal="right"/>
    </xf>
    <xf numFmtId="165" fontId="63" fillId="11" borderId="32" xfId="1" applyNumberFormat="1" applyFont="1" applyFill="1" applyBorder="1" applyAlignment="1">
      <alignment horizontal="right"/>
    </xf>
    <xf numFmtId="0" fontId="82" fillId="0" borderId="33" xfId="0" applyFont="1" applyBorder="1" applyAlignment="1">
      <alignment vertical="top"/>
    </xf>
    <xf numFmtId="0" fontId="0" fillId="0" borderId="5" xfId="0" applyBorder="1" applyAlignment="1">
      <alignment horizontal="left" vertical="top" wrapText="1"/>
    </xf>
    <xf numFmtId="0" fontId="0" fillId="0" borderId="42" xfId="0" applyBorder="1" applyAlignment="1">
      <alignment horizontal="left" vertical="top" wrapText="1"/>
    </xf>
    <xf numFmtId="0" fontId="2" fillId="0" borderId="5" xfId="0" applyFont="1" applyBorder="1" applyAlignment="1">
      <alignment horizontal="left" vertical="top" wrapText="1"/>
    </xf>
    <xf numFmtId="0" fontId="0" fillId="0" borderId="32"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xf>
    <xf numFmtId="0" fontId="83" fillId="0" borderId="42" xfId="0" applyFont="1" applyBorder="1" applyAlignment="1">
      <alignment horizontal="left" vertical="top" wrapText="1"/>
    </xf>
    <xf numFmtId="0" fontId="83" fillId="0" borderId="32" xfId="0" applyFont="1" applyBorder="1" applyAlignment="1">
      <alignment horizontal="left" vertical="top" wrapText="1"/>
    </xf>
    <xf numFmtId="0" fontId="2" fillId="0" borderId="42" xfId="0" applyFont="1" applyBorder="1" applyAlignment="1">
      <alignment horizontal="left" vertical="top" wrapText="1"/>
    </xf>
    <xf numFmtId="0" fontId="0" fillId="0" borderId="29" xfId="0" applyBorder="1" applyAlignment="1">
      <alignment horizontal="left" vertical="top" wrapText="1"/>
    </xf>
    <xf numFmtId="0" fontId="62" fillId="0" borderId="4" xfId="0" applyFont="1" applyBorder="1" applyAlignment="1">
      <alignment horizontal="left"/>
    </xf>
    <xf numFmtId="0" fontId="62" fillId="0" borderId="10" xfId="0" applyFont="1" applyBorder="1" applyAlignment="1">
      <alignment horizontal="left"/>
    </xf>
    <xf numFmtId="0" fontId="85" fillId="0" borderId="0" xfId="0" applyFont="1"/>
    <xf numFmtId="0" fontId="4" fillId="0" borderId="0" xfId="0" applyFont="1" applyFill="1"/>
    <xf numFmtId="0" fontId="77" fillId="0" borderId="45" xfId="0" applyFont="1" applyBorder="1" applyAlignment="1">
      <alignment horizontal="left" indent="1"/>
    </xf>
    <xf numFmtId="165" fontId="62" fillId="0" borderId="0" xfId="1" applyNumberFormat="1" applyFont="1" applyFill="1" applyAlignment="1">
      <alignment horizontal="right"/>
    </xf>
    <xf numFmtId="165" fontId="62" fillId="0" borderId="5" xfId="1" applyNumberFormat="1" applyFont="1" applyFill="1" applyBorder="1" applyAlignment="1">
      <alignment horizontal="right"/>
    </xf>
    <xf numFmtId="43" fontId="62" fillId="0" borderId="0" xfId="1" applyNumberFormat="1" applyFont="1" applyFill="1" applyAlignment="1">
      <alignment horizontal="right"/>
    </xf>
    <xf numFmtId="164" fontId="63" fillId="0" borderId="0" xfId="1" applyNumberFormat="1" applyFont="1" applyFill="1" applyAlignment="1">
      <alignment horizontal="right"/>
    </xf>
    <xf numFmtId="164" fontId="64" fillId="0" borderId="0" xfId="1" applyNumberFormat="1" applyFont="1" applyFill="1" applyAlignment="1">
      <alignment horizontal="right"/>
    </xf>
    <xf numFmtId="164" fontId="62" fillId="0" borderId="0" xfId="1" applyNumberFormat="1" applyFont="1" applyFill="1" applyAlignment="1">
      <alignment horizontal="right"/>
    </xf>
    <xf numFmtId="164" fontId="54" fillId="0" borderId="0" xfId="1" applyNumberFormat="1" applyFont="1" applyFill="1" applyAlignment="1">
      <alignment horizontal="right"/>
    </xf>
    <xf numFmtId="164" fontId="80" fillId="0" borderId="31" xfId="1" applyNumberFormat="1" applyFont="1" applyFill="1" applyBorder="1" applyAlignment="1">
      <alignment horizontal="right"/>
    </xf>
    <xf numFmtId="164" fontId="77" fillId="0" borderId="30" xfId="1" applyNumberFormat="1" applyFont="1" applyFill="1" applyBorder="1" applyAlignment="1">
      <alignment horizontal="right"/>
    </xf>
    <xf numFmtId="164" fontId="81" fillId="0" borderId="31" xfId="1" applyNumberFormat="1" applyFont="1" applyFill="1" applyBorder="1" applyAlignment="1">
      <alignment horizontal="right"/>
    </xf>
    <xf numFmtId="43" fontId="63" fillId="0" borderId="0" xfId="1" applyFont="1" applyFill="1" applyAlignment="1">
      <alignment horizontal="right"/>
    </xf>
    <xf numFmtId="43" fontId="77" fillId="0" borderId="44" xfId="1" applyFont="1" applyFill="1" applyBorder="1" applyAlignment="1">
      <alignment horizontal="right"/>
    </xf>
    <xf numFmtId="43" fontId="62" fillId="0" borderId="7" xfId="1" applyFont="1" applyFill="1" applyBorder="1" applyAlignment="1">
      <alignment horizontal="right"/>
    </xf>
    <xf numFmtId="0" fontId="55" fillId="0" borderId="0" xfId="0" applyFont="1" applyFill="1"/>
    <xf numFmtId="43" fontId="76" fillId="0" borderId="0" xfId="1" applyFont="1" applyFill="1"/>
    <xf numFmtId="165" fontId="64" fillId="0" borderId="0" xfId="1" applyNumberFormat="1" applyFont="1" applyFill="1" applyAlignment="1">
      <alignment horizontal="right"/>
    </xf>
    <xf numFmtId="7" fontId="62" fillId="0" borderId="0" xfId="1" applyNumberFormat="1" applyFont="1" applyFill="1" applyAlignment="1">
      <alignment horizontal="right"/>
    </xf>
    <xf numFmtId="0" fontId="76" fillId="0" borderId="0" xfId="0" applyFont="1" applyFill="1"/>
    <xf numFmtId="164" fontId="62" fillId="0" borderId="5" xfId="1" applyNumberFormat="1" applyFont="1" applyFill="1" applyBorder="1" applyAlignment="1">
      <alignment horizontal="right"/>
    </xf>
    <xf numFmtId="164" fontId="63" fillId="0" borderId="5" xfId="1" applyNumberFormat="1" applyFont="1" applyFill="1" applyBorder="1" applyAlignment="1">
      <alignment horizontal="right"/>
    </xf>
    <xf numFmtId="164" fontId="76" fillId="0" borderId="0" xfId="1" applyNumberFormat="1" applyFont="1" applyFill="1" applyAlignment="1">
      <alignment horizontal="right"/>
    </xf>
    <xf numFmtId="165" fontId="62" fillId="0" borderId="0" xfId="1" quotePrefix="1" applyNumberFormat="1" applyFont="1" applyFill="1" applyAlignment="1">
      <alignment horizontal="right"/>
    </xf>
    <xf numFmtId="166" fontId="62" fillId="0" borderId="0" xfId="2" applyNumberFormat="1" applyFont="1" applyFill="1" applyAlignment="1">
      <alignment horizontal="right"/>
    </xf>
    <xf numFmtId="167" fontId="62" fillId="0" borderId="0" xfId="1" applyNumberFormat="1" applyFont="1" applyFill="1" applyAlignment="1">
      <alignment horizontal="right"/>
    </xf>
    <xf numFmtId="164" fontId="63" fillId="0" borderId="30" xfId="1" applyNumberFormat="1" applyFont="1" applyFill="1" applyBorder="1" applyAlignment="1">
      <alignment horizontal="right"/>
    </xf>
    <xf numFmtId="43" fontId="77" fillId="0" borderId="42" xfId="1" applyFont="1" applyFill="1" applyBorder="1" applyAlignment="1">
      <alignment horizontal="right"/>
    </xf>
    <xf numFmtId="43" fontId="77" fillId="0" borderId="44" xfId="1" applyNumberFormat="1" applyFont="1" applyFill="1" applyBorder="1" applyAlignment="1">
      <alignment horizontal="right"/>
    </xf>
    <xf numFmtId="166" fontId="76" fillId="0" borderId="0" xfId="2" applyNumberFormat="1" applyFont="1" applyFill="1" applyAlignment="1">
      <alignment horizontal="right"/>
    </xf>
    <xf numFmtId="164" fontId="64" fillId="0" borderId="5" xfId="1" applyNumberFormat="1" applyFont="1" applyFill="1" applyBorder="1" applyAlignment="1">
      <alignment horizontal="right"/>
    </xf>
    <xf numFmtId="165" fontId="63" fillId="0" borderId="0" xfId="1" applyNumberFormat="1" applyFont="1" applyFill="1" applyAlignment="1">
      <alignment horizontal="right"/>
    </xf>
    <xf numFmtId="165" fontId="63" fillId="0" borderId="31" xfId="1" applyNumberFormat="1" applyFont="1" applyFill="1" applyBorder="1" applyAlignment="1">
      <alignment horizontal="right"/>
    </xf>
    <xf numFmtId="9" fontId="62" fillId="0" borderId="0" xfId="2" applyFont="1" applyFill="1" applyAlignment="1">
      <alignment horizontal="right"/>
    </xf>
    <xf numFmtId="167" fontId="76" fillId="0" borderId="0" xfId="1" applyNumberFormat="1" applyFont="1" applyFill="1" applyAlignment="1">
      <alignment horizontal="right"/>
    </xf>
    <xf numFmtId="164" fontId="62" fillId="0" borderId="0" xfId="2" applyNumberFormat="1" applyFont="1" applyFill="1" applyAlignment="1">
      <alignment horizontal="right"/>
    </xf>
    <xf numFmtId="164" fontId="64" fillId="0" borderId="0" xfId="2" applyNumberFormat="1" applyFont="1" applyFill="1" applyAlignment="1">
      <alignment horizontal="right"/>
    </xf>
    <xf numFmtId="9" fontId="62" fillId="0" borderId="30" xfId="2" applyFont="1" applyFill="1" applyBorder="1" applyAlignment="1">
      <alignment horizontal="right"/>
    </xf>
    <xf numFmtId="165" fontId="76" fillId="0" borderId="0" xfId="1" applyNumberFormat="1" applyFont="1" applyFill="1" applyAlignment="1">
      <alignment horizontal="right"/>
    </xf>
    <xf numFmtId="165" fontId="62" fillId="0" borderId="5" xfId="1" quotePrefix="1" applyNumberFormat="1" applyFont="1" applyFill="1" applyBorder="1" applyAlignment="1">
      <alignment horizontal="right"/>
    </xf>
    <xf numFmtId="10" fontId="66" fillId="0" borderId="0" xfId="2" applyNumberFormat="1" applyFont="1" applyAlignment="1">
      <alignment horizontal="right"/>
    </xf>
    <xf numFmtId="164" fontId="64" fillId="9" borderId="0" xfId="2" applyNumberFormat="1" applyFont="1" applyFill="1" applyAlignment="1">
      <alignment horizontal="right"/>
    </xf>
    <xf numFmtId="0" fontId="62" fillId="0" borderId="3" xfId="0" applyFont="1" applyBorder="1" applyAlignment="1">
      <alignment horizontal="left"/>
    </xf>
    <xf numFmtId="0" fontId="63" fillId="0" borderId="3" xfId="0" applyFont="1" applyBorder="1" applyAlignment="1">
      <alignment horizontal="left" indent="1"/>
    </xf>
    <xf numFmtId="0" fontId="63" fillId="0" borderId="4" xfId="0" applyFont="1" applyBorder="1" applyAlignment="1">
      <alignment horizontal="left" indent="1"/>
    </xf>
    <xf numFmtId="0" fontId="62" fillId="11" borderId="3" xfId="0" applyFont="1" applyFill="1" applyBorder="1" applyAlignment="1">
      <alignment horizontal="left"/>
    </xf>
    <xf numFmtId="0" fontId="62" fillId="11" borderId="4" xfId="0" applyFont="1" applyFill="1" applyBorder="1" applyAlignment="1">
      <alignment horizontal="left"/>
    </xf>
    <xf numFmtId="0" fontId="63" fillId="0" borderId="3" xfId="0" applyFont="1" applyBorder="1" applyAlignment="1">
      <alignment horizontal="left" indent="3"/>
    </xf>
    <xf numFmtId="0" fontId="62" fillId="0" borderId="3" xfId="0" applyFont="1" applyBorder="1" applyAlignment="1">
      <alignment horizontal="left"/>
    </xf>
    <xf numFmtId="0" fontId="62" fillId="0" borderId="4" xfId="0" applyFont="1" applyBorder="1" applyAlignment="1">
      <alignment horizontal="left"/>
    </xf>
    <xf numFmtId="0" fontId="62" fillId="0" borderId="3" xfId="0" applyFont="1" applyBorder="1" applyAlignment="1">
      <alignment horizontal="left" indent="4"/>
    </xf>
    <xf numFmtId="0" fontId="76" fillId="0" borderId="25" xfId="0" applyFont="1" applyBorder="1" applyAlignment="1">
      <alignment horizontal="left" indent="5"/>
    </xf>
    <xf numFmtId="0" fontId="77" fillId="0" borderId="12" xfId="0" applyFont="1" applyBorder="1" applyAlignment="1">
      <alignment horizontal="left" indent="6"/>
    </xf>
    <xf numFmtId="43" fontId="63" fillId="0" borderId="5" xfId="1" applyFont="1" applyFill="1" applyBorder="1" applyAlignment="1">
      <alignment horizontal="right"/>
    </xf>
    <xf numFmtId="164" fontId="54" fillId="0" borderId="5" xfId="1" applyNumberFormat="1" applyFont="1" applyFill="1" applyBorder="1" applyAlignment="1">
      <alignment horizontal="right"/>
    </xf>
    <xf numFmtId="164" fontId="2" fillId="2" borderId="2" xfId="1" quotePrefix="1" applyNumberFormat="1" applyFont="1" applyFill="1" applyBorder="1" applyAlignment="1">
      <alignment horizontal="right"/>
    </xf>
    <xf numFmtId="164" fontId="2" fillId="2" borderId="33" xfId="1" quotePrefix="1" applyNumberFormat="1" applyFont="1" applyFill="1" applyBorder="1" applyAlignment="1">
      <alignment horizontal="right"/>
    </xf>
    <xf numFmtId="165" fontId="62" fillId="0" borderId="31" xfId="1" applyNumberFormat="1" applyFont="1" applyFill="1" applyBorder="1" applyAlignment="1">
      <alignment horizontal="right"/>
    </xf>
    <xf numFmtId="165" fontId="4" fillId="11" borderId="0" xfId="1" applyNumberFormat="1" applyFont="1" applyFill="1" applyAlignment="1">
      <alignment horizontal="right"/>
    </xf>
    <xf numFmtId="165" fontId="4" fillId="0" borderId="31" xfId="1" applyNumberFormat="1" applyFont="1" applyFill="1" applyBorder="1" applyAlignment="1">
      <alignment horizontal="right"/>
    </xf>
    <xf numFmtId="165" fontId="4" fillId="0" borderId="0" xfId="1" applyNumberFormat="1" applyFont="1" applyAlignment="1">
      <alignment horizontal="left"/>
    </xf>
    <xf numFmtId="9" fontId="62" fillId="0" borderId="8" xfId="2" quotePrefix="1" applyFont="1" applyFill="1" applyBorder="1" applyAlignment="1">
      <alignment horizontal="right"/>
    </xf>
    <xf numFmtId="9" fontId="62" fillId="0" borderId="0" xfId="2" quotePrefix="1" applyFont="1" applyFill="1" applyAlignment="1">
      <alignment horizontal="right"/>
    </xf>
    <xf numFmtId="166" fontId="62" fillId="0" borderId="0" xfId="2" quotePrefix="1" applyNumberFormat="1" applyFont="1" applyFill="1" applyAlignment="1">
      <alignment horizontal="right"/>
    </xf>
    <xf numFmtId="166" fontId="62" fillId="0" borderId="5" xfId="2" quotePrefix="1" applyNumberFormat="1" applyFont="1" applyFill="1" applyBorder="1" applyAlignment="1">
      <alignment horizontal="right"/>
    </xf>
    <xf numFmtId="0" fontId="62" fillId="0" borderId="0" xfId="0" applyFont="1" applyFill="1"/>
    <xf numFmtId="164" fontId="62" fillId="0" borderId="0" xfId="1" quotePrefix="1" applyNumberFormat="1" applyFont="1" applyFill="1" applyAlignment="1">
      <alignment horizontal="right"/>
    </xf>
    <xf numFmtId="164" fontId="62" fillId="0" borderId="5" xfId="1" quotePrefix="1" applyNumberFormat="1" applyFont="1" applyFill="1" applyBorder="1" applyAlignment="1">
      <alignment horizontal="right"/>
    </xf>
    <xf numFmtId="43" fontId="62" fillId="0" borderId="5" xfId="1" quotePrefix="1" applyFont="1" applyFill="1" applyBorder="1" applyAlignment="1">
      <alignment horizontal="right"/>
    </xf>
    <xf numFmtId="9" fontId="62" fillId="0" borderId="5" xfId="2" applyFont="1" applyFill="1" applyBorder="1" applyAlignment="1">
      <alignment horizontal="right"/>
    </xf>
    <xf numFmtId="166" fontId="62" fillId="0" borderId="7" xfId="2" applyNumberFormat="1" applyFont="1" applyFill="1" applyBorder="1" applyAlignment="1">
      <alignment horizontal="right"/>
    </xf>
    <xf numFmtId="166" fontId="62" fillId="0" borderId="8" xfId="2" quotePrefix="1" applyNumberFormat="1" applyFont="1" applyFill="1" applyBorder="1" applyAlignment="1">
      <alignment horizontal="right"/>
    </xf>
    <xf numFmtId="166" fontId="62" fillId="0" borderId="7" xfId="2" quotePrefix="1" applyNumberFormat="1" applyFont="1" applyFill="1" applyBorder="1" applyAlignment="1">
      <alignment horizontal="right"/>
    </xf>
    <xf numFmtId="0" fontId="62" fillId="0" borderId="3" xfId="0" applyFont="1" applyFill="1" applyBorder="1" applyAlignment="1">
      <alignment horizontal="left"/>
    </xf>
    <xf numFmtId="0" fontId="57" fillId="0" borderId="4" xfId="0" applyFont="1" applyFill="1" applyBorder="1" applyAlignment="1">
      <alignment horizontal="left"/>
    </xf>
    <xf numFmtId="43" fontId="66" fillId="0" borderId="0" xfId="1" applyFont="1" applyFill="1" applyAlignment="1">
      <alignment horizontal="right"/>
    </xf>
    <xf numFmtId="9" fontId="66" fillId="0" borderId="0" xfId="2" applyFont="1" applyFill="1" applyAlignment="1">
      <alignment horizontal="right"/>
    </xf>
    <xf numFmtId="9" fontId="4" fillId="0" borderId="0" xfId="2" applyFont="1" applyFill="1" applyAlignment="1">
      <alignment horizontal="right"/>
    </xf>
    <xf numFmtId="165" fontId="66" fillId="0" borderId="0" xfId="2" applyNumberFormat="1" applyFont="1" applyFill="1" applyAlignment="1">
      <alignment horizontal="right"/>
    </xf>
    <xf numFmtId="165" fontId="76" fillId="0" borderId="5" xfId="1" quotePrefix="1" applyNumberFormat="1" applyFont="1" applyFill="1" applyBorder="1" applyAlignment="1">
      <alignment horizontal="right"/>
    </xf>
    <xf numFmtId="165" fontId="74" fillId="0" borderId="5" xfId="1" quotePrefix="1" applyNumberFormat="1" applyFont="1" applyFill="1" applyBorder="1" applyAlignment="1">
      <alignment horizontal="right"/>
    </xf>
    <xf numFmtId="164" fontId="63" fillId="0" borderId="29" xfId="1" quotePrefix="1" applyNumberFormat="1" applyFont="1" applyFill="1" applyBorder="1" applyAlignment="1">
      <alignment horizontal="right"/>
    </xf>
    <xf numFmtId="164" fontId="62" fillId="0" borderId="32" xfId="1" applyNumberFormat="1" applyFont="1" applyFill="1" applyBorder="1" applyAlignment="1">
      <alignment horizontal="right"/>
    </xf>
    <xf numFmtId="165" fontId="4" fillId="0" borderId="5" xfId="1" quotePrefix="1" applyNumberFormat="1" applyFont="1" applyFill="1" applyBorder="1" applyAlignment="1">
      <alignment horizontal="right"/>
    </xf>
    <xf numFmtId="164" fontId="64" fillId="0" borderId="5" xfId="2" applyNumberFormat="1" applyFont="1" applyFill="1" applyBorder="1" applyAlignment="1">
      <alignment horizontal="right"/>
    </xf>
    <xf numFmtId="164" fontId="63" fillId="0" borderId="5" xfId="1" quotePrefix="1" applyNumberFormat="1" applyFont="1" applyFill="1" applyBorder="1" applyAlignment="1">
      <alignment horizontal="right"/>
    </xf>
    <xf numFmtId="166" fontId="63" fillId="0" borderId="5" xfId="2" quotePrefix="1" applyNumberFormat="1" applyFont="1" applyFill="1" applyBorder="1" applyAlignment="1">
      <alignment horizontal="right"/>
    </xf>
    <xf numFmtId="9" fontId="63" fillId="0" borderId="5" xfId="2" applyFont="1" applyFill="1" applyBorder="1" applyAlignment="1">
      <alignment horizontal="right"/>
    </xf>
    <xf numFmtId="43" fontId="76" fillId="0" borderId="5" xfId="1" quotePrefix="1" applyFont="1" applyFill="1" applyBorder="1" applyAlignment="1">
      <alignment horizontal="right"/>
    </xf>
    <xf numFmtId="0" fontId="62" fillId="0" borderId="3" xfId="0" applyFont="1" applyFill="1" applyBorder="1" applyAlignment="1">
      <alignment horizontal="left" indent="2"/>
    </xf>
    <xf numFmtId="0" fontId="4" fillId="0" borderId="4" xfId="0" applyFont="1" applyFill="1" applyBorder="1"/>
    <xf numFmtId="0" fontId="63" fillId="0" borderId="0" xfId="0" applyFont="1" applyFill="1"/>
    <xf numFmtId="0" fontId="63" fillId="0" borderId="3" xfId="0" applyFont="1" applyFill="1" applyBorder="1" applyAlignment="1">
      <alignment horizontal="left" indent="4"/>
    </xf>
    <xf numFmtId="0" fontId="63" fillId="0" borderId="4" xfId="0" applyFont="1" applyFill="1" applyBorder="1"/>
    <xf numFmtId="0" fontId="63" fillId="0" borderId="3" xfId="0" applyFont="1" applyFill="1" applyBorder="1" applyAlignment="1">
      <alignment horizontal="left" indent="5"/>
    </xf>
    <xf numFmtId="0" fontId="55" fillId="0" borderId="4" xfId="0" applyFont="1" applyFill="1" applyBorder="1"/>
    <xf numFmtId="0" fontId="78" fillId="0" borderId="0" xfId="0" applyFont="1" applyFill="1"/>
    <xf numFmtId="166" fontId="62" fillId="0" borderId="5" xfId="2" applyNumberFormat="1" applyFont="1" applyFill="1" applyBorder="1" applyAlignment="1">
      <alignment horizontal="right"/>
    </xf>
    <xf numFmtId="43" fontId="64" fillId="0" borderId="0" xfId="1" applyNumberFormat="1" applyFont="1" applyFill="1" applyAlignment="1">
      <alignment horizontal="right"/>
    </xf>
    <xf numFmtId="164" fontId="80" fillId="0" borderId="32" xfId="1" applyNumberFormat="1" applyFont="1" applyFill="1" applyBorder="1" applyAlignment="1">
      <alignment horizontal="right"/>
    </xf>
    <xf numFmtId="164" fontId="77" fillId="0" borderId="29" xfId="1" applyNumberFormat="1" applyFont="1" applyFill="1" applyBorder="1" applyAlignment="1">
      <alignment horizontal="right"/>
    </xf>
    <xf numFmtId="164" fontId="81" fillId="0" borderId="32" xfId="1" applyNumberFormat="1" applyFont="1" applyFill="1" applyBorder="1" applyAlignment="1">
      <alignment horizontal="right"/>
    </xf>
    <xf numFmtId="43" fontId="63" fillId="0" borderId="8" xfId="1" applyFont="1" applyFill="1" applyBorder="1" applyAlignment="1">
      <alignment horizontal="right"/>
    </xf>
    <xf numFmtId="166" fontId="66" fillId="0" borderId="0" xfId="2" applyNumberFormat="1" applyFont="1" applyFill="1" applyAlignment="1">
      <alignment horizontal="right"/>
    </xf>
    <xf numFmtId="165" fontId="62" fillId="10" borderId="0" xfId="1" applyNumberFormat="1" applyFont="1" applyFill="1" applyAlignment="1">
      <alignment horizontal="right"/>
    </xf>
    <xf numFmtId="164" fontId="62" fillId="0" borderId="0" xfId="1" applyNumberFormat="1" applyFont="1" applyBorder="1" applyAlignment="1">
      <alignment horizontal="right"/>
    </xf>
    <xf numFmtId="164" fontId="62" fillId="0" borderId="30" xfId="1" applyNumberFormat="1" applyFont="1" applyBorder="1" applyAlignment="1">
      <alignment horizontal="right"/>
    </xf>
    <xf numFmtId="164" fontId="62" fillId="0" borderId="29" xfId="1" applyNumberFormat="1" applyFont="1" applyBorder="1" applyAlignment="1">
      <alignment horizontal="right"/>
    </xf>
    <xf numFmtId="164" fontId="62" fillId="0" borderId="0" xfId="1" applyNumberFormat="1" applyFont="1" applyFill="1" applyBorder="1" applyAlignment="1">
      <alignment horizontal="right"/>
    </xf>
    <xf numFmtId="7" fontId="62" fillId="0" borderId="25" xfId="1" applyNumberFormat="1" applyFont="1" applyBorder="1" applyAlignment="1">
      <alignment horizontal="right"/>
    </xf>
    <xf numFmtId="7" fontId="62" fillId="0" borderId="31" xfId="1" applyNumberFormat="1" applyFont="1" applyFill="1" applyBorder="1" applyAlignment="1">
      <alignment horizontal="right"/>
    </xf>
    <xf numFmtId="165" fontId="62" fillId="0" borderId="3" xfId="1" applyNumberFormat="1" applyFont="1" applyBorder="1" applyAlignment="1">
      <alignment horizontal="right"/>
    </xf>
    <xf numFmtId="165" fontId="62" fillId="0" borderId="0" xfId="1" applyNumberFormat="1" applyFont="1" applyFill="1" applyBorder="1" applyAlignment="1">
      <alignment horizontal="right"/>
    </xf>
    <xf numFmtId="164" fontId="62" fillId="0" borderId="12" xfId="1" applyNumberFormat="1" applyFont="1" applyBorder="1" applyAlignment="1">
      <alignment horizontal="right"/>
    </xf>
    <xf numFmtId="0" fontId="62" fillId="0" borderId="3" xfId="0" applyFont="1" applyBorder="1" applyAlignment="1">
      <alignment horizontal="left"/>
    </xf>
    <xf numFmtId="0" fontId="62" fillId="0" borderId="4" xfId="0" applyFont="1" applyBorder="1" applyAlignment="1">
      <alignment horizontal="left"/>
    </xf>
    <xf numFmtId="166" fontId="63" fillId="10" borderId="0" xfId="2" applyNumberFormat="1" applyFont="1" applyFill="1" applyAlignment="1">
      <alignment horizontal="right"/>
    </xf>
    <xf numFmtId="167" fontId="76" fillId="0" borderId="5" xfId="1" quotePrefix="1" applyNumberFormat="1" applyFont="1" applyBorder="1" applyAlignment="1">
      <alignment horizontal="right"/>
    </xf>
    <xf numFmtId="167" fontId="76" fillId="0" borderId="5" xfId="1" quotePrefix="1" applyNumberFormat="1" applyFont="1" applyFill="1" applyBorder="1" applyAlignment="1">
      <alignment horizontal="right"/>
    </xf>
    <xf numFmtId="9" fontId="75" fillId="0" borderId="5" xfId="2" applyFont="1" applyFill="1" applyBorder="1" applyAlignment="1">
      <alignment horizontal="right"/>
    </xf>
    <xf numFmtId="229" fontId="63" fillId="0" borderId="5" xfId="2" applyNumberFormat="1" applyFont="1" applyFill="1" applyBorder="1" applyAlignment="1">
      <alignment horizontal="right"/>
    </xf>
    <xf numFmtId="165" fontId="62" fillId="10" borderId="5" xfId="1" quotePrefix="1" applyNumberFormat="1" applyFont="1" applyFill="1" applyBorder="1" applyAlignment="1">
      <alignment horizontal="right"/>
    </xf>
    <xf numFmtId="166" fontId="62" fillId="10" borderId="29" xfId="2" quotePrefix="1" applyNumberFormat="1" applyFont="1" applyFill="1" applyBorder="1" applyAlignment="1">
      <alignment horizontal="right"/>
    </xf>
    <xf numFmtId="166" fontId="62" fillId="10" borderId="0" xfId="2" applyNumberFormat="1" applyFont="1" applyFill="1" applyAlignment="1">
      <alignment horizontal="right"/>
    </xf>
    <xf numFmtId="164" fontId="64" fillId="10" borderId="5" xfId="1" applyNumberFormat="1" applyFont="1" applyFill="1" applyBorder="1" applyAlignment="1">
      <alignment horizontal="right"/>
    </xf>
    <xf numFmtId="9" fontId="62" fillId="10" borderId="0" xfId="2" applyFont="1" applyFill="1" applyAlignment="1">
      <alignment horizontal="right"/>
    </xf>
    <xf numFmtId="43" fontId="63" fillId="10" borderId="0" xfId="1" applyFont="1" applyFill="1" applyAlignment="1">
      <alignment horizontal="right"/>
    </xf>
    <xf numFmtId="43" fontId="63" fillId="10" borderId="5" xfId="1" applyFont="1" applyFill="1" applyBorder="1" applyAlignment="1">
      <alignment horizontal="right"/>
    </xf>
    <xf numFmtId="9" fontId="4" fillId="0" borderId="0" xfId="2" applyFont="1" applyAlignment="1">
      <alignment horizontal="left"/>
    </xf>
    <xf numFmtId="43" fontId="77" fillId="10" borderId="42" xfId="1" applyFont="1" applyFill="1" applyBorder="1" applyAlignment="1">
      <alignment horizontal="right"/>
    </xf>
    <xf numFmtId="165" fontId="62" fillId="10" borderId="5" xfId="1" applyNumberFormat="1" applyFont="1" applyFill="1" applyBorder="1" applyAlignment="1">
      <alignment horizontal="right"/>
    </xf>
    <xf numFmtId="9" fontId="62" fillId="10" borderId="5" xfId="2" applyFont="1" applyFill="1" applyBorder="1" applyAlignment="1">
      <alignment horizontal="right"/>
    </xf>
    <xf numFmtId="0" fontId="62" fillId="11" borderId="3" xfId="0" applyFont="1" applyFill="1" applyBorder="1" applyAlignment="1">
      <alignment horizontal="left"/>
    </xf>
    <xf numFmtId="0" fontId="62" fillId="11" borderId="4" xfId="0" applyFont="1" applyFill="1" applyBorder="1" applyAlignment="1">
      <alignment horizontal="left"/>
    </xf>
    <xf numFmtId="0" fontId="62" fillId="0" borderId="6" xfId="0" applyFont="1" applyFill="1" applyBorder="1" applyAlignment="1">
      <alignment horizontal="left" indent="2"/>
    </xf>
    <xf numFmtId="0" fontId="62" fillId="0" borderId="10" xfId="0" applyFont="1" applyFill="1" applyBorder="1" applyAlignment="1">
      <alignment horizontal="left" indent="1"/>
    </xf>
    <xf numFmtId="165" fontId="4" fillId="11" borderId="31" xfId="1" applyNumberFormat="1" applyFont="1" applyFill="1" applyBorder="1" applyAlignment="1">
      <alignment horizontal="left"/>
    </xf>
    <xf numFmtId="165" fontId="62" fillId="0" borderId="31" xfId="1" applyNumberFormat="1" applyFont="1" applyBorder="1" applyAlignment="1">
      <alignment horizontal="right"/>
    </xf>
    <xf numFmtId="166" fontId="4" fillId="0" borderId="0" xfId="1" applyNumberFormat="1" applyFont="1"/>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5" fillId="0" borderId="9" xfId="1" applyNumberFormat="1" applyFont="1" applyFill="1" applyBorder="1" applyAlignment="1">
      <alignment horizontal="right"/>
    </xf>
    <xf numFmtId="9" fontId="75" fillId="0" borderId="0" xfId="2" applyFont="1" applyFill="1" applyAlignment="1">
      <alignment horizontal="right"/>
    </xf>
    <xf numFmtId="9" fontId="63" fillId="0" borderId="0" xfId="2" applyFont="1" applyFill="1" applyAlignment="1">
      <alignment horizontal="right"/>
    </xf>
    <xf numFmtId="9" fontId="63" fillId="0" borderId="0" xfId="2" applyNumberFormat="1" applyFont="1" applyFill="1" applyAlignment="1">
      <alignment horizontal="right"/>
    </xf>
    <xf numFmtId="164" fontId="55" fillId="0" borderId="29" xfId="1" quotePrefix="1" applyNumberFormat="1" applyFont="1" applyFill="1" applyBorder="1" applyAlignment="1">
      <alignment horizontal="right"/>
    </xf>
    <xf numFmtId="165" fontId="55" fillId="0" borderId="5" xfId="1" quotePrefix="1" applyNumberFormat="1" applyFont="1" applyFill="1" applyBorder="1" applyAlignment="1">
      <alignment horizontal="right"/>
    </xf>
    <xf numFmtId="165" fontId="4" fillId="0" borderId="29" xfId="1" quotePrefix="1" applyNumberFormat="1" applyFont="1" applyFill="1" applyBorder="1" applyAlignment="1">
      <alignment horizontal="right"/>
    </xf>
    <xf numFmtId="164" fontId="63" fillId="0" borderId="0" xfId="2" applyNumberFormat="1" applyFont="1" applyFill="1" applyAlignment="1">
      <alignment horizontal="right"/>
    </xf>
    <xf numFmtId="166" fontId="63" fillId="0" borderId="0" xfId="2" applyNumberFormat="1" applyFont="1" applyFill="1" applyAlignment="1">
      <alignment horizontal="right"/>
    </xf>
    <xf numFmtId="228" fontId="4" fillId="0" borderId="5" xfId="1" quotePrefix="1" applyNumberFormat="1" applyFont="1" applyFill="1" applyBorder="1" applyAlignment="1">
      <alignment horizontal="right"/>
    </xf>
    <xf numFmtId="43" fontId="62" fillId="0" borderId="5" xfId="1" applyNumberFormat="1" applyFont="1" applyFill="1" applyBorder="1" applyAlignment="1">
      <alignment horizontal="right"/>
    </xf>
    <xf numFmtId="43" fontId="64" fillId="0" borderId="5" xfId="1" applyNumberFormat="1" applyFont="1" applyFill="1" applyBorder="1" applyAlignment="1">
      <alignment horizontal="right"/>
    </xf>
    <xf numFmtId="0" fontId="62" fillId="11" borderId="0" xfId="0" applyFont="1" applyFill="1" applyBorder="1" applyAlignment="1">
      <alignment horizontal="left"/>
    </xf>
    <xf numFmtId="0" fontId="63" fillId="11" borderId="3" xfId="0" applyFont="1" applyFill="1" applyBorder="1" applyAlignment="1">
      <alignment horizontal="left" indent="1"/>
    </xf>
    <xf numFmtId="165" fontId="4" fillId="0" borderId="0" xfId="0" applyNumberFormat="1" applyFont="1" applyAlignment="1">
      <alignment horizontal="left"/>
    </xf>
    <xf numFmtId="165" fontId="4" fillId="0" borderId="0" xfId="1" applyNumberFormat="1" applyFont="1" applyFill="1"/>
    <xf numFmtId="43" fontId="4" fillId="0" borderId="0" xfId="1" applyFont="1"/>
    <xf numFmtId="14" fontId="0" fillId="0" borderId="3" xfId="0" applyNumberFormat="1" applyBorder="1"/>
    <xf numFmtId="43" fontId="0" fillId="0" borderId="0" xfId="1" applyFont="1" applyFill="1" applyBorder="1"/>
    <xf numFmtId="43" fontId="0" fillId="0" borderId="0" xfId="1" applyFont="1" applyBorder="1"/>
    <xf numFmtId="14" fontId="0" fillId="0" borderId="6" xfId="0" applyNumberFormat="1" applyBorder="1"/>
    <xf numFmtId="43" fontId="0" fillId="0" borderId="7" xfId="1" applyFont="1" applyBorder="1"/>
    <xf numFmtId="166" fontId="0" fillId="0" borderId="38" xfId="2" applyNumberFormat="1" applyFont="1" applyBorder="1"/>
    <xf numFmtId="0" fontId="2" fillId="0" borderId="0" xfId="0" applyFont="1" applyFill="1" applyAlignment="1">
      <alignment horizontal="right"/>
    </xf>
    <xf numFmtId="10" fontId="2" fillId="0" borderId="0" xfId="0" applyNumberFormat="1" applyFont="1" applyFill="1"/>
    <xf numFmtId="10" fontId="2" fillId="12" borderId="39" xfId="2" applyNumberFormat="1" applyFont="1" applyFill="1" applyBorder="1"/>
    <xf numFmtId="9" fontId="62" fillId="0" borderId="0" xfId="2" applyFont="1" applyFill="1" applyAlignment="1">
      <alignment horizontal="left"/>
    </xf>
    <xf numFmtId="164" fontId="4" fillId="0" borderId="0" xfId="1" applyNumberFormat="1" applyFont="1" applyFill="1" applyAlignment="1">
      <alignment horizontal="right"/>
    </xf>
    <xf numFmtId="9" fontId="62" fillId="0" borderId="0" xfId="2" applyNumberFormat="1" applyFont="1" applyAlignment="1">
      <alignment horizontal="right"/>
    </xf>
    <xf numFmtId="9" fontId="62" fillId="0" borderId="5" xfId="2" applyNumberFormat="1" applyFont="1" applyBorder="1" applyAlignment="1">
      <alignment horizontal="right"/>
    </xf>
    <xf numFmtId="0" fontId="63" fillId="0" borderId="23" xfId="0" applyFont="1" applyFill="1" applyBorder="1" applyAlignment="1">
      <alignment horizontal="left"/>
    </xf>
    <xf numFmtId="10" fontId="64" fillId="0" borderId="5" xfId="2" applyNumberFormat="1" applyFont="1" applyBorder="1" applyAlignment="1">
      <alignment horizontal="right"/>
    </xf>
    <xf numFmtId="10" fontId="62" fillId="0" borderId="5" xfId="2" applyNumberFormat="1" applyFont="1" applyBorder="1" applyAlignment="1">
      <alignment horizontal="right"/>
    </xf>
    <xf numFmtId="10" fontId="4" fillId="0" borderId="5" xfId="2" quotePrefix="1" applyNumberFormat="1" applyFont="1" applyBorder="1" applyAlignment="1">
      <alignment horizontal="right"/>
    </xf>
    <xf numFmtId="226" fontId="62" fillId="9" borderId="4" xfId="1" applyNumberFormat="1" applyFont="1" applyFill="1" applyBorder="1" applyAlignment="1">
      <alignment horizontal="right"/>
    </xf>
    <xf numFmtId="0" fontId="76" fillId="12" borderId="3" xfId="0" applyFont="1" applyFill="1" applyBorder="1" applyAlignment="1">
      <alignment horizontal="left"/>
    </xf>
    <xf numFmtId="0" fontId="76" fillId="12" borderId="4" xfId="0" applyFont="1" applyFill="1" applyBorder="1" applyAlignment="1">
      <alignment horizontal="left"/>
    </xf>
    <xf numFmtId="0" fontId="63" fillId="12" borderId="3" xfId="0" applyFont="1" applyFill="1" applyBorder="1" applyAlignment="1">
      <alignment horizontal="left" indent="2"/>
    </xf>
    <xf numFmtId="0" fontId="62" fillId="12" borderId="12" xfId="0" applyFont="1" applyFill="1" applyBorder="1" applyAlignment="1">
      <alignment horizontal="left" indent="2"/>
    </xf>
    <xf numFmtId="43" fontId="4" fillId="9" borderId="7" xfId="1" applyFont="1" applyFill="1" applyBorder="1" applyAlignment="1">
      <alignment horizontal="right"/>
    </xf>
    <xf numFmtId="166" fontId="55" fillId="9" borderId="0" xfId="2" applyNumberFormat="1" applyFont="1" applyFill="1" applyAlignment="1">
      <alignment horizontal="right"/>
    </xf>
    <xf numFmtId="9" fontId="55" fillId="9" borderId="0" xfId="2" applyFont="1" applyFill="1" applyAlignment="1">
      <alignment horizontal="right"/>
    </xf>
    <xf numFmtId="166" fontId="91" fillId="9" borderId="0" xfId="2" applyNumberFormat="1" applyFont="1" applyFill="1" applyAlignment="1">
      <alignment horizontal="right"/>
    </xf>
    <xf numFmtId="167" fontId="4" fillId="9" borderId="0" xfId="1" applyNumberFormat="1" applyFont="1" applyFill="1" applyAlignment="1">
      <alignment horizontal="right"/>
    </xf>
    <xf numFmtId="9" fontId="4" fillId="9" borderId="30" xfId="2" applyFont="1" applyFill="1" applyBorder="1" applyAlignment="1">
      <alignment horizontal="right"/>
    </xf>
    <xf numFmtId="7" fontId="4" fillId="9" borderId="0" xfId="1" applyNumberFormat="1" applyFont="1" applyFill="1" applyAlignment="1">
      <alignment horizontal="right"/>
    </xf>
    <xf numFmtId="165" fontId="4" fillId="9" borderId="0" xfId="1" applyNumberFormat="1" applyFont="1" applyFill="1" applyAlignment="1">
      <alignment horizontal="right"/>
    </xf>
    <xf numFmtId="166" fontId="4" fillId="9" borderId="4" xfId="1" applyNumberFormat="1" applyFont="1" applyFill="1" applyBorder="1" applyAlignment="1">
      <alignment horizontal="right"/>
    </xf>
    <xf numFmtId="167" fontId="55" fillId="14" borderId="4" xfId="0" applyNumberFormat="1" applyFont="1" applyFill="1" applyBorder="1"/>
    <xf numFmtId="10" fontId="4" fillId="9" borderId="4" xfId="2" applyNumberFormat="1" applyFont="1" applyFill="1" applyBorder="1" applyAlignment="1">
      <alignment horizontal="right"/>
    </xf>
    <xf numFmtId="166" fontId="55" fillId="0" borderId="4" xfId="2" applyNumberFormat="1" applyFont="1" applyBorder="1" applyAlignment="1">
      <alignment horizontal="right"/>
    </xf>
    <xf numFmtId="43" fontId="4" fillId="9" borderId="4" xfId="1" applyFont="1" applyFill="1" applyBorder="1" applyAlignment="1">
      <alignment horizontal="right"/>
    </xf>
    <xf numFmtId="226" fontId="4" fillId="0" borderId="4" xfId="1" applyNumberFormat="1" applyFont="1" applyFill="1" applyBorder="1" applyAlignment="1">
      <alignment horizontal="right"/>
    </xf>
    <xf numFmtId="226" fontId="4" fillId="0" borderId="4" xfId="2" applyNumberFormat="1" applyFont="1" applyFill="1" applyBorder="1" applyAlignment="1">
      <alignment horizontal="right"/>
    </xf>
    <xf numFmtId="9" fontId="55" fillId="0" borderId="2" xfId="2" quotePrefix="1" applyFont="1" applyBorder="1" applyAlignment="1">
      <alignment horizontal="left"/>
    </xf>
    <xf numFmtId="0" fontId="4" fillId="0" borderId="0" xfId="0" applyFont="1" applyAlignment="1"/>
    <xf numFmtId="166" fontId="55" fillId="0" borderId="0" xfId="1" applyNumberFormat="1" applyFont="1"/>
    <xf numFmtId="230" fontId="62" fillId="0" borderId="0" xfId="332" applyNumberFormat="1" applyFont="1" applyAlignment="1">
      <alignment horizontal="right"/>
    </xf>
    <xf numFmtId="9" fontId="1" fillId="0" borderId="0" xfId="2" applyFont="1" applyAlignment="1">
      <alignment horizontal="right"/>
    </xf>
    <xf numFmtId="164" fontId="92" fillId="0" borderId="0" xfId="1" applyNumberFormat="1" applyFont="1" applyAlignment="1">
      <alignment horizontal="right"/>
    </xf>
    <xf numFmtId="225" fontId="1" fillId="0" borderId="0" xfId="0" applyNumberFormat="1" applyFont="1" applyAlignment="1">
      <alignment horizontal="right"/>
    </xf>
    <xf numFmtId="0" fontId="1" fillId="0" borderId="0" xfId="0" applyFont="1" applyAlignment="1">
      <alignment horizontal="right"/>
    </xf>
    <xf numFmtId="43" fontId="2" fillId="0" borderId="0" xfId="1" quotePrefix="1" applyFont="1" applyAlignment="1">
      <alignment horizontal="right"/>
    </xf>
    <xf numFmtId="0" fontId="92" fillId="15" borderId="0" xfId="0" applyFont="1" applyFill="1" applyAlignment="1">
      <alignment horizontal="right"/>
    </xf>
    <xf numFmtId="230" fontId="2" fillId="0" borderId="0" xfId="332" applyNumberFormat="1" applyFont="1" applyAlignment="1">
      <alignment horizontal="right"/>
    </xf>
    <xf numFmtId="164" fontId="0" fillId="0" borderId="0" xfId="1" applyNumberFormat="1" applyFont="1" applyAlignment="1">
      <alignment horizontal="right"/>
    </xf>
    <xf numFmtId="230" fontId="2" fillId="0" borderId="0" xfId="2" applyNumberFormat="1" applyFont="1" applyAlignment="1">
      <alignment horizontal="right"/>
    </xf>
    <xf numFmtId="43" fontId="0" fillId="0" borderId="0" xfId="1" quotePrefix="1" applyFont="1" applyAlignment="1">
      <alignment horizontal="right"/>
    </xf>
    <xf numFmtId="164" fontId="2" fillId="0" borderId="0" xfId="1" applyNumberFormat="1" applyFont="1" applyAlignment="1">
      <alignment horizontal="right"/>
    </xf>
    <xf numFmtId="165" fontId="1" fillId="0" borderId="0" xfId="0" applyNumberFormat="1" applyFont="1" applyAlignment="1">
      <alignment horizontal="right"/>
    </xf>
    <xf numFmtId="165" fontId="1" fillId="0" borderId="0" xfId="1" quotePrefix="1" applyNumberFormat="1" applyFont="1" applyAlignment="1">
      <alignment horizontal="right"/>
    </xf>
    <xf numFmtId="0" fontId="0" fillId="0" borderId="0" xfId="0" applyFont="1" applyAlignment="1">
      <alignment horizontal="right"/>
    </xf>
    <xf numFmtId="3" fontId="0" fillId="0" borderId="0" xfId="0" applyNumberFormat="1" applyFont="1" applyAlignment="1">
      <alignment horizontal="right"/>
    </xf>
    <xf numFmtId="225" fontId="2" fillId="0" borderId="0" xfId="0" applyNumberFormat="1" applyFont="1" applyAlignment="1">
      <alignment horizontal="right"/>
    </xf>
    <xf numFmtId="164" fontId="93" fillId="0" borderId="0" xfId="1" applyNumberFormat="1" applyFont="1" applyAlignment="1">
      <alignment horizontal="right"/>
    </xf>
    <xf numFmtId="10" fontId="62" fillId="9" borderId="11" xfId="2" applyNumberFormat="1" applyFont="1" applyFill="1" applyBorder="1" applyAlignment="1">
      <alignment horizontal="right"/>
    </xf>
    <xf numFmtId="192" fontId="2" fillId="12" borderId="0" xfId="0" applyNumberFormat="1" applyFont="1" applyFill="1" applyAlignment="1">
      <alignment horizontal="right"/>
    </xf>
    <xf numFmtId="0" fontId="0" fillId="0" borderId="0" xfId="0" applyFont="1" applyAlignment="1"/>
    <xf numFmtId="164" fontId="2" fillId="0" borderId="0" xfId="1" quotePrefix="1" applyNumberFormat="1" applyFont="1" applyAlignment="1">
      <alignment horizontal="right"/>
    </xf>
    <xf numFmtId="9" fontId="0" fillId="0" borderId="0" xfId="2" applyFont="1" applyAlignment="1">
      <alignment horizontal="right"/>
    </xf>
    <xf numFmtId="0" fontId="1" fillId="0" borderId="0" xfId="2" applyNumberFormat="1" applyFont="1" applyAlignment="1">
      <alignment horizontal="right"/>
    </xf>
    <xf numFmtId="44" fontId="0" fillId="0" borderId="0" xfId="332" applyFont="1" applyAlignment="1">
      <alignment horizontal="right"/>
    </xf>
    <xf numFmtId="0" fontId="62" fillId="11" borderId="3" xfId="0" applyFont="1" applyFill="1" applyBorder="1" applyAlignment="1">
      <alignment horizontal="left"/>
    </xf>
    <xf numFmtId="0" fontId="62" fillId="11" borderId="4" xfId="0" applyFont="1" applyFill="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0" fillId="2" borderId="1" xfId="0" applyFont="1" applyFill="1" applyBorder="1" applyAlignment="1">
      <alignment horizontal="left"/>
    </xf>
    <xf numFmtId="0" fontId="60" fillId="2" borderId="11"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1" fillId="2" borderId="3" xfId="0" applyFont="1" applyFill="1" applyBorder="1" applyAlignment="1">
      <alignment horizontal="left"/>
    </xf>
    <xf numFmtId="0" fontId="61" fillId="2" borderId="4" xfId="0" applyFont="1" applyFill="1" applyBorder="1" applyAlignment="1">
      <alignment horizontal="left"/>
    </xf>
    <xf numFmtId="0" fontId="63" fillId="0" borderId="3" xfId="0" applyFont="1" applyBorder="1" applyAlignment="1">
      <alignment horizontal="left" indent="1"/>
    </xf>
    <xf numFmtId="0" fontId="63" fillId="0" borderId="4" xfId="0" applyFont="1" applyBorder="1" applyAlignment="1">
      <alignment horizontal="left" indent="1"/>
    </xf>
    <xf numFmtId="0" fontId="63" fillId="0" borderId="12" xfId="0" applyFont="1" applyBorder="1" applyAlignment="1">
      <alignment horizontal="left"/>
    </xf>
    <xf numFmtId="0" fontId="63" fillId="0" borderId="13" xfId="0" applyFont="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5" fillId="0" borderId="25" xfId="0" applyFont="1" applyBorder="1" applyAlignment="1">
      <alignment horizontal="left"/>
    </xf>
    <xf numFmtId="0" fontId="65" fillId="0" borderId="26" xfId="0" applyFont="1" applyBorder="1" applyAlignment="1">
      <alignment horizontal="left"/>
    </xf>
    <xf numFmtId="0" fontId="63" fillId="0" borderId="12" xfId="0" applyFont="1" applyBorder="1" applyAlignment="1">
      <alignment horizontal="left" indent="2"/>
    </xf>
    <xf numFmtId="0" fontId="63" fillId="0" borderId="13" xfId="0" applyFont="1" applyBorder="1" applyAlignment="1">
      <alignment horizontal="left" indent="2"/>
    </xf>
    <xf numFmtId="0" fontId="63" fillId="11" borderId="3" xfId="0" applyFont="1" applyFill="1" applyBorder="1" applyAlignment="1">
      <alignment horizontal="left" indent="2"/>
    </xf>
    <xf numFmtId="0" fontId="63" fillId="11" borderId="4" xfId="0" applyFont="1" applyFill="1" applyBorder="1" applyAlignment="1">
      <alignment horizontal="left" indent="2"/>
    </xf>
    <xf numFmtId="0" fontId="63" fillId="0" borderId="3" xfId="0" applyFont="1" applyBorder="1" applyAlignment="1">
      <alignment horizontal="left" indent="2"/>
    </xf>
    <xf numFmtId="0" fontId="63" fillId="0" borderId="4" xfId="0" applyFont="1" applyBorder="1" applyAlignment="1">
      <alignment horizontal="left" indent="2"/>
    </xf>
    <xf numFmtId="0" fontId="63" fillId="11" borderId="3" xfId="0" applyFont="1" applyFill="1" applyBorder="1" applyAlignment="1">
      <alignment horizontal="left" indent="1"/>
    </xf>
    <xf numFmtId="0" fontId="63" fillId="11" borderId="4" xfId="0" applyFont="1" applyFill="1" applyBorder="1" applyAlignment="1">
      <alignment horizontal="left" indent="1"/>
    </xf>
    <xf numFmtId="0" fontId="65" fillId="11" borderId="25" xfId="0" applyFont="1" applyFill="1" applyBorder="1" applyAlignment="1">
      <alignment horizontal="left"/>
    </xf>
    <xf numFmtId="0" fontId="65" fillId="11" borderId="26" xfId="0" applyFont="1" applyFill="1" applyBorder="1" applyAlignment="1">
      <alignment horizontal="left"/>
    </xf>
    <xf numFmtId="0" fontId="62" fillId="0" borderId="3" xfId="3" applyFont="1" applyFill="1" applyBorder="1" applyAlignment="1">
      <alignment horizontal="left" vertical="top"/>
    </xf>
    <xf numFmtId="0" fontId="62" fillId="0" borderId="4" xfId="3" applyFont="1" applyFill="1" applyBorder="1" applyAlignment="1">
      <alignment horizontal="left" vertical="top"/>
    </xf>
    <xf numFmtId="0" fontId="60" fillId="2" borderId="2" xfId="0" applyFont="1" applyFill="1" applyBorder="1" applyAlignment="1">
      <alignment horizontal="left"/>
    </xf>
    <xf numFmtId="0" fontId="62" fillId="10" borderId="3" xfId="0" applyFont="1" applyFill="1" applyBorder="1" applyAlignment="1">
      <alignment horizontal="left"/>
    </xf>
    <xf numFmtId="0" fontId="62" fillId="10" borderId="4" xfId="0" applyFont="1" applyFill="1" applyBorder="1" applyAlignment="1">
      <alignment horizontal="left"/>
    </xf>
    <xf numFmtId="0" fontId="62" fillId="13" borderId="6" xfId="0" applyFont="1" applyFill="1" applyBorder="1" applyAlignment="1">
      <alignment horizontal="left"/>
    </xf>
    <xf numFmtId="0" fontId="62" fillId="13" borderId="10" xfId="0" applyFont="1" applyFill="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3" xfId="0" applyFont="1" applyFill="1" applyBorder="1" applyAlignment="1">
      <alignment horizontal="left" indent="1"/>
    </xf>
    <xf numFmtId="0" fontId="63" fillId="0" borderId="4" xfId="0" applyFont="1" applyFill="1" applyBorder="1" applyAlignment="1">
      <alignment horizontal="left" indent="1"/>
    </xf>
    <xf numFmtId="0" fontId="62" fillId="0" borderId="3" xfId="0" applyFont="1" applyBorder="1" applyAlignment="1">
      <alignment horizontal="left" indent="4"/>
    </xf>
    <xf numFmtId="0" fontId="62" fillId="0" borderId="4" xfId="0" applyFont="1" applyBorder="1" applyAlignment="1">
      <alignment horizontal="left" indent="4"/>
    </xf>
    <xf numFmtId="0" fontId="62" fillId="0" borderId="3" xfId="0" applyFont="1" applyFill="1" applyBorder="1" applyAlignment="1">
      <alignment horizontal="left"/>
    </xf>
    <xf numFmtId="0" fontId="62" fillId="0" borderId="4" xfId="0" applyFont="1" applyFill="1" applyBorder="1" applyAlignment="1">
      <alignment horizontal="left"/>
    </xf>
    <xf numFmtId="0" fontId="62" fillId="0" borderId="3" xfId="0" applyFont="1" applyFill="1" applyBorder="1" applyAlignment="1">
      <alignment horizontal="left" indent="2"/>
    </xf>
    <xf numFmtId="0" fontId="62" fillId="0" borderId="4" xfId="0" applyFont="1" applyFill="1" applyBorder="1" applyAlignment="1">
      <alignment horizontal="left" indent="2"/>
    </xf>
    <xf numFmtId="0" fontId="62" fillId="0" borderId="3" xfId="0" applyFont="1" applyFill="1" applyBorder="1" applyAlignment="1">
      <alignment horizontal="left" indent="5"/>
    </xf>
    <xf numFmtId="0" fontId="62" fillId="0" borderId="4" xfId="0" applyFont="1" applyFill="1" applyBorder="1" applyAlignment="1">
      <alignment horizontal="left" indent="5"/>
    </xf>
    <xf numFmtId="0" fontId="62" fillId="0" borderId="27" xfId="0" applyFont="1" applyBorder="1" applyAlignment="1">
      <alignment horizontal="left" vertical="top" wrapText="1"/>
    </xf>
    <xf numFmtId="0" fontId="62" fillId="0" borderId="28" xfId="0" applyFont="1" applyBorder="1" applyAlignment="1">
      <alignment horizontal="left" vertical="top" wrapText="1"/>
    </xf>
    <xf numFmtId="0" fontId="4" fillId="0" borderId="2" xfId="0" applyFont="1" applyBorder="1" applyAlignment="1">
      <alignment horizontal="left"/>
    </xf>
    <xf numFmtId="0" fontId="62" fillId="11" borderId="12" xfId="0" applyFont="1" applyFill="1" applyBorder="1" applyAlignment="1">
      <alignment horizontal="left"/>
    </xf>
    <xf numFmtId="0" fontId="62" fillId="11" borderId="13" xfId="0" applyFont="1" applyFill="1" applyBorder="1" applyAlignment="1">
      <alignment horizontal="left"/>
    </xf>
    <xf numFmtId="0" fontId="62" fillId="11" borderId="25" xfId="0" applyFont="1" applyFill="1" applyBorder="1" applyAlignment="1">
      <alignment horizontal="left"/>
    </xf>
    <xf numFmtId="0" fontId="62" fillId="11" borderId="26" xfId="0" applyFont="1" applyFill="1" applyBorder="1" applyAlignment="1">
      <alignment horizontal="left"/>
    </xf>
    <xf numFmtId="0" fontId="62" fillId="0" borderId="6" xfId="0" applyFont="1" applyBorder="1" applyAlignment="1">
      <alignment horizontal="left"/>
    </xf>
    <xf numFmtId="0" fontId="62" fillId="0" borderId="10" xfId="0" applyFont="1" applyBorder="1" applyAlignment="1">
      <alignment horizontal="left"/>
    </xf>
    <xf numFmtId="0" fontId="63" fillId="0" borderId="3" xfId="0" applyFont="1" applyBorder="1" applyAlignment="1">
      <alignment horizontal="left"/>
    </xf>
    <xf numFmtId="0" fontId="63" fillId="0" borderId="4" xfId="0" applyFont="1" applyBorder="1" applyAlignment="1">
      <alignment horizontal="left"/>
    </xf>
    <xf numFmtId="0" fontId="62" fillId="9" borderId="1" xfId="0" applyFont="1" applyFill="1" applyBorder="1" applyAlignment="1">
      <alignment horizontal="left"/>
    </xf>
    <xf numFmtId="0" fontId="62" fillId="9" borderId="11" xfId="0" applyFont="1" applyFill="1" applyBorder="1" applyAlignment="1">
      <alignment horizontal="left"/>
    </xf>
    <xf numFmtId="0" fontId="0" fillId="0" borderId="25" xfId="0" applyBorder="1" applyAlignment="1">
      <alignment horizontal="left"/>
    </xf>
    <xf numFmtId="0" fontId="1" fillId="0" borderId="26" xfId="0" applyFont="1" applyBorder="1" applyAlignment="1">
      <alignment horizontal="left"/>
    </xf>
    <xf numFmtId="0" fontId="0" fillId="0" borderId="3" xfId="0" applyBorder="1" applyAlignment="1">
      <alignment horizontal="left"/>
    </xf>
    <xf numFmtId="0" fontId="1" fillId="0" borderId="4" xfId="0" applyFont="1" applyBorder="1" applyAlignment="1">
      <alignment horizontal="left"/>
    </xf>
    <xf numFmtId="0" fontId="0" fillId="0" borderId="12" xfId="0" applyBorder="1" applyAlignment="1">
      <alignment horizontal="left"/>
    </xf>
    <xf numFmtId="0" fontId="1" fillId="0" borderId="13" xfId="0" applyFont="1" applyBorder="1" applyAlignment="1">
      <alignment horizontal="left"/>
    </xf>
    <xf numFmtId="0" fontId="61" fillId="0" borderId="4" xfId="0" applyFont="1" applyBorder="1" applyAlignment="1">
      <alignment horizontal="center" wrapText="1"/>
    </xf>
    <xf numFmtId="0" fontId="60" fillId="2" borderId="3" xfId="0" applyFont="1" applyFill="1" applyBorder="1" applyAlignment="1">
      <alignment horizontal="left"/>
    </xf>
    <xf numFmtId="0" fontId="60" fillId="2" borderId="4" xfId="0" applyFont="1" applyFill="1" applyBorder="1" applyAlignment="1">
      <alignment horizontal="left"/>
    </xf>
    <xf numFmtId="0" fontId="63" fillId="0" borderId="6" xfId="0" applyFont="1" applyBorder="1" applyAlignment="1">
      <alignment horizontal="left" indent="2"/>
    </xf>
    <xf numFmtId="0" fontId="63" fillId="0" borderId="10" xfId="0" applyFont="1" applyBorder="1" applyAlignment="1">
      <alignment horizontal="left" indent="2"/>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xfId="332" builtinId="4"/>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Americas Segment Metrics</a:t>
            </a:r>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Model'!$B$48:$C$48</c:f>
              <c:strCache>
                <c:ptCount val="2"/>
                <c:pt idx="0">
                  <c:v>Americas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Model'!$G$45,'Earnings Model'!$I$45,'Earnings Model'!$J$45,'Earnings Model'!$K$45,'Earnings Model'!$L$45,'Earnings Model'!$N$45,'Earnings Model'!$O$45,'Earnings Model'!$P$45)</c:f>
              <c:strCache>
                <c:ptCount val="8"/>
                <c:pt idx="0">
                  <c:v> Sept-19E </c:v>
                </c:pt>
                <c:pt idx="1">
                  <c:v> Dec-19E </c:v>
                </c:pt>
                <c:pt idx="2">
                  <c:v> Mar-20E </c:v>
                </c:pt>
                <c:pt idx="3">
                  <c:v> June-20E </c:v>
                </c:pt>
                <c:pt idx="4">
                  <c:v> Sept-20E </c:v>
                </c:pt>
                <c:pt idx="5">
                  <c:v> Dec-20E </c:v>
                </c:pt>
                <c:pt idx="6">
                  <c:v> Mar-21E </c:v>
                </c:pt>
                <c:pt idx="7">
                  <c:v> June-21E </c:v>
                </c:pt>
              </c:strCache>
            </c:strRef>
          </c:cat>
          <c:val>
            <c:numRef>
              <c:f>('Earnings Model'!$G$48,'Earnings Model'!$I$48,'Earnings Model'!$J$48,'Earnings Model'!$K$48,'Earnings Model'!$L$48,'Earnings Model'!$N$48,'Earnings Model'!$O$48,'Earnings Model'!$P$48)</c:f>
              <c:numCache>
                <c:formatCode>_(* #,##0_);_(* \(#,##0\);_(* "-"??_);_(@_)</c:formatCode>
                <c:ptCount val="8"/>
                <c:pt idx="0">
                  <c:v>9974</c:v>
                </c:pt>
                <c:pt idx="1">
                  <c:v>10020</c:v>
                </c:pt>
                <c:pt idx="2">
                  <c:v>10051</c:v>
                </c:pt>
                <c:pt idx="3">
                  <c:v>10017</c:v>
                </c:pt>
                <c:pt idx="4">
                  <c:v>10079</c:v>
                </c:pt>
                <c:pt idx="5">
                  <c:v>10105.25</c:v>
                </c:pt>
                <c:pt idx="6">
                  <c:v>10126.5625</c:v>
                </c:pt>
                <c:pt idx="7">
                  <c:v>10145.453125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Model'!$B$77</c:f>
              <c:strCache>
                <c:ptCount val="1"/>
                <c:pt idx="0">
                  <c:v>Americas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Model'!$G$11,'Earnings Model'!$I$11,'Earnings Model'!$J$11,'Earnings Model'!$K$11,'Earnings Model'!$L$11,'Earnings Model'!$N$11,'Earnings Model'!$O$11,'Earnings Model'!$P$11)</c:f>
              <c:strCache>
                <c:ptCount val="8"/>
                <c:pt idx="0">
                  <c:v> Sept-19E </c:v>
                </c:pt>
                <c:pt idx="1">
                  <c:v> Dec-19E </c:v>
                </c:pt>
                <c:pt idx="2">
                  <c:v> Mar-20E </c:v>
                </c:pt>
                <c:pt idx="3">
                  <c:v> June-20E </c:v>
                </c:pt>
                <c:pt idx="4">
                  <c:v> Sept-20E </c:v>
                </c:pt>
                <c:pt idx="5">
                  <c:v> Dec-20E </c:v>
                </c:pt>
                <c:pt idx="6">
                  <c:v> Mar-21E </c:v>
                </c:pt>
                <c:pt idx="7">
                  <c:v> June-21E </c:v>
                </c:pt>
              </c:strCache>
            </c:strRef>
          </c:cat>
          <c:val>
            <c:numRef>
              <c:f>('Earnings Model'!$G$77,'Earnings Model'!$I$77,'Earnings Model'!$J$77,'Earnings Model'!$K$77,'Earnings Model'!$L$77,'Earnings Model'!$N$77,'Earnings Model'!$O$77,'Earnings Model'!$P$77)</c:f>
              <c:numCache>
                <c:formatCode>0.0%</c:formatCode>
                <c:ptCount val="8"/>
                <c:pt idx="0">
                  <c:v>0.20185320548652022</c:v>
                </c:pt>
                <c:pt idx="1">
                  <c:v>0.21928196531561192</c:v>
                </c:pt>
                <c:pt idx="2">
                  <c:v>0.14346420323325632</c:v>
                </c:pt>
                <c:pt idx="3">
                  <c:v>-0.14432364997326666</c:v>
                </c:pt>
                <c:pt idx="4">
                  <c:v>0.11375902126195796</c:v>
                </c:pt>
                <c:pt idx="5">
                  <c:v>0.14725143769318866</c:v>
                </c:pt>
                <c:pt idx="6">
                  <c:v>0.140890017195789</c:v>
                </c:pt>
                <c:pt idx="7">
                  <c:v>0.17247917534629895</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5" Type="http://schemas.openxmlformats.org/officeDocument/2006/relationships/image" Target="../media/image5.tmp"/><Relationship Id="rId4" Type="http://schemas.openxmlformats.org/officeDocument/2006/relationships/image" Target="../media/image4.tmp"/></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xdr:from>
      <xdr:col>1</xdr:col>
      <xdr:colOff>236802</xdr:colOff>
      <xdr:row>181</xdr:row>
      <xdr:rowOff>0</xdr:rowOff>
    </xdr:from>
    <xdr:to>
      <xdr:col>3</xdr:col>
      <xdr:colOff>0</xdr:colOff>
      <xdr:row>181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238</xdr:row>
      <xdr:rowOff>0</xdr:rowOff>
    </xdr:from>
    <xdr:to>
      <xdr:col>3</xdr:col>
      <xdr:colOff>0</xdr:colOff>
      <xdr:row>238</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285</xdr:row>
      <xdr:rowOff>0</xdr:rowOff>
    </xdr:from>
    <xdr:to>
      <xdr:col>3</xdr:col>
      <xdr:colOff>0</xdr:colOff>
      <xdr:row>285</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45</xdr:row>
      <xdr:rowOff>0</xdr:rowOff>
    </xdr:from>
    <xdr:to>
      <xdr:col>3</xdr:col>
      <xdr:colOff>0</xdr:colOff>
      <xdr:row>45</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222</xdr:row>
      <xdr:rowOff>0</xdr:rowOff>
    </xdr:from>
    <xdr:to>
      <xdr:col>3</xdr:col>
      <xdr:colOff>0</xdr:colOff>
      <xdr:row>222</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208551</xdr:colOff>
      <xdr:row>7</xdr:row>
      <xdr:rowOff>57150</xdr:rowOff>
    </xdr:from>
    <xdr:to>
      <xdr:col>17</xdr:col>
      <xdr:colOff>362120</xdr:colOff>
      <xdr:row>31</xdr:row>
      <xdr:rowOff>38100</xdr:rowOff>
    </xdr:to>
    <xdr:pic>
      <xdr:nvPicPr>
        <xdr:cNvPr id="2" name="Picture 1">
          <a:extLst>
            <a:ext uri="{FF2B5EF4-FFF2-40B4-BE49-F238E27FC236}">
              <a16:creationId xmlns:a16="http://schemas.microsoft.com/office/drawing/2014/main" id="{F7CADE78-960B-4DAF-BB71-DEEB8FD7A0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551" y="1390650"/>
          <a:ext cx="10516769" cy="4552950"/>
        </a:xfrm>
        <a:prstGeom prst="rect">
          <a:avLst/>
        </a:prstGeom>
      </xdr:spPr>
    </xdr:pic>
    <xdr:clientData/>
  </xdr:twoCellAnchor>
  <xdr:twoCellAnchor editAs="oneCell">
    <xdr:from>
      <xdr:col>0</xdr:col>
      <xdr:colOff>76200</xdr:colOff>
      <xdr:row>31</xdr:row>
      <xdr:rowOff>15821</xdr:rowOff>
    </xdr:from>
    <xdr:to>
      <xdr:col>17</xdr:col>
      <xdr:colOff>259330</xdr:colOff>
      <xdr:row>42</xdr:row>
      <xdr:rowOff>123825</xdr:rowOff>
    </xdr:to>
    <xdr:pic>
      <xdr:nvPicPr>
        <xdr:cNvPr id="3" name="Picture 2">
          <a:extLst>
            <a:ext uri="{FF2B5EF4-FFF2-40B4-BE49-F238E27FC236}">
              <a16:creationId xmlns:a16="http://schemas.microsoft.com/office/drawing/2014/main" id="{81FDD595-FA99-485B-BD80-53F44B2EEB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 y="5921321"/>
          <a:ext cx="10546330" cy="2203504"/>
        </a:xfrm>
        <a:prstGeom prst="rect">
          <a:avLst/>
        </a:prstGeom>
      </xdr:spPr>
    </xdr:pic>
    <xdr:clientData/>
  </xdr:twoCellAnchor>
  <xdr:twoCellAnchor editAs="oneCell">
    <xdr:from>
      <xdr:col>17</xdr:col>
      <xdr:colOff>544098</xdr:colOff>
      <xdr:row>4</xdr:row>
      <xdr:rowOff>19050</xdr:rowOff>
    </xdr:from>
    <xdr:to>
      <xdr:col>36</xdr:col>
      <xdr:colOff>314325</xdr:colOff>
      <xdr:row>29</xdr:row>
      <xdr:rowOff>15892</xdr:rowOff>
    </xdr:to>
    <xdr:pic>
      <xdr:nvPicPr>
        <xdr:cNvPr id="4" name="Picture 3">
          <a:extLst>
            <a:ext uri="{FF2B5EF4-FFF2-40B4-BE49-F238E27FC236}">
              <a16:creationId xmlns:a16="http://schemas.microsoft.com/office/drawing/2014/main" id="{5FFAC0E3-BEDB-4638-8797-B0C2771166D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907298" y="781050"/>
          <a:ext cx="11352627" cy="4759342"/>
        </a:xfrm>
        <a:prstGeom prst="rect">
          <a:avLst/>
        </a:prstGeom>
      </xdr:spPr>
    </xdr:pic>
    <xdr:clientData/>
  </xdr:twoCellAnchor>
  <xdr:twoCellAnchor editAs="oneCell">
    <xdr:from>
      <xdr:col>17</xdr:col>
      <xdr:colOff>571499</xdr:colOff>
      <xdr:row>28</xdr:row>
      <xdr:rowOff>119881</xdr:rowOff>
    </xdr:from>
    <xdr:to>
      <xdr:col>38</xdr:col>
      <xdr:colOff>4654</xdr:colOff>
      <xdr:row>32</xdr:row>
      <xdr:rowOff>66675</xdr:rowOff>
    </xdr:to>
    <xdr:pic>
      <xdr:nvPicPr>
        <xdr:cNvPr id="5" name="Picture 4">
          <a:extLst>
            <a:ext uri="{FF2B5EF4-FFF2-40B4-BE49-F238E27FC236}">
              <a16:creationId xmlns:a16="http://schemas.microsoft.com/office/drawing/2014/main" id="{855CC9EF-4246-453E-BD3B-2E2968034E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934699" y="5453881"/>
          <a:ext cx="12234755" cy="708794"/>
        </a:xfrm>
        <a:prstGeom prst="rect">
          <a:avLst/>
        </a:prstGeom>
      </xdr:spPr>
    </xdr:pic>
    <xdr:clientData/>
  </xdr:twoCellAnchor>
  <xdr:twoCellAnchor editAs="oneCell">
    <xdr:from>
      <xdr:col>18</xdr:col>
      <xdr:colOff>0</xdr:colOff>
      <xdr:row>32</xdr:row>
      <xdr:rowOff>45318</xdr:rowOff>
    </xdr:from>
    <xdr:to>
      <xdr:col>36</xdr:col>
      <xdr:colOff>583023</xdr:colOff>
      <xdr:row>48</xdr:row>
      <xdr:rowOff>95786</xdr:rowOff>
    </xdr:to>
    <xdr:pic>
      <xdr:nvPicPr>
        <xdr:cNvPr id="6" name="Picture 5">
          <a:extLst>
            <a:ext uri="{FF2B5EF4-FFF2-40B4-BE49-F238E27FC236}">
              <a16:creationId xmlns:a16="http://schemas.microsoft.com/office/drawing/2014/main" id="{160018C3-BA0D-48F6-92D3-6DA9FD934EB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972800" y="6141318"/>
          <a:ext cx="11555823" cy="30984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E9427-692F-478D-9680-5C669F95B8B1}">
  <dimension ref="B2:B21"/>
  <sheetViews>
    <sheetView showGridLines="0" topLeftCell="A4" workbookViewId="0">
      <selection activeCell="B11" sqref="B11"/>
    </sheetView>
  </sheetViews>
  <sheetFormatPr defaultColWidth="8.85546875" defaultRowHeight="15"/>
  <cols>
    <col min="1" max="1" width="2" customWidth="1"/>
    <col min="2" max="2" width="182.7109375" customWidth="1"/>
  </cols>
  <sheetData>
    <row r="2" spans="2:2" ht="21">
      <c r="B2" s="283" t="s">
        <v>261</v>
      </c>
    </row>
    <row r="3" spans="2:2" ht="135">
      <c r="B3" s="284" t="s">
        <v>262</v>
      </c>
    </row>
    <row r="4" spans="2:2" ht="45">
      <c r="B4" s="285" t="s">
        <v>263</v>
      </c>
    </row>
    <row r="5" spans="2:2" ht="30">
      <c r="B5" s="285" t="s">
        <v>276</v>
      </c>
    </row>
    <row r="6" spans="2:2" ht="120">
      <c r="B6" s="285" t="s">
        <v>264</v>
      </c>
    </row>
    <row r="7" spans="2:2" ht="30">
      <c r="B7" s="285" t="s">
        <v>279</v>
      </c>
    </row>
    <row r="8" spans="2:2" ht="242.1" customHeight="1">
      <c r="B8" s="293" t="s">
        <v>328</v>
      </c>
    </row>
    <row r="9" spans="2:2" ht="30">
      <c r="B9" s="285" t="s">
        <v>265</v>
      </c>
    </row>
    <row r="10" spans="2:2">
      <c r="B10" s="285" t="s">
        <v>266</v>
      </c>
    </row>
    <row r="11" spans="2:2" ht="67.5" customHeight="1">
      <c r="B11" s="290" t="s">
        <v>267</v>
      </c>
    </row>
    <row r="12" spans="2:2">
      <c r="B12" s="284" t="s">
        <v>277</v>
      </c>
    </row>
    <row r="13" spans="2:2">
      <c r="B13" s="285" t="s">
        <v>268</v>
      </c>
    </row>
    <row r="14" spans="2:2" ht="45">
      <c r="B14" s="284" t="s">
        <v>269</v>
      </c>
    </row>
    <row r="15" spans="2:2">
      <c r="B15" s="291" t="s">
        <v>270</v>
      </c>
    </row>
    <row r="16" spans="2:2">
      <c r="B16" s="286" t="s">
        <v>271</v>
      </c>
    </row>
    <row r="17" spans="2:2">
      <c r="B17" s="286" t="s">
        <v>272</v>
      </c>
    </row>
    <row r="18" spans="2:2" ht="155.25" customHeight="1">
      <c r="B18" s="292" t="s">
        <v>273</v>
      </c>
    </row>
    <row r="19" spans="2:2">
      <c r="B19" s="287" t="s">
        <v>274</v>
      </c>
    </row>
    <row r="20" spans="2:2">
      <c r="B20" s="288" t="s">
        <v>275</v>
      </c>
    </row>
    <row r="21" spans="2:2">
      <c r="B21" s="289"/>
    </row>
  </sheetData>
  <hyperlinks>
    <hyperlink ref="B20" r:id="rId1" xr:uid="{D61DA783-4822-4D3E-A4AE-36E83ED535A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D334"/>
  <sheetViews>
    <sheetView showGridLines="0" tabSelected="1" topLeftCell="B1" zoomScaleNormal="100" workbookViewId="0">
      <pane xSplit="2" ySplit="12" topLeftCell="D13" activePane="bottomRight" state="frozen"/>
      <selection activeCell="B1" sqref="B1"/>
      <selection pane="topRight" activeCell="D1" sqref="D1"/>
      <selection pane="bottomLeft" activeCell="B13" sqref="B13"/>
      <selection pane="bottomRight" activeCell="D13" sqref="D13"/>
    </sheetView>
  </sheetViews>
  <sheetFormatPr defaultColWidth="8.85546875" defaultRowHeight="15" outlineLevelRow="1" outlineLevelCol="1"/>
  <cols>
    <col min="1" max="1" width="3.140625" style="4" hidden="1" customWidth="1"/>
    <col min="2" max="2" width="43.42578125" style="4" customWidth="1"/>
    <col min="3" max="3" width="15.140625" style="4" customWidth="1"/>
    <col min="4" max="5" width="11.42578125" style="3" customWidth="1" outlineLevel="1"/>
    <col min="6" max="6" width="11.42578125" style="11" customWidth="1" outlineLevel="1"/>
    <col min="7" max="7" width="10" style="11" customWidth="1" outlineLevel="1"/>
    <col min="8" max="8" width="11.42578125" style="11" customWidth="1"/>
    <col min="9" max="10" width="11.42578125" style="3" customWidth="1" outlineLevel="1"/>
    <col min="11" max="12" width="11.42578125" style="11" customWidth="1" outlineLevel="1"/>
    <col min="13" max="13" width="11.42578125" style="11" customWidth="1"/>
    <col min="14" max="15" width="11.42578125" style="3" customWidth="1" outlineLevel="1"/>
    <col min="16" max="17" width="11.42578125" style="11" customWidth="1" outlineLevel="1"/>
    <col min="18" max="18" width="11.42578125" style="11" customWidth="1"/>
    <col min="19" max="20" width="11.42578125" style="3" customWidth="1" outlineLevel="1"/>
    <col min="21" max="22" width="11.42578125" style="11" customWidth="1" outlineLevel="1"/>
    <col min="23" max="23" width="11.42578125" style="11" customWidth="1"/>
    <col min="24" max="25" width="11.42578125" style="3" customWidth="1" outlineLevel="1"/>
    <col min="26" max="27" width="11.42578125" style="11" customWidth="1" outlineLevel="1"/>
    <col min="28" max="28" width="11.42578125" style="11" customWidth="1"/>
    <col min="29" max="30" width="11.42578125" style="3" customWidth="1" outlineLevel="1"/>
    <col min="31" max="32" width="11.42578125" style="11" customWidth="1" outlineLevel="1"/>
    <col min="33" max="33" width="11.42578125" style="11" customWidth="1"/>
    <col min="34" max="35" width="11.42578125" style="3" customWidth="1" outlineLevel="1"/>
    <col min="36" max="37" width="11.42578125" style="11" customWidth="1" outlineLevel="1"/>
    <col min="38" max="38" width="11.42578125" style="11" customWidth="1"/>
    <col min="39" max="16384" width="8.85546875" style="4"/>
  </cols>
  <sheetData>
    <row r="1" spans="1:56" ht="9" customHeight="1">
      <c r="B1" s="296" t="s">
        <v>57</v>
      </c>
    </row>
    <row r="2" spans="1:56" ht="45" customHeight="1">
      <c r="B2" s="567" t="s">
        <v>56</v>
      </c>
      <c r="C2" s="568"/>
      <c r="N2" s="11"/>
    </row>
    <row r="3" spans="1:56">
      <c r="B3" s="578" t="s">
        <v>394</v>
      </c>
      <c r="C3" s="579"/>
    </row>
    <row r="4" spans="1:56">
      <c r="B4" s="551" t="s">
        <v>363</v>
      </c>
      <c r="C4" s="552"/>
      <c r="BD4" s="296" t="s">
        <v>57</v>
      </c>
    </row>
    <row r="5" spans="1:56" hidden="1">
      <c r="B5" s="553" t="s">
        <v>362</v>
      </c>
      <c r="C5" s="554"/>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1:56" ht="14.45" customHeight="1">
      <c r="B6" s="126" t="s">
        <v>51</v>
      </c>
      <c r="C6" s="127">
        <f>C299</f>
        <v>68.559551052800231</v>
      </c>
      <c r="D6" s="12"/>
      <c r="E6" s="132"/>
      <c r="F6" s="131"/>
      <c r="G6" s="12"/>
      <c r="H6" s="13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56" ht="14.45" customHeight="1">
      <c r="B7" s="92" t="s">
        <v>52</v>
      </c>
      <c r="C7" s="120">
        <f>C326</f>
        <v>80.327750464807664</v>
      </c>
      <c r="D7" s="50"/>
      <c r="E7" s="132"/>
      <c r="F7" s="131"/>
      <c r="G7" s="50"/>
      <c r="H7" s="132"/>
      <c r="I7" s="50"/>
      <c r="J7" s="50"/>
      <c r="K7" s="50"/>
      <c r="L7" s="50"/>
      <c r="M7" s="50"/>
      <c r="N7" s="50"/>
      <c r="O7" s="50"/>
      <c r="P7" s="50"/>
      <c r="Q7" s="50"/>
      <c r="R7" s="50"/>
      <c r="S7" s="50"/>
      <c r="T7" s="50"/>
      <c r="U7" s="50"/>
      <c r="V7" s="50"/>
      <c r="W7" s="50"/>
      <c r="X7" s="50"/>
      <c r="Y7" s="50"/>
      <c r="Z7" s="50"/>
      <c r="AA7" s="50"/>
      <c r="AB7" s="61"/>
      <c r="AC7" s="50"/>
      <c r="AD7" s="50"/>
      <c r="AE7" s="50"/>
      <c r="AF7" s="50"/>
      <c r="AG7" s="61"/>
      <c r="AH7" s="50"/>
      <c r="AI7" s="50"/>
      <c r="AJ7" s="50"/>
      <c r="AK7" s="50"/>
      <c r="AL7" s="61"/>
    </row>
    <row r="8" spans="1:56" ht="14.45" customHeight="1">
      <c r="B8" s="92" t="s">
        <v>67</v>
      </c>
      <c r="C8" s="124">
        <f>(0.5*C6)+(0.5*C7)</f>
        <v>74.443650758803955</v>
      </c>
      <c r="D8" s="38"/>
      <c r="E8" s="132"/>
      <c r="F8" s="152"/>
      <c r="G8" s="152"/>
      <c r="H8" s="38"/>
      <c r="I8" s="152"/>
      <c r="J8" s="152"/>
      <c r="K8" s="61"/>
      <c r="L8" s="38"/>
      <c r="M8" s="38"/>
      <c r="N8" s="38"/>
      <c r="O8" s="38"/>
      <c r="P8" s="38"/>
      <c r="Q8" s="61"/>
      <c r="R8" s="38"/>
      <c r="S8" s="38"/>
      <c r="T8" s="38"/>
      <c r="U8" s="38"/>
      <c r="V8" s="38"/>
      <c r="W8" s="38"/>
      <c r="X8" s="38"/>
      <c r="Y8" s="38"/>
      <c r="Z8" s="38"/>
      <c r="AA8" s="38"/>
      <c r="AB8" s="123"/>
      <c r="AC8" s="38"/>
      <c r="AD8" s="38"/>
      <c r="AE8" s="38"/>
      <c r="AF8" s="38"/>
      <c r="AG8" s="123"/>
      <c r="AH8" s="38"/>
      <c r="AI8" s="38"/>
      <c r="AJ8" s="38"/>
      <c r="AK8" s="38"/>
      <c r="AL8" s="123"/>
    </row>
    <row r="9" spans="1:56" ht="14.45" customHeight="1">
      <c r="B9" s="468" t="s">
        <v>68</v>
      </c>
      <c r="C9" s="125" t="str">
        <f>TEXT(C333,"$0")&amp;" to "&amp;TEXT(C332,"$0")</f>
        <v>$62 to $85</v>
      </c>
      <c r="D9" s="185"/>
      <c r="E9" s="320"/>
      <c r="F9" s="153"/>
      <c r="G9" s="153"/>
      <c r="H9" s="50"/>
      <c r="I9" s="153"/>
      <c r="J9" s="153"/>
      <c r="K9" s="50"/>
      <c r="L9" s="153"/>
      <c r="M9" s="494" t="s">
        <v>390</v>
      </c>
      <c r="N9" s="495">
        <f>N27+N20</f>
        <v>1272.4428725955627</v>
      </c>
      <c r="O9" s="495">
        <f t="shared" ref="O9:Q9" si="0">O27+O20</f>
        <v>1078.667337627247</v>
      </c>
      <c r="P9" s="495">
        <f t="shared" si="0"/>
        <v>1239.0422731994745</v>
      </c>
      <c r="Q9" s="495">
        <f t="shared" si="0"/>
        <v>1634.3913865959162</v>
      </c>
      <c r="R9" s="495">
        <f>R27+R20</f>
        <v>5224.5438700181985</v>
      </c>
      <c r="S9" s="61"/>
      <c r="T9" s="61"/>
      <c r="U9" s="61"/>
      <c r="V9" s="153"/>
      <c r="W9" s="61"/>
      <c r="X9" s="61"/>
      <c r="Y9" s="61"/>
      <c r="Z9" s="61"/>
      <c r="AA9" s="61"/>
      <c r="AB9" s="321"/>
      <c r="AC9" s="61"/>
      <c r="AD9" s="61"/>
      <c r="AE9" s="61"/>
      <c r="AF9" s="61"/>
      <c r="AG9" s="321"/>
      <c r="AH9" s="61"/>
      <c r="AI9" s="61"/>
      <c r="AJ9" s="61"/>
      <c r="AK9" s="61"/>
      <c r="AL9" s="321"/>
    </row>
    <row r="10" spans="1:56" ht="9.6" customHeight="1">
      <c r="B10" s="296" t="s">
        <v>57</v>
      </c>
      <c r="D10" s="171"/>
      <c r="E10" s="435"/>
      <c r="F10" s="435"/>
      <c r="G10" s="435"/>
      <c r="H10" s="435"/>
      <c r="I10" s="435"/>
      <c r="J10" s="435"/>
      <c r="K10" s="454"/>
      <c r="L10" s="435"/>
      <c r="N10" s="435"/>
      <c r="O10" s="435"/>
      <c r="P10" s="435"/>
      <c r="Q10" s="435"/>
      <c r="R10" s="435"/>
      <c r="S10" s="435"/>
      <c r="T10" s="435"/>
      <c r="U10" s="435"/>
      <c r="V10" s="435"/>
      <c r="W10" s="454"/>
      <c r="X10" s="435"/>
      <c r="Y10" s="435"/>
      <c r="Z10" s="435"/>
      <c r="AA10" s="435"/>
      <c r="AB10" s="435"/>
      <c r="AC10" s="435"/>
      <c r="AD10" s="435"/>
      <c r="AE10" s="435"/>
      <c r="AF10" s="435"/>
      <c r="AG10" s="435"/>
      <c r="AH10" s="435"/>
      <c r="AI10" s="435"/>
      <c r="AJ10" s="435"/>
      <c r="AK10" s="435"/>
      <c r="AL10" s="435"/>
    </row>
    <row r="11" spans="1:56" ht="15.75">
      <c r="A11" s="586"/>
      <c r="B11" s="524" t="s">
        <v>120</v>
      </c>
      <c r="C11" s="525"/>
      <c r="D11" s="35" t="s">
        <v>110</v>
      </c>
      <c r="E11" s="35" t="s">
        <v>282</v>
      </c>
      <c r="F11" s="35" t="s">
        <v>284</v>
      </c>
      <c r="G11" s="35" t="s">
        <v>124</v>
      </c>
      <c r="H11" s="102" t="s">
        <v>124</v>
      </c>
      <c r="I11" s="35" t="s">
        <v>125</v>
      </c>
      <c r="J11" s="35" t="s">
        <v>126</v>
      </c>
      <c r="K11" s="35" t="s">
        <v>127</v>
      </c>
      <c r="L11" s="37" t="s">
        <v>128</v>
      </c>
      <c r="M11" s="105" t="s">
        <v>128</v>
      </c>
      <c r="N11" s="37" t="s">
        <v>129</v>
      </c>
      <c r="O11" s="37" t="s">
        <v>130</v>
      </c>
      <c r="P11" s="37" t="s">
        <v>131</v>
      </c>
      <c r="Q11" s="37" t="s">
        <v>132</v>
      </c>
      <c r="R11" s="105" t="s">
        <v>132</v>
      </c>
      <c r="S11" s="37" t="s">
        <v>133</v>
      </c>
      <c r="T11" s="37" t="s">
        <v>134</v>
      </c>
      <c r="U11" s="37" t="s">
        <v>135</v>
      </c>
      <c r="V11" s="37" t="s">
        <v>136</v>
      </c>
      <c r="W11" s="105" t="s">
        <v>136</v>
      </c>
      <c r="X11" s="37" t="s">
        <v>137</v>
      </c>
      <c r="Y11" s="37" t="s">
        <v>138</v>
      </c>
      <c r="Z11" s="37" t="s">
        <v>139</v>
      </c>
      <c r="AA11" s="37" t="s">
        <v>140</v>
      </c>
      <c r="AB11" s="105" t="s">
        <v>140</v>
      </c>
      <c r="AC11" s="37" t="s">
        <v>286</v>
      </c>
      <c r="AD11" s="37" t="s">
        <v>287</v>
      </c>
      <c r="AE11" s="37" t="s">
        <v>288</v>
      </c>
      <c r="AF11" s="37" t="s">
        <v>289</v>
      </c>
      <c r="AG11" s="105" t="s">
        <v>289</v>
      </c>
      <c r="AH11" s="37" t="s">
        <v>319</v>
      </c>
      <c r="AI11" s="37" t="s">
        <v>320</v>
      </c>
      <c r="AJ11" s="37" t="s">
        <v>321</v>
      </c>
      <c r="AK11" s="37" t="s">
        <v>322</v>
      </c>
      <c r="AL11" s="105" t="s">
        <v>322</v>
      </c>
    </row>
    <row r="12" spans="1:56" ht="17.45" customHeight="1">
      <c r="A12" s="586"/>
      <c r="B12" s="528" t="s">
        <v>3</v>
      </c>
      <c r="C12" s="529"/>
      <c r="D12" s="36" t="s">
        <v>123</v>
      </c>
      <c r="E12" s="36" t="s">
        <v>281</v>
      </c>
      <c r="F12" s="36" t="s">
        <v>285</v>
      </c>
      <c r="G12" s="36" t="s">
        <v>295</v>
      </c>
      <c r="H12" s="103" t="s">
        <v>296</v>
      </c>
      <c r="I12" s="36" t="s">
        <v>297</v>
      </c>
      <c r="J12" s="36" t="s">
        <v>298</v>
      </c>
      <c r="K12" s="36" t="s">
        <v>299</v>
      </c>
      <c r="L12" s="34" t="s">
        <v>141</v>
      </c>
      <c r="M12" s="106" t="s">
        <v>142</v>
      </c>
      <c r="N12" s="34" t="s">
        <v>143</v>
      </c>
      <c r="O12" s="34" t="s">
        <v>144</v>
      </c>
      <c r="P12" s="34" t="s">
        <v>145</v>
      </c>
      <c r="Q12" s="34" t="s">
        <v>146</v>
      </c>
      <c r="R12" s="106" t="s">
        <v>147</v>
      </c>
      <c r="S12" s="34" t="s">
        <v>148</v>
      </c>
      <c r="T12" s="34" t="s">
        <v>149</v>
      </c>
      <c r="U12" s="34" t="s">
        <v>150</v>
      </c>
      <c r="V12" s="34" t="s">
        <v>151</v>
      </c>
      <c r="W12" s="106" t="s">
        <v>152</v>
      </c>
      <c r="X12" s="34" t="s">
        <v>153</v>
      </c>
      <c r="Y12" s="34" t="s">
        <v>154</v>
      </c>
      <c r="Z12" s="34" t="s">
        <v>155</v>
      </c>
      <c r="AA12" s="34" t="s">
        <v>156</v>
      </c>
      <c r="AB12" s="106" t="s">
        <v>157</v>
      </c>
      <c r="AC12" s="34" t="s">
        <v>290</v>
      </c>
      <c r="AD12" s="34" t="s">
        <v>291</v>
      </c>
      <c r="AE12" s="34" t="s">
        <v>292</v>
      </c>
      <c r="AF12" s="34" t="s">
        <v>293</v>
      </c>
      <c r="AG12" s="106" t="s">
        <v>294</v>
      </c>
      <c r="AH12" s="34" t="s">
        <v>323</v>
      </c>
      <c r="AI12" s="34" t="s">
        <v>324</v>
      </c>
      <c r="AJ12" s="34" t="s">
        <v>325</v>
      </c>
      <c r="AK12" s="34" t="s">
        <v>326</v>
      </c>
      <c r="AL12" s="106" t="s">
        <v>327</v>
      </c>
    </row>
    <row r="13" spans="1:56" outlineLevel="1">
      <c r="A13" s="297"/>
      <c r="B13" s="561" t="s">
        <v>301</v>
      </c>
      <c r="C13" s="562"/>
      <c r="D13" s="304">
        <v>5370.3</v>
      </c>
      <c r="E13" s="304">
        <v>5159</v>
      </c>
      <c r="F13" s="304">
        <v>5535</v>
      </c>
      <c r="G13" s="304">
        <f>H13-F13-E13-D13</f>
        <v>5480.1000000000013</v>
      </c>
      <c r="H13" s="317">
        <v>21544.400000000001</v>
      </c>
      <c r="I13" s="304">
        <v>5780.7</v>
      </c>
      <c r="J13" s="304">
        <v>4766</v>
      </c>
      <c r="K13" s="304">
        <v>3444.4</v>
      </c>
      <c r="L13" s="304">
        <f>+L56+L89</f>
        <v>4907.9344999999994</v>
      </c>
      <c r="M13" s="191">
        <f>SUM(I13:L13)</f>
        <v>18899.034500000002</v>
      </c>
      <c r="N13" s="190">
        <f>+N56+N89</f>
        <v>5442.4555514536041</v>
      </c>
      <c r="O13" s="190">
        <f t="shared" ref="O13:Q13" si="1">+O56+O89</f>
        <v>4343.3199699093275</v>
      </c>
      <c r="P13" s="190">
        <f t="shared" si="1"/>
        <v>4582.6119418694834</v>
      </c>
      <c r="Q13" s="190">
        <f t="shared" si="1"/>
        <v>6158.8884505859378</v>
      </c>
      <c r="R13" s="191">
        <f>SUM(N13:Q13)</f>
        <v>20527.275913818354</v>
      </c>
      <c r="S13" s="190">
        <f t="shared" ref="S13:V13" si="2">+S56+S89</f>
        <v>6224.3375443243704</v>
      </c>
      <c r="T13" s="190">
        <f t="shared" si="2"/>
        <v>4774.0724110805113</v>
      </c>
      <c r="U13" s="190">
        <f t="shared" si="2"/>
        <v>4987.8974610438199</v>
      </c>
      <c r="V13" s="190">
        <f t="shared" si="2"/>
        <v>6566.0479724591696</v>
      </c>
      <c r="W13" s="191">
        <f>SUM(S13:V13)</f>
        <v>22552.355388907868</v>
      </c>
      <c r="X13" s="190">
        <f t="shared" ref="X13:AA13" si="3">+X56+X89</f>
        <v>6687.5801763477912</v>
      </c>
      <c r="Y13" s="190">
        <f t="shared" si="3"/>
        <v>5044.4773898466683</v>
      </c>
      <c r="Z13" s="190">
        <f t="shared" si="3"/>
        <v>5272.9433285432006</v>
      </c>
      <c r="AA13" s="190">
        <f t="shared" si="3"/>
        <v>6840.1027759179033</v>
      </c>
      <c r="AB13" s="191">
        <f>SUM(X13:AA13)</f>
        <v>23845.103670655568</v>
      </c>
      <c r="AC13" s="190">
        <f t="shared" ref="AC13:AF13" si="4">+AC56+AC89</f>
        <v>7154.2572304258229</v>
      </c>
      <c r="AD13" s="190">
        <f t="shared" si="4"/>
        <v>5314.7009259383658</v>
      </c>
      <c r="AE13" s="190">
        <f t="shared" si="4"/>
        <v>5566.9169271160172</v>
      </c>
      <c r="AF13" s="190">
        <f t="shared" si="4"/>
        <v>7189.6421506881852</v>
      </c>
      <c r="AG13" s="191">
        <f>SUM(AC13:AF13)</f>
        <v>25225.51723416839</v>
      </c>
      <c r="AH13" s="190">
        <f t="shared" ref="AH13:AK13" si="5">+AH56+AH89</f>
        <v>7643.2655483503095</v>
      </c>
      <c r="AI13" s="190">
        <f t="shared" si="5"/>
        <v>5635.263301184481</v>
      </c>
      <c r="AJ13" s="190">
        <f t="shared" si="5"/>
        <v>5913.1315758700157</v>
      </c>
      <c r="AK13" s="190">
        <f t="shared" si="5"/>
        <v>7649.8929729041784</v>
      </c>
      <c r="AL13" s="191">
        <f>SUM(AH13:AK13)</f>
        <v>26841.553398308984</v>
      </c>
    </row>
    <row r="14" spans="1:56" outlineLevel="1">
      <c r="A14" s="297"/>
      <c r="B14" s="561" t="s">
        <v>302</v>
      </c>
      <c r="C14" s="562"/>
      <c r="D14" s="304">
        <v>737.1</v>
      </c>
      <c r="E14" s="304">
        <v>678.2</v>
      </c>
      <c r="F14" s="304">
        <v>725</v>
      </c>
      <c r="G14" s="304">
        <f t="shared" ref="G14:G24" si="6">H14-F14-E14-D14</f>
        <v>734.69999999999993</v>
      </c>
      <c r="H14" s="317">
        <v>2875</v>
      </c>
      <c r="I14" s="304">
        <v>792</v>
      </c>
      <c r="J14" s="304">
        <v>689.8</v>
      </c>
      <c r="K14" s="304">
        <v>300.5</v>
      </c>
      <c r="L14" s="190">
        <f>+L63+L96</f>
        <v>648.22749999999996</v>
      </c>
      <c r="M14" s="191">
        <f t="shared" ref="M14:M15" si="7">SUM(I14:L14)</f>
        <v>2430.5275000000001</v>
      </c>
      <c r="N14" s="190">
        <f t="shared" ref="N14:Q14" si="8">+N63+N96</f>
        <v>464.82112499999999</v>
      </c>
      <c r="O14" s="190">
        <f t="shared" si="8"/>
        <v>434.77106249999997</v>
      </c>
      <c r="P14" s="190">
        <f t="shared" si="8"/>
        <v>488.30650781250006</v>
      </c>
      <c r="Q14" s="190">
        <f t="shared" si="8"/>
        <v>793.44894531249997</v>
      </c>
      <c r="R14" s="191">
        <f t="shared" ref="R14:R15" si="9">SUM(N14:Q14)</f>
        <v>2181.3476406250002</v>
      </c>
      <c r="S14" s="190">
        <f t="shared" ref="S14:V14" si="10">+S63+S96</f>
        <v>841.71794677734374</v>
      </c>
      <c r="T14" s="190">
        <f t="shared" si="10"/>
        <v>528.68395954589846</v>
      </c>
      <c r="U14" s="190">
        <f t="shared" si="10"/>
        <v>576.11175324401859</v>
      </c>
      <c r="V14" s="190">
        <f t="shared" si="10"/>
        <v>831.28135639343259</v>
      </c>
      <c r="W14" s="191">
        <f t="shared" ref="W14:W15" si="11">SUM(S14:V14)</f>
        <v>2777.7950159606935</v>
      </c>
      <c r="X14" s="190">
        <f t="shared" ref="X14:AA14" si="12">+X63+X96</f>
        <v>881.26891043186197</v>
      </c>
      <c r="Y14" s="190">
        <f t="shared" si="12"/>
        <v>555.73061681254012</v>
      </c>
      <c r="Z14" s="190">
        <f t="shared" si="12"/>
        <v>605.85824488671619</v>
      </c>
      <c r="AA14" s="190">
        <f t="shared" si="12"/>
        <v>872.96239719629216</v>
      </c>
      <c r="AB14" s="191">
        <f t="shared" ref="AB14:AB15" si="13">SUM(X14:AA14)</f>
        <v>2915.8201693274104</v>
      </c>
      <c r="AC14" s="190">
        <f t="shared" ref="AC14:AF14" si="14">+AC63+AC96</f>
        <v>953.59845764785314</v>
      </c>
      <c r="AD14" s="190">
        <f t="shared" si="14"/>
        <v>604.50339669268169</v>
      </c>
      <c r="AE14" s="190">
        <f t="shared" si="14"/>
        <v>659.54671730812868</v>
      </c>
      <c r="AF14" s="190">
        <f t="shared" si="14"/>
        <v>950.54964618536337</v>
      </c>
      <c r="AG14" s="191">
        <f t="shared" ref="AG14:AG15" si="15">SUM(AC14:AF14)</f>
        <v>3168.1982178340268</v>
      </c>
      <c r="AH14" s="190">
        <f t="shared" ref="AH14:AK14" si="16">+AH63+AH96</f>
        <v>1038.9508055302458</v>
      </c>
      <c r="AI14" s="190">
        <f t="shared" si="16"/>
        <v>659.44617552731575</v>
      </c>
      <c r="AJ14" s="190">
        <f t="shared" si="16"/>
        <v>718.96222367353516</v>
      </c>
      <c r="AK14" s="190">
        <f t="shared" si="16"/>
        <v>1034.7824404946316</v>
      </c>
      <c r="AL14" s="191">
        <f t="shared" ref="AL14:AL15" si="17">SUM(AH14:AK14)</f>
        <v>3452.1416452257281</v>
      </c>
    </row>
    <row r="15" spans="1:56" ht="17.25" outlineLevel="1">
      <c r="A15" s="297"/>
      <c r="B15" s="561" t="s">
        <v>303</v>
      </c>
      <c r="C15" s="562"/>
      <c r="D15" s="303">
        <v>525.29999999999995</v>
      </c>
      <c r="E15" s="303">
        <v>468.7</v>
      </c>
      <c r="F15" s="303">
        <v>563</v>
      </c>
      <c r="G15" s="303">
        <f t="shared" si="6"/>
        <v>532.19999999999982</v>
      </c>
      <c r="H15" s="327">
        <v>2089.1999999999998</v>
      </c>
      <c r="I15" s="303">
        <v>524.4</v>
      </c>
      <c r="J15" s="303">
        <v>539.9</v>
      </c>
      <c r="K15" s="303">
        <v>477.2</v>
      </c>
      <c r="L15" s="194">
        <f>+L64+L97+L115+L129</f>
        <v>472.24299999999999</v>
      </c>
      <c r="M15" s="195">
        <f t="shared" si="7"/>
        <v>2013.7429999999999</v>
      </c>
      <c r="N15" s="194">
        <f t="shared" ref="N15:Q15" si="18">+N64+N97+N115+N129</f>
        <v>578.5100000000001</v>
      </c>
      <c r="O15" s="194">
        <f t="shared" si="18"/>
        <v>587.52800000000002</v>
      </c>
      <c r="P15" s="194">
        <f t="shared" si="18"/>
        <v>553.3649999999999</v>
      </c>
      <c r="Q15" s="194">
        <f t="shared" si="18"/>
        <v>523.67730000000006</v>
      </c>
      <c r="R15" s="195">
        <f t="shared" si="9"/>
        <v>2243.0802999999996</v>
      </c>
      <c r="S15" s="194">
        <f t="shared" ref="S15:V15" si="19">+S64+S97+S115+S129</f>
        <v>619.12610000000006</v>
      </c>
      <c r="T15" s="194">
        <f t="shared" si="19"/>
        <v>617.12562000000003</v>
      </c>
      <c r="U15" s="194">
        <f t="shared" si="19"/>
        <v>585.30174999999997</v>
      </c>
      <c r="V15" s="194">
        <f t="shared" si="19"/>
        <v>553.468615</v>
      </c>
      <c r="W15" s="195">
        <f t="shared" si="11"/>
        <v>2375.0220850000005</v>
      </c>
      <c r="X15" s="194">
        <f t="shared" ref="X15:AA15" si="20">+X64+X97+X115+X129</f>
        <v>654.84165500000006</v>
      </c>
      <c r="Y15" s="194">
        <f t="shared" si="20"/>
        <v>650.82664320000003</v>
      </c>
      <c r="Z15" s="194">
        <f t="shared" si="20"/>
        <v>619.47455328124988</v>
      </c>
      <c r="AA15" s="194">
        <f t="shared" si="20"/>
        <v>585.29740259375012</v>
      </c>
      <c r="AB15" s="195">
        <f t="shared" si="13"/>
        <v>2510.4402540750002</v>
      </c>
      <c r="AC15" s="194">
        <f t="shared" ref="AC15:AF15" si="21">+AC64+AC97+AC115+AC129</f>
        <v>692.75519128515646</v>
      </c>
      <c r="AD15" s="194">
        <f t="shared" si="21"/>
        <v>687.87479569300797</v>
      </c>
      <c r="AE15" s="194">
        <f t="shared" si="21"/>
        <v>656.30468192206217</v>
      </c>
      <c r="AF15" s="194">
        <f t="shared" si="21"/>
        <v>619.59286750362401</v>
      </c>
      <c r="AG15" s="195">
        <f t="shared" si="15"/>
        <v>2656.5275364038507</v>
      </c>
      <c r="AH15" s="194">
        <f t="shared" ref="AH15:AK15" si="22">+AH64+AH97+AH115+AH129</f>
        <v>733.7455399981344</v>
      </c>
      <c r="AI15" s="194">
        <f t="shared" si="22"/>
        <v>728.03791844852185</v>
      </c>
      <c r="AJ15" s="194">
        <f t="shared" si="22"/>
        <v>696.28815336766161</v>
      </c>
      <c r="AK15" s="194">
        <f t="shared" si="22"/>
        <v>656.7936124118354</v>
      </c>
      <c r="AL15" s="195">
        <f t="shared" si="17"/>
        <v>2814.8652242261537</v>
      </c>
    </row>
    <row r="16" spans="1:56" s="20" customFormat="1">
      <c r="A16" s="312"/>
      <c r="B16" s="557" t="s">
        <v>304</v>
      </c>
      <c r="C16" s="558"/>
      <c r="D16" s="302">
        <f t="shared" ref="D16:AB16" si="23">SUM(D13:D15)</f>
        <v>6632.7000000000007</v>
      </c>
      <c r="E16" s="302">
        <f t="shared" si="23"/>
        <v>6305.9</v>
      </c>
      <c r="F16" s="302">
        <f t="shared" si="23"/>
        <v>6823</v>
      </c>
      <c r="G16" s="302">
        <f t="shared" si="23"/>
        <v>6747.0000000000009</v>
      </c>
      <c r="H16" s="318">
        <f t="shared" si="23"/>
        <v>26508.600000000002</v>
      </c>
      <c r="I16" s="302">
        <f t="shared" ref="I16:N16" si="24">SUM(I13:I15)</f>
        <v>7097.0999999999995</v>
      </c>
      <c r="J16" s="302">
        <f t="shared" si="24"/>
        <v>5995.7</v>
      </c>
      <c r="K16" s="302">
        <f t="shared" si="24"/>
        <v>4222.1000000000004</v>
      </c>
      <c r="L16" s="302">
        <f t="shared" si="24"/>
        <v>6028.4049999999997</v>
      </c>
      <c r="M16" s="318">
        <f t="shared" si="24"/>
        <v>23343.305</v>
      </c>
      <c r="N16" s="302">
        <f t="shared" si="24"/>
        <v>6485.7866764536047</v>
      </c>
      <c r="O16" s="302">
        <f t="shared" si="23"/>
        <v>5365.6190324093277</v>
      </c>
      <c r="P16" s="302">
        <f t="shared" si="23"/>
        <v>5624.2834496819833</v>
      </c>
      <c r="Q16" s="302">
        <f t="shared" si="23"/>
        <v>7476.0146958984378</v>
      </c>
      <c r="R16" s="318">
        <f>SUM(R13:R15)</f>
        <v>24951.703854443353</v>
      </c>
      <c r="S16" s="302">
        <f t="shared" si="23"/>
        <v>7685.1815911017147</v>
      </c>
      <c r="T16" s="302">
        <f t="shared" si="23"/>
        <v>5919.8819906264098</v>
      </c>
      <c r="U16" s="302">
        <f t="shared" si="23"/>
        <v>6149.310964287838</v>
      </c>
      <c r="V16" s="302">
        <f t="shared" si="23"/>
        <v>7950.7979438526017</v>
      </c>
      <c r="W16" s="318">
        <f t="shared" si="23"/>
        <v>27705.172489868561</v>
      </c>
      <c r="X16" s="302">
        <f t="shared" si="23"/>
        <v>8223.6907417796538</v>
      </c>
      <c r="Y16" s="302">
        <f t="shared" si="23"/>
        <v>6251.034649859208</v>
      </c>
      <c r="Z16" s="302">
        <f t="shared" si="23"/>
        <v>6498.2761267111673</v>
      </c>
      <c r="AA16" s="302">
        <f t="shared" si="23"/>
        <v>8298.3625757079462</v>
      </c>
      <c r="AB16" s="318">
        <f t="shared" si="23"/>
        <v>29271.364094057979</v>
      </c>
      <c r="AC16" s="192">
        <f t="shared" ref="AC16:AG16" si="25">SUM(AC13:AC15)</f>
        <v>8800.6108793588319</v>
      </c>
      <c r="AD16" s="192">
        <f t="shared" si="25"/>
        <v>6607.0791183240553</v>
      </c>
      <c r="AE16" s="192">
        <f t="shared" si="25"/>
        <v>6882.7683263462077</v>
      </c>
      <c r="AF16" s="192">
        <f t="shared" si="25"/>
        <v>8759.7846643771736</v>
      </c>
      <c r="AG16" s="193">
        <f t="shared" si="25"/>
        <v>31050.242988406266</v>
      </c>
      <c r="AH16" s="192">
        <f t="shared" ref="AH16:AL16" si="26">SUM(AH13:AH15)</f>
        <v>9415.961893878688</v>
      </c>
      <c r="AI16" s="192">
        <f t="shared" si="26"/>
        <v>7022.7473951603188</v>
      </c>
      <c r="AJ16" s="192">
        <f t="shared" si="26"/>
        <v>7328.3819529112125</v>
      </c>
      <c r="AK16" s="192">
        <f t="shared" si="26"/>
        <v>9341.4690258106457</v>
      </c>
      <c r="AL16" s="193">
        <f t="shared" si="26"/>
        <v>33108.560267760869</v>
      </c>
    </row>
    <row r="17" spans="1:38" outlineLevel="1">
      <c r="A17" s="297"/>
      <c r="B17" s="563" t="s">
        <v>300</v>
      </c>
      <c r="C17" s="564"/>
      <c r="D17" s="304">
        <v>2175.8000000000002</v>
      </c>
      <c r="E17" s="304">
        <v>2012</v>
      </c>
      <c r="F17" s="304">
        <v>2199.6</v>
      </c>
      <c r="G17" s="304">
        <f t="shared" si="6"/>
        <v>2139.4999999999991</v>
      </c>
      <c r="H17" s="317">
        <v>8526.9</v>
      </c>
      <c r="I17" s="304">
        <v>2236.4</v>
      </c>
      <c r="J17" s="304">
        <v>1997.7</v>
      </c>
      <c r="K17" s="304">
        <v>1484</v>
      </c>
      <c r="L17" s="304">
        <f>+L69+L102+L117+L131</f>
        <v>1661.8773932750537</v>
      </c>
      <c r="M17" s="317">
        <f>SUM(I17:L17)</f>
        <v>7379.9773932750541</v>
      </c>
      <c r="N17" s="304">
        <f>+N69+N102+N117+N131</f>
        <v>1725.149054895913</v>
      </c>
      <c r="O17" s="304">
        <f t="shared" ref="O17:Q17" si="27">+O69+O102+O117+O131</f>
        <v>1457.778994580385</v>
      </c>
      <c r="P17" s="304">
        <f t="shared" si="27"/>
        <v>1484.5586410145418</v>
      </c>
      <c r="Q17" s="304">
        <f t="shared" si="27"/>
        <v>1871.7253420068707</v>
      </c>
      <c r="R17" s="317">
        <f>SUM(N17:Q17)</f>
        <v>6539.2120324977104</v>
      </c>
      <c r="S17" s="304">
        <f>+S69+S102+S117+S131</f>
        <v>1952.0830698050888</v>
      </c>
      <c r="T17" s="304">
        <f t="shared" ref="T17:V17" si="28">+T69+T102+T117+T131</f>
        <v>1575.2568752421964</v>
      </c>
      <c r="U17" s="304">
        <f t="shared" si="28"/>
        <v>1615.0869623385358</v>
      </c>
      <c r="V17" s="304">
        <f t="shared" si="28"/>
        <v>1971.891272004015</v>
      </c>
      <c r="W17" s="317">
        <f>SUM(S17:V17)</f>
        <v>7114.3181793898366</v>
      </c>
      <c r="X17" s="304">
        <f>+X69+X102+X117+X131</f>
        <v>2069.5283311813964</v>
      </c>
      <c r="Y17" s="304">
        <f t="shared" ref="Y17:AA17" si="29">+Y69+Y102+Y117+Y131</f>
        <v>1656.2180151104085</v>
      </c>
      <c r="Z17" s="304">
        <f t="shared" si="29"/>
        <v>1704.6820292603852</v>
      </c>
      <c r="AA17" s="304">
        <f t="shared" si="29"/>
        <v>2061.3022783310648</v>
      </c>
      <c r="AB17" s="191">
        <f>SUM(X17:AA17)</f>
        <v>7491.7306538832545</v>
      </c>
      <c r="AC17" s="304">
        <f>+AC69+AC102+AC117+AC131</f>
        <v>2209.2747941078005</v>
      </c>
      <c r="AD17" s="304">
        <f t="shared" ref="AD17:AF17" si="30">+AD69+AD102+AD117+AD131</f>
        <v>1749.3322076283</v>
      </c>
      <c r="AE17" s="304">
        <f t="shared" si="30"/>
        <v>1803.8012112882468</v>
      </c>
      <c r="AF17" s="304">
        <f t="shared" si="30"/>
        <v>2176.4565737372568</v>
      </c>
      <c r="AG17" s="191">
        <f>SUM(AC17:AF17)</f>
        <v>7938.8647867616046</v>
      </c>
      <c r="AH17" s="304">
        <f>+AH69+AH102+AH117+AH131</f>
        <v>2358.5039688238157</v>
      </c>
      <c r="AI17" s="304">
        <f t="shared" ref="AI17:AK17" si="31">+AI69+AI102+AI117+AI131</f>
        <v>1856.4714085041626</v>
      </c>
      <c r="AJ17" s="304">
        <f t="shared" si="31"/>
        <v>1917.558211533596</v>
      </c>
      <c r="AK17" s="304">
        <f t="shared" si="31"/>
        <v>2318.7249328114335</v>
      </c>
      <c r="AL17" s="191">
        <f>SUM(AH17:AK17)</f>
        <v>8451.2585216730076</v>
      </c>
    </row>
    <row r="18" spans="1:38" outlineLevel="1">
      <c r="A18" s="297"/>
      <c r="B18" s="386" t="s">
        <v>158</v>
      </c>
      <c r="C18" s="387"/>
      <c r="D18" s="304">
        <v>2586.8000000000002</v>
      </c>
      <c r="E18" s="304">
        <v>2554.1</v>
      </c>
      <c r="F18" s="304">
        <v>2643.2</v>
      </c>
      <c r="G18" s="304">
        <f t="shared" si="6"/>
        <v>2709.5000000000009</v>
      </c>
      <c r="H18" s="317">
        <v>10493.6</v>
      </c>
      <c r="I18" s="304">
        <v>2821.5</v>
      </c>
      <c r="J18" s="304">
        <v>2721.4</v>
      </c>
      <c r="K18" s="304">
        <v>2537.8000000000002</v>
      </c>
      <c r="L18" s="190">
        <f>+L70+L103</f>
        <v>2946.8049127227778</v>
      </c>
      <c r="M18" s="191">
        <f t="shared" ref="M18:M21" si="32">SUM(I18:L18)</f>
        <v>11027.504912722778</v>
      </c>
      <c r="N18" s="190">
        <f>+N70+N103</f>
        <v>3053.8342263586715</v>
      </c>
      <c r="O18" s="190">
        <f t="shared" ref="O18:Q18" si="33">+O70+O103</f>
        <v>2462.8219508532857</v>
      </c>
      <c r="P18" s="190">
        <f t="shared" si="33"/>
        <v>2527.5267870035873</v>
      </c>
      <c r="Q18" s="190">
        <f t="shared" si="33"/>
        <v>3425.3430345804727</v>
      </c>
      <c r="R18" s="191">
        <f t="shared" ref="R18:R21" si="34">SUM(N18:Q18)</f>
        <v>11469.525998796016</v>
      </c>
      <c r="S18" s="190">
        <f>+S70+S103</f>
        <v>3500.6154661058135</v>
      </c>
      <c r="T18" s="190">
        <f t="shared" ref="T18:V18" si="35">+T70+T103</f>
        <v>2663.0479856324996</v>
      </c>
      <c r="U18" s="190">
        <f t="shared" si="35"/>
        <v>2768.4718839929228</v>
      </c>
      <c r="V18" s="190">
        <f t="shared" si="35"/>
        <v>3608.6059345744479</v>
      </c>
      <c r="W18" s="191">
        <f t="shared" ref="W18:W21" si="36">SUM(S18:V18)</f>
        <v>12540.741270305683</v>
      </c>
      <c r="X18" s="190">
        <f>+X70+X103</f>
        <v>3731.5024970009281</v>
      </c>
      <c r="Y18" s="190">
        <f t="shared" ref="Y18:AA18" si="37">+Y70+Y103</f>
        <v>2805.6290479678223</v>
      </c>
      <c r="Z18" s="190">
        <f t="shared" si="37"/>
        <v>2925.6903763118871</v>
      </c>
      <c r="AA18" s="190">
        <f t="shared" si="37"/>
        <v>3759.8418205118933</v>
      </c>
      <c r="AB18" s="191">
        <f t="shared" ref="AB18:AB21" si="38">SUM(X18:AA18)</f>
        <v>13222.66374179253</v>
      </c>
      <c r="AC18" s="190">
        <f>+AC70+AC103</f>
        <v>3997.9534613959327</v>
      </c>
      <c r="AD18" s="190">
        <f t="shared" ref="AD18:AF18" si="39">+AD70+AD103</f>
        <v>2964.8652203933989</v>
      </c>
      <c r="AE18" s="190">
        <f t="shared" si="39"/>
        <v>3098.1274113998957</v>
      </c>
      <c r="AF18" s="190">
        <f t="shared" si="39"/>
        <v>3965.4795080507292</v>
      </c>
      <c r="AG18" s="191">
        <f t="shared" ref="AG18:AG22" si="40">SUM(AC18:AF18)</f>
        <v>14026.425601239956</v>
      </c>
      <c r="AH18" s="190">
        <f>+AH70+AH103</f>
        <v>4281.6894653278659</v>
      </c>
      <c r="AI18" s="190">
        <f t="shared" ref="AI18:AK18" si="41">+AI70+AI103</f>
        <v>3153.0085811404247</v>
      </c>
      <c r="AJ18" s="190">
        <f t="shared" si="41"/>
        <v>3299.521508847306</v>
      </c>
      <c r="AK18" s="190">
        <f t="shared" si="41"/>
        <v>4228.7239550682052</v>
      </c>
      <c r="AL18" s="191">
        <f t="shared" ref="AL18:AL22" si="42">SUM(AH18:AK18)</f>
        <v>14962.943510383804</v>
      </c>
    </row>
    <row r="19" spans="1:38" outlineLevel="1">
      <c r="A19" s="297"/>
      <c r="B19" s="386" t="s">
        <v>159</v>
      </c>
      <c r="C19" s="387"/>
      <c r="D19" s="304">
        <v>97.6</v>
      </c>
      <c r="E19" s="304">
        <v>87.1</v>
      </c>
      <c r="F19" s="304">
        <v>94.4</v>
      </c>
      <c r="G19" s="304">
        <f t="shared" si="6"/>
        <v>91.900000000000034</v>
      </c>
      <c r="H19" s="317">
        <v>371</v>
      </c>
      <c r="I19" s="304">
        <v>101.8</v>
      </c>
      <c r="J19" s="304">
        <v>95</v>
      </c>
      <c r="K19" s="304">
        <v>133.6</v>
      </c>
      <c r="L19" s="190">
        <f>+L71+L104+L118+L132</f>
        <v>143.52339857429544</v>
      </c>
      <c r="M19" s="191">
        <f t="shared" si="32"/>
        <v>473.92339857429545</v>
      </c>
      <c r="N19" s="190">
        <f>+N71+N104+N118+N132</f>
        <v>151.69393030379084</v>
      </c>
      <c r="O19" s="190">
        <f t="shared" ref="O19:Q19" si="43">+O71+O104+O118+O132</f>
        <v>133.31225577861039</v>
      </c>
      <c r="P19" s="190">
        <f t="shared" si="43"/>
        <v>135.13006286606566</v>
      </c>
      <c r="Q19" s="190">
        <f t="shared" si="43"/>
        <v>160.15902026009235</v>
      </c>
      <c r="R19" s="191">
        <f t="shared" si="34"/>
        <v>580.29526920855915</v>
      </c>
      <c r="S19" s="190">
        <f>+S71+S104+S118+S132</f>
        <v>169.9909211868831</v>
      </c>
      <c r="T19" s="190">
        <f t="shared" ref="T19:V19" si="44">+T71+T104+T118+T132</f>
        <v>144.12118548263805</v>
      </c>
      <c r="U19" s="190">
        <f t="shared" si="44"/>
        <v>146.35636841339939</v>
      </c>
      <c r="V19" s="190">
        <f t="shared" si="44"/>
        <v>168.70806601868077</v>
      </c>
      <c r="W19" s="191">
        <f t="shared" si="36"/>
        <v>629.17654110160129</v>
      </c>
      <c r="X19" s="190">
        <f>+X71+X104+X118+X132</f>
        <v>179.20995570039864</v>
      </c>
      <c r="Y19" s="190">
        <f t="shared" ref="Y19:AA19" si="45">+Y71+Y104+Y118+Y132</f>
        <v>151.20621372409116</v>
      </c>
      <c r="Z19" s="190">
        <f t="shared" si="45"/>
        <v>154.31429631158079</v>
      </c>
      <c r="AA19" s="190">
        <f t="shared" si="45"/>
        <v>176.95948157726062</v>
      </c>
      <c r="AB19" s="191">
        <f t="shared" si="38"/>
        <v>661.68994731333123</v>
      </c>
      <c r="AC19" s="190">
        <f>+AC71+AC104+AC118+AC132</f>
        <v>190.67888488952991</v>
      </c>
      <c r="AD19" s="190">
        <f t="shared" ref="AD19:AF19" si="46">+AD71+AD104+AD118+AD132</f>
        <v>159.66455586854528</v>
      </c>
      <c r="AE19" s="190">
        <f t="shared" si="46"/>
        <v>163.21582468053361</v>
      </c>
      <c r="AF19" s="190">
        <f t="shared" si="46"/>
        <v>187.11028945186908</v>
      </c>
      <c r="AG19" s="191">
        <f t="shared" si="40"/>
        <v>700.66955489047791</v>
      </c>
      <c r="AH19" s="190">
        <f>+AH71+AH104+AH118+AH132</f>
        <v>202.97667250035181</v>
      </c>
      <c r="AI19" s="190">
        <f t="shared" ref="AI19:AK19" si="47">+AI71+AI104+AI118+AI132</f>
        <v>169.18284154796714</v>
      </c>
      <c r="AJ19" s="190">
        <f t="shared" si="47"/>
        <v>173.28939249621988</v>
      </c>
      <c r="AK19" s="190">
        <f t="shared" si="47"/>
        <v>199.24177612553166</v>
      </c>
      <c r="AL19" s="191">
        <f t="shared" si="42"/>
        <v>744.6906826700706</v>
      </c>
    </row>
    <row r="20" spans="1:38" outlineLevel="1">
      <c r="A20" s="297"/>
      <c r="B20" s="386" t="s">
        <v>160</v>
      </c>
      <c r="C20" s="387"/>
      <c r="D20" s="304">
        <v>333.4</v>
      </c>
      <c r="E20" s="304">
        <v>356.2</v>
      </c>
      <c r="F20" s="304">
        <v>343.1</v>
      </c>
      <c r="G20" s="304">
        <f t="shared" si="6"/>
        <v>344.5999999999998</v>
      </c>
      <c r="H20" s="317">
        <v>1377.3</v>
      </c>
      <c r="I20" s="304">
        <v>351</v>
      </c>
      <c r="J20" s="304">
        <v>356.3</v>
      </c>
      <c r="K20" s="304">
        <v>361</v>
      </c>
      <c r="L20" s="190">
        <f>+L72+L105+L119+L133</f>
        <v>368.49523072332948</v>
      </c>
      <c r="M20" s="191">
        <f t="shared" ref="M20" si="48">SUM(I20:L20)</f>
        <v>1436.7952307233295</v>
      </c>
      <c r="N20" s="190">
        <f>+N72+N105+N119+N133</f>
        <v>369.09492723944288</v>
      </c>
      <c r="O20" s="190">
        <f t="shared" ref="O20:Q20" si="49">+O72+O105+O119+O133</f>
        <v>372.61811025842934</v>
      </c>
      <c r="P20" s="190">
        <f t="shared" si="49"/>
        <v>370.36394554263796</v>
      </c>
      <c r="Q20" s="190">
        <f t="shared" si="49"/>
        <v>368.79486500306109</v>
      </c>
      <c r="R20" s="191">
        <f t="shared" ref="R20" si="50">SUM(N20:Q20)</f>
        <v>1480.8718480435714</v>
      </c>
      <c r="S20" s="190">
        <f>+S72+S105+S119+S133</f>
        <v>374.82510534372193</v>
      </c>
      <c r="T20" s="190">
        <f t="shared" ref="T20:V20" si="51">+T72+T105+T119+T133</f>
        <v>380.13986702060436</v>
      </c>
      <c r="U20" s="190">
        <f t="shared" si="51"/>
        <v>378.53094735969989</v>
      </c>
      <c r="V20" s="190">
        <f t="shared" si="51"/>
        <v>377.86036987473784</v>
      </c>
      <c r="W20" s="191">
        <f t="shared" ref="W20" si="52">SUM(S20:V20)</f>
        <v>1511.3562895987641</v>
      </c>
      <c r="X20" s="190">
        <f>+X72+X105+X119+X133</f>
        <v>383.78743179561383</v>
      </c>
      <c r="Y20" s="190">
        <f t="shared" ref="Y20:AA20" si="53">+Y72+Y105+Y119+Y133</f>
        <v>385.42012578339057</v>
      </c>
      <c r="Z20" s="190">
        <f t="shared" si="53"/>
        <v>381.09826199094522</v>
      </c>
      <c r="AA20" s="190">
        <f t="shared" si="53"/>
        <v>377.78523194344211</v>
      </c>
      <c r="AB20" s="191">
        <f t="shared" ref="AB20" si="54">SUM(X20:AA20)</f>
        <v>1528.0910515133917</v>
      </c>
      <c r="AC20" s="190">
        <f>+AC72+AC105+AC119+AC133</f>
        <v>379.98749338420805</v>
      </c>
      <c r="AD20" s="190">
        <f t="shared" ref="AD20:AF20" si="55">+AD72+AD105+AD119+AD133</f>
        <v>383.51926469889656</v>
      </c>
      <c r="AE20" s="190">
        <f t="shared" si="55"/>
        <v>380.38498382340202</v>
      </c>
      <c r="AF20" s="190">
        <f t="shared" si="55"/>
        <v>378.25315900549532</v>
      </c>
      <c r="AG20" s="191">
        <f t="shared" si="40"/>
        <v>1522.144900912002</v>
      </c>
      <c r="AH20" s="190">
        <f>+AH72+AH105+AH119+AH133</f>
        <v>381.77053931610021</v>
      </c>
      <c r="AI20" s="190">
        <f t="shared" ref="AI20:AK20" si="56">+AI72+AI105+AI119+AI133</f>
        <v>387.00758728396482</v>
      </c>
      <c r="AJ20" s="190">
        <f t="shared" si="56"/>
        <v>384.89623792895026</v>
      </c>
      <c r="AK20" s="190">
        <f t="shared" si="56"/>
        <v>383.80956961697245</v>
      </c>
      <c r="AL20" s="191">
        <f t="shared" si="42"/>
        <v>1537.4839341459879</v>
      </c>
    </row>
    <row r="21" spans="1:38" ht="17.25" customHeight="1" outlineLevel="1">
      <c r="A21" s="297"/>
      <c r="B21" s="386" t="s">
        <v>283</v>
      </c>
      <c r="C21" s="387"/>
      <c r="D21" s="304">
        <v>448</v>
      </c>
      <c r="E21" s="304">
        <v>458.1</v>
      </c>
      <c r="F21" s="304">
        <v>459.7</v>
      </c>
      <c r="G21" s="304">
        <f t="shared" si="6"/>
        <v>458.29999999999984</v>
      </c>
      <c r="H21" s="317">
        <v>1824.1</v>
      </c>
      <c r="I21" s="304">
        <v>434.2</v>
      </c>
      <c r="J21" s="304">
        <v>406.5</v>
      </c>
      <c r="K21" s="304">
        <v>399.9</v>
      </c>
      <c r="L21" s="190">
        <f>+L73+L106+L120+L134</f>
        <v>411.18409437424225</v>
      </c>
      <c r="M21" s="317">
        <f t="shared" si="32"/>
        <v>1651.7840943742422</v>
      </c>
      <c r="N21" s="190">
        <f>+N73+N106+N120+N134</f>
        <v>411.68325238491968</v>
      </c>
      <c r="O21" s="190">
        <f t="shared" ref="O21:Q21" si="57">+O73+O106+O120+O134</f>
        <v>368.46213772534986</v>
      </c>
      <c r="P21" s="190">
        <f t="shared" si="57"/>
        <v>369.38821721231653</v>
      </c>
      <c r="Q21" s="190">
        <f t="shared" si="57"/>
        <v>405.36964277297136</v>
      </c>
      <c r="R21" s="317">
        <f t="shared" si="34"/>
        <v>1554.9032500955573</v>
      </c>
      <c r="S21" s="190">
        <f>+S73+S106+S120+S134</f>
        <v>423.27593369004205</v>
      </c>
      <c r="T21" s="190">
        <f t="shared" ref="T21:V21" si="58">+T73+T106+T120+T134</f>
        <v>376.56983571249327</v>
      </c>
      <c r="U21" s="190">
        <f t="shared" si="58"/>
        <v>383.11052249980185</v>
      </c>
      <c r="V21" s="190">
        <f t="shared" si="58"/>
        <v>423.06339945321974</v>
      </c>
      <c r="W21" s="191">
        <f t="shared" si="36"/>
        <v>1606.0196913555569</v>
      </c>
      <c r="X21" s="190">
        <f>+X73+X106+X120+X134</f>
        <v>430.37564114963106</v>
      </c>
      <c r="Y21" s="190">
        <f t="shared" ref="Y21:AA21" si="59">+Y73+Y106+Y120+Y134</f>
        <v>383.05533417640129</v>
      </c>
      <c r="Z21" s="190">
        <f t="shared" si="59"/>
        <v>392.60737728700849</v>
      </c>
      <c r="AA21" s="190">
        <f t="shared" si="59"/>
        <v>433.72168610035658</v>
      </c>
      <c r="AB21" s="191">
        <f t="shared" si="38"/>
        <v>1639.7600387133975</v>
      </c>
      <c r="AC21" s="190">
        <f>+AC73+AC106+AC120+AC134</f>
        <v>443.98658730433112</v>
      </c>
      <c r="AD21" s="190">
        <f t="shared" ref="AD21:AF21" si="60">+AD73+AD106+AD120+AD134</f>
        <v>392.46396598033942</v>
      </c>
      <c r="AE21" s="190">
        <f t="shared" si="60"/>
        <v>403.1669543063598</v>
      </c>
      <c r="AF21" s="190">
        <f t="shared" si="60"/>
        <v>446.50738857624043</v>
      </c>
      <c r="AG21" s="191">
        <f t="shared" si="40"/>
        <v>1686.1248961672709</v>
      </c>
      <c r="AH21" s="190">
        <f>+AH73+AH106+AH120+AH134</f>
        <v>459.36628369408936</v>
      </c>
      <c r="AI21" s="190">
        <f t="shared" ref="AI21:AK21" si="61">+AI73+AI106+AI120+AI134</f>
        <v>403.43594302148313</v>
      </c>
      <c r="AJ21" s="190">
        <f t="shared" si="61"/>
        <v>415.33501822177595</v>
      </c>
      <c r="AK21" s="190">
        <f t="shared" si="61"/>
        <v>462.27937291269166</v>
      </c>
      <c r="AL21" s="191">
        <f t="shared" si="42"/>
        <v>1740.41661785004</v>
      </c>
    </row>
    <row r="22" spans="1:38" ht="17.25" customHeight="1" outlineLevel="1">
      <c r="A22" s="297"/>
      <c r="B22" s="386" t="s">
        <v>169</v>
      </c>
      <c r="C22" s="387"/>
      <c r="D22" s="303">
        <v>43.2</v>
      </c>
      <c r="E22" s="303">
        <v>43</v>
      </c>
      <c r="F22" s="303">
        <v>37.700000000000003</v>
      </c>
      <c r="G22" s="303">
        <f t="shared" si="6"/>
        <v>11.900000000000006</v>
      </c>
      <c r="H22" s="327">
        <v>135.80000000000001</v>
      </c>
      <c r="I22" s="303">
        <v>6.3</v>
      </c>
      <c r="J22" s="303">
        <v>-0.7</v>
      </c>
      <c r="K22" s="303">
        <v>78.099999999999994</v>
      </c>
      <c r="L22" s="303">
        <f>+L74+L107+L121+L135</f>
        <v>129.01164105363202</v>
      </c>
      <c r="M22" s="195">
        <f t="shared" ref="M22" si="62">SUM(I22:L22)</f>
        <v>212.71164105363201</v>
      </c>
      <c r="N22" s="194">
        <f>+N74+N107+N121+N135</f>
        <v>65.067089914747783</v>
      </c>
      <c r="O22" s="194">
        <f t="shared" ref="O22:Q22" si="63">+O74+O107+O121+O135</f>
        <v>56.124480844450346</v>
      </c>
      <c r="P22" s="194">
        <f t="shared" si="63"/>
        <v>58.33086682349721</v>
      </c>
      <c r="Q22" s="194">
        <f t="shared" si="63"/>
        <v>72.916719461485314</v>
      </c>
      <c r="R22" s="195">
        <f t="shared" ref="R22" si="64">SUM(N22:Q22)</f>
        <v>252.43915704418066</v>
      </c>
      <c r="S22" s="194">
        <f>+S74+S107+S121+S135</f>
        <v>74.759495165327479</v>
      </c>
      <c r="T22" s="194">
        <f t="shared" ref="T22:V22" si="65">+T74+T107+T121+T135</f>
        <v>59.284927533944973</v>
      </c>
      <c r="U22" s="194">
        <f t="shared" si="65"/>
        <v>60.71387801436272</v>
      </c>
      <c r="V22" s="194">
        <f t="shared" si="65"/>
        <v>76.942840167741792</v>
      </c>
      <c r="W22" s="195">
        <f t="shared" ref="W22" si="66">SUM(S22:V22)</f>
        <v>271.70114088137694</v>
      </c>
      <c r="X22" s="194">
        <f>+X74+X107+X121+X135</f>
        <v>79.736576811111462</v>
      </c>
      <c r="Y22" s="194">
        <f t="shared" ref="Y22:AA22" si="67">+Y74+Y107+Y121+Y135</f>
        <v>61.910561785175396</v>
      </c>
      <c r="Z22" s="194">
        <f t="shared" si="67"/>
        <v>63.318698822569289</v>
      </c>
      <c r="AA22" s="194">
        <f t="shared" si="67"/>
        <v>79.555696294019981</v>
      </c>
      <c r="AB22" s="195">
        <f t="shared" ref="AB22" si="68">SUM(X22:AA22)</f>
        <v>284.52153371287613</v>
      </c>
      <c r="AC22" s="194">
        <f>+AC74+AC107+AC121+AC135</f>
        <v>84.716442408142768</v>
      </c>
      <c r="AD22" s="194">
        <f t="shared" ref="AD22:AF22" si="69">+AD74+AD107+AD121+AD135</f>
        <v>64.648230195555811</v>
      </c>
      <c r="AE22" s="194">
        <f t="shared" si="69"/>
        <v>66.264795866964747</v>
      </c>
      <c r="AF22" s="194">
        <f t="shared" si="69"/>
        <v>83.042776480194846</v>
      </c>
      <c r="AG22" s="195">
        <f t="shared" si="40"/>
        <v>298.67224495085816</v>
      </c>
      <c r="AH22" s="194">
        <f>+AH74+AH107+AH121+AH135</f>
        <v>89.940014972046555</v>
      </c>
      <c r="AI22" s="194">
        <f t="shared" ref="AI22:AK22" si="70">+AI74+AI107+AI121+AI135</f>
        <v>67.964479396838385</v>
      </c>
      <c r="AJ22" s="194">
        <f t="shared" si="70"/>
        <v>69.725505271851347</v>
      </c>
      <c r="AK22" s="194">
        <f t="shared" si="70"/>
        <v>87.580427588695201</v>
      </c>
      <c r="AL22" s="195">
        <f t="shared" si="42"/>
        <v>315.2104272294315</v>
      </c>
    </row>
    <row r="23" spans="1:38" s="44" customFormat="1" ht="17.25" customHeight="1">
      <c r="A23" s="388"/>
      <c r="B23" s="389" t="s">
        <v>53</v>
      </c>
      <c r="C23" s="390"/>
      <c r="D23" s="305">
        <f t="shared" ref="D23:AL23" si="71">SUM(D18:D22)+D17</f>
        <v>5684.8</v>
      </c>
      <c r="E23" s="305">
        <f t="shared" si="71"/>
        <v>5510.5</v>
      </c>
      <c r="F23" s="305">
        <f t="shared" si="71"/>
        <v>5777.6999999999989</v>
      </c>
      <c r="G23" s="305">
        <f t="shared" si="71"/>
        <v>5755.7</v>
      </c>
      <c r="H23" s="351">
        <f t="shared" si="71"/>
        <v>22728.699999999997</v>
      </c>
      <c r="I23" s="305">
        <f t="shared" si="71"/>
        <v>5951.2000000000007</v>
      </c>
      <c r="J23" s="305">
        <f t="shared" si="71"/>
        <v>5576.2000000000007</v>
      </c>
      <c r="K23" s="305">
        <f t="shared" si="71"/>
        <v>4994.3999999999996</v>
      </c>
      <c r="L23" s="196">
        <f t="shared" si="71"/>
        <v>5660.8966707233303</v>
      </c>
      <c r="M23" s="197">
        <f t="shared" si="71"/>
        <v>22182.696670723333</v>
      </c>
      <c r="N23" s="196">
        <f t="shared" si="71"/>
        <v>5776.5224810974851</v>
      </c>
      <c r="O23" s="196">
        <f t="shared" si="71"/>
        <v>4851.1179300405101</v>
      </c>
      <c r="P23" s="196">
        <f t="shared" si="71"/>
        <v>4945.2985204626466</v>
      </c>
      <c r="Q23" s="196">
        <f t="shared" si="71"/>
        <v>6304.3086240849543</v>
      </c>
      <c r="R23" s="197">
        <f t="shared" si="71"/>
        <v>21877.247555685597</v>
      </c>
      <c r="S23" s="196">
        <f t="shared" si="71"/>
        <v>6495.5499912968762</v>
      </c>
      <c r="T23" s="196">
        <f t="shared" si="71"/>
        <v>5198.4206766243769</v>
      </c>
      <c r="U23" s="196">
        <f t="shared" si="71"/>
        <v>5352.2705626187226</v>
      </c>
      <c r="V23" s="196">
        <f t="shared" si="71"/>
        <v>6627.0718820928432</v>
      </c>
      <c r="W23" s="197">
        <f t="shared" si="71"/>
        <v>23673.313112632819</v>
      </c>
      <c r="X23" s="196">
        <f t="shared" si="71"/>
        <v>6874.1404336390797</v>
      </c>
      <c r="Y23" s="196">
        <f t="shared" si="71"/>
        <v>5443.4392985472896</v>
      </c>
      <c r="Z23" s="196">
        <f t="shared" si="71"/>
        <v>5621.7110399843759</v>
      </c>
      <c r="AA23" s="196">
        <f t="shared" si="71"/>
        <v>6889.1661947580378</v>
      </c>
      <c r="AB23" s="197">
        <f t="shared" si="71"/>
        <v>24828.456966928781</v>
      </c>
      <c r="AC23" s="196">
        <f t="shared" si="71"/>
        <v>7306.5976634899453</v>
      </c>
      <c r="AD23" s="196">
        <f t="shared" si="71"/>
        <v>5714.4934447650357</v>
      </c>
      <c r="AE23" s="196">
        <f t="shared" si="71"/>
        <v>5914.9611813654028</v>
      </c>
      <c r="AF23" s="196">
        <f t="shared" si="71"/>
        <v>7236.8496953017857</v>
      </c>
      <c r="AG23" s="197">
        <f t="shared" si="71"/>
        <v>26172.901984922173</v>
      </c>
      <c r="AH23" s="196">
        <f t="shared" si="71"/>
        <v>7774.2469446342702</v>
      </c>
      <c r="AI23" s="196">
        <f t="shared" si="71"/>
        <v>6037.0708408948403</v>
      </c>
      <c r="AJ23" s="196">
        <f t="shared" si="71"/>
        <v>6260.3258742996986</v>
      </c>
      <c r="AK23" s="196">
        <f t="shared" si="71"/>
        <v>7680.3600341235287</v>
      </c>
      <c r="AL23" s="197">
        <f t="shared" si="71"/>
        <v>27752.003693952342</v>
      </c>
    </row>
    <row r="24" spans="1:38" s="47" customFormat="1" ht="17.25" customHeight="1">
      <c r="A24" s="362"/>
      <c r="B24" s="565" t="s">
        <v>162</v>
      </c>
      <c r="C24" s="566"/>
      <c r="D24" s="303">
        <v>67.8</v>
      </c>
      <c r="E24" s="303">
        <v>62.3</v>
      </c>
      <c r="F24" s="303">
        <v>76</v>
      </c>
      <c r="G24" s="303">
        <f t="shared" si="6"/>
        <v>91.899999999999991</v>
      </c>
      <c r="H24" s="327">
        <v>298</v>
      </c>
      <c r="I24" s="303">
        <v>73.900000000000006</v>
      </c>
      <c r="J24" s="303">
        <v>67.900000000000006</v>
      </c>
      <c r="K24" s="303">
        <v>68.400000000000006</v>
      </c>
      <c r="L24" s="194">
        <f>+L109+L123</f>
        <v>75.524999999999991</v>
      </c>
      <c r="M24" s="195">
        <f t="shared" ref="M24" si="72">SUM(I24:L24)</f>
        <v>285.72500000000002</v>
      </c>
      <c r="N24" s="194">
        <f>+N109+N123</f>
        <v>71.431250000000006</v>
      </c>
      <c r="O24" s="194">
        <f>+O109+O123</f>
        <v>70.814062499999991</v>
      </c>
      <c r="P24" s="194">
        <f>+P109+P123</f>
        <v>71.542578124999991</v>
      </c>
      <c r="Q24" s="194">
        <f>+Q109+Q123</f>
        <v>72.328222656249991</v>
      </c>
      <c r="R24" s="195">
        <f t="shared" ref="R24" si="73">SUM(N24:Q24)</f>
        <v>286.11611328124997</v>
      </c>
      <c r="S24" s="194">
        <f>+S109+S123</f>
        <v>71.529028320312491</v>
      </c>
      <c r="T24" s="194">
        <f>+T109+T123</f>
        <v>71.553472900390616</v>
      </c>
      <c r="U24" s="194">
        <f>+U109+U123</f>
        <v>71.738325500488273</v>
      </c>
      <c r="V24" s="194">
        <f>+V109+V123</f>
        <v>71.787262344360343</v>
      </c>
      <c r="W24" s="195">
        <f t="shared" ref="W24" si="74">SUM(S24:V24)</f>
        <v>286.60808906555172</v>
      </c>
      <c r="X24" s="194">
        <f>+X109+X123</f>
        <v>71.652022266387931</v>
      </c>
      <c r="Y24" s="194">
        <f>+Y109+Y123</f>
        <v>71.682770752906791</v>
      </c>
      <c r="Z24" s="194">
        <f>+Z109+Z123</f>
        <v>71.715095216035834</v>
      </c>
      <c r="AA24" s="194">
        <f>+AA109+AA123</f>
        <v>71.709287644922725</v>
      </c>
      <c r="AB24" s="195">
        <f t="shared" ref="AB24" si="75">SUM(X24:AA24)</f>
        <v>286.75917588025328</v>
      </c>
      <c r="AC24" s="194">
        <f>+AC109+AC123</f>
        <v>71.68979397006332</v>
      </c>
      <c r="AD24" s="194">
        <f>+AD109+AD123</f>
        <v>71.699236895982168</v>
      </c>
      <c r="AE24" s="194">
        <f>+AE109+AE123</f>
        <v>71.703353431751012</v>
      </c>
      <c r="AF24" s="194">
        <f>+AF109+AF123</f>
        <v>71.700417985679806</v>
      </c>
      <c r="AG24" s="195">
        <f t="shared" ref="AG24" si="76">SUM(AC24:AF24)</f>
        <v>286.79280228347631</v>
      </c>
      <c r="AH24" s="194">
        <f>+AH109+AH123</f>
        <v>71.698200570869076</v>
      </c>
      <c r="AI24" s="194">
        <f>+AI109+AI123</f>
        <v>71.700302221070515</v>
      </c>
      <c r="AJ24" s="194">
        <f>+AJ109+AJ123</f>
        <v>71.700568552342602</v>
      </c>
      <c r="AK24" s="194">
        <f>+AK109+AK123</f>
        <v>71.6998723324905</v>
      </c>
      <c r="AL24" s="195">
        <f t="shared" ref="AL24" si="77">SUM(AH24:AK24)</f>
        <v>286.79894367677269</v>
      </c>
    </row>
    <row r="25" spans="1:38">
      <c r="A25" s="297"/>
      <c r="B25" s="391" t="s">
        <v>69</v>
      </c>
      <c r="C25" s="392"/>
      <c r="D25" s="302">
        <f t="shared" ref="D25:AL25" si="78">D16-D23+D24</f>
        <v>1015.7000000000005</v>
      </c>
      <c r="E25" s="302">
        <f t="shared" si="78"/>
        <v>857.69999999999959</v>
      </c>
      <c r="F25" s="302">
        <f t="shared" si="78"/>
        <v>1121.3000000000011</v>
      </c>
      <c r="G25" s="302">
        <f t="shared" si="78"/>
        <v>1083.2000000000012</v>
      </c>
      <c r="H25" s="318">
        <f t="shared" si="78"/>
        <v>4077.9000000000051</v>
      </c>
      <c r="I25" s="302">
        <f t="shared" si="78"/>
        <v>1219.7999999999988</v>
      </c>
      <c r="J25" s="302">
        <f t="shared" si="78"/>
        <v>487.39999999999907</v>
      </c>
      <c r="K25" s="302">
        <f t="shared" si="78"/>
        <v>-703.8999999999993</v>
      </c>
      <c r="L25" s="192">
        <f t="shared" si="78"/>
        <v>443.03332927666941</v>
      </c>
      <c r="M25" s="193">
        <f t="shared" si="78"/>
        <v>1446.333329276667</v>
      </c>
      <c r="N25" s="192">
        <f>N16-N23+N24</f>
        <v>780.69544535611965</v>
      </c>
      <c r="O25" s="192">
        <f t="shared" si="78"/>
        <v>585.31516486881753</v>
      </c>
      <c r="P25" s="192">
        <f t="shared" si="78"/>
        <v>750.52750734433664</v>
      </c>
      <c r="Q25" s="192">
        <f t="shared" si="78"/>
        <v>1244.0342944697336</v>
      </c>
      <c r="R25" s="193">
        <f t="shared" si="78"/>
        <v>3360.5724120390055</v>
      </c>
      <c r="S25" s="192">
        <f t="shared" si="78"/>
        <v>1261.1606281251511</v>
      </c>
      <c r="T25" s="192">
        <f t="shared" si="78"/>
        <v>793.01478690242345</v>
      </c>
      <c r="U25" s="192">
        <f t="shared" si="78"/>
        <v>868.77872716960371</v>
      </c>
      <c r="V25" s="192">
        <f t="shared" si="78"/>
        <v>1395.513324104119</v>
      </c>
      <c r="W25" s="193">
        <f t="shared" si="78"/>
        <v>4318.4674663012938</v>
      </c>
      <c r="X25" s="192">
        <f t="shared" si="78"/>
        <v>1421.2023304069621</v>
      </c>
      <c r="Y25" s="192">
        <f t="shared" si="78"/>
        <v>879.2781220648252</v>
      </c>
      <c r="Z25" s="192">
        <f t="shared" si="78"/>
        <v>948.2801819428272</v>
      </c>
      <c r="AA25" s="192">
        <f t="shared" si="78"/>
        <v>1480.9056685948312</v>
      </c>
      <c r="AB25" s="193">
        <f t="shared" si="78"/>
        <v>4729.6663030094514</v>
      </c>
      <c r="AC25" s="192">
        <f t="shared" si="78"/>
        <v>1565.70300983895</v>
      </c>
      <c r="AD25" s="192">
        <f t="shared" si="78"/>
        <v>964.28491045500175</v>
      </c>
      <c r="AE25" s="192">
        <f t="shared" si="78"/>
        <v>1039.510498412556</v>
      </c>
      <c r="AF25" s="192">
        <f t="shared" si="78"/>
        <v>1594.6353870610678</v>
      </c>
      <c r="AG25" s="193">
        <f t="shared" si="78"/>
        <v>5164.1338057675694</v>
      </c>
      <c r="AH25" s="192">
        <f t="shared" si="78"/>
        <v>1713.4131498152869</v>
      </c>
      <c r="AI25" s="192">
        <f t="shared" si="78"/>
        <v>1057.3768564865491</v>
      </c>
      <c r="AJ25" s="192">
        <f t="shared" si="78"/>
        <v>1139.7566471638565</v>
      </c>
      <c r="AK25" s="192">
        <f t="shared" si="78"/>
        <v>1732.8088640196074</v>
      </c>
      <c r="AL25" s="193">
        <f t="shared" si="78"/>
        <v>5643.3555174853009</v>
      </c>
    </row>
    <row r="26" spans="1:38" ht="17.25">
      <c r="A26" s="297"/>
      <c r="B26" s="348" t="s">
        <v>214</v>
      </c>
      <c r="C26" s="252"/>
      <c r="D26" s="306">
        <f t="shared" ref="D26:AA26" si="79">+D176</f>
        <v>138</v>
      </c>
      <c r="E26" s="306">
        <f t="shared" si="79"/>
        <v>141.4</v>
      </c>
      <c r="F26" s="306">
        <f t="shared" si="79"/>
        <v>125.30000000000001</v>
      </c>
      <c r="G26" s="306">
        <f t="shared" si="79"/>
        <v>77.399999999999991</v>
      </c>
      <c r="H26" s="396">
        <f>SUM(D26:G26)</f>
        <v>482.09999999999997</v>
      </c>
      <c r="I26" s="306">
        <f t="shared" si="79"/>
        <v>71.599999999999994</v>
      </c>
      <c r="J26" s="306">
        <f t="shared" si="79"/>
        <v>66.8</v>
      </c>
      <c r="K26" s="306">
        <f>+K176</f>
        <v>173.67999999999998</v>
      </c>
      <c r="L26" s="253">
        <f t="shared" si="79"/>
        <v>187.04000000000002</v>
      </c>
      <c r="M26" s="254">
        <f>SUM(I26:L26)</f>
        <v>499.11999999999995</v>
      </c>
      <c r="N26" s="253">
        <f t="shared" si="79"/>
        <v>122.65249999999997</v>
      </c>
      <c r="O26" s="253">
        <f t="shared" si="79"/>
        <v>120.73406249999999</v>
      </c>
      <c r="P26" s="253">
        <f t="shared" si="79"/>
        <v>118.15082031249997</v>
      </c>
      <c r="Q26" s="253">
        <f t="shared" si="79"/>
        <v>21.562227123121431</v>
      </c>
      <c r="R26" s="254">
        <f>SUM(N26:Q26)</f>
        <v>383.09960993562134</v>
      </c>
      <c r="S26" s="253">
        <f t="shared" si="79"/>
        <v>122.2393194580078</v>
      </c>
      <c r="T26" s="253">
        <f t="shared" si="79"/>
        <v>128.56923439025877</v>
      </c>
      <c r="U26" s="253">
        <f t="shared" si="79"/>
        <v>136.29038868904112</v>
      </c>
      <c r="V26" s="253">
        <f t="shared" si="79"/>
        <v>131.61668727517127</v>
      </c>
      <c r="W26" s="254">
        <f>SUM(S26:V26)</f>
        <v>518.71562981247894</v>
      </c>
      <c r="X26" s="253">
        <f t="shared" si="79"/>
        <v>124.68877318456768</v>
      </c>
      <c r="Y26" s="253">
        <f t="shared" si="79"/>
        <v>124.94330733263865</v>
      </c>
      <c r="Z26" s="253">
        <f t="shared" si="79"/>
        <v>125.46946293671846</v>
      </c>
      <c r="AA26" s="253">
        <f t="shared" si="79"/>
        <v>126.38429326474576</v>
      </c>
      <c r="AB26" s="254">
        <f>SUM(X26:AA26)</f>
        <v>501.48583671867061</v>
      </c>
      <c r="AC26" s="253">
        <f t="shared" ref="AC26:AF26" si="80">+AC176</f>
        <v>127.52518331639368</v>
      </c>
      <c r="AD26" s="253">
        <f t="shared" si="80"/>
        <v>128.18591629869192</v>
      </c>
      <c r="AE26" s="253">
        <f t="shared" si="80"/>
        <v>128.13800153724605</v>
      </c>
      <c r="AF26" s="253">
        <f t="shared" si="80"/>
        <v>127.1189531432717</v>
      </c>
      <c r="AG26" s="254">
        <f>SUM(AC26:AF26)</f>
        <v>510.96805429560334</v>
      </c>
      <c r="AH26" s="253">
        <f t="shared" ref="AH26:AK26" si="81">+AH176</f>
        <v>126.55673637678426</v>
      </c>
      <c r="AI26" s="253">
        <f t="shared" si="81"/>
        <v>126.79023177581131</v>
      </c>
      <c r="AJ26" s="253">
        <f t="shared" si="81"/>
        <v>127.0210973312079</v>
      </c>
      <c r="AK26" s="253">
        <f t="shared" si="81"/>
        <v>127.21505163051907</v>
      </c>
      <c r="AL26" s="254">
        <f>SUM(AH26:AK26)</f>
        <v>507.58311711432248</v>
      </c>
    </row>
    <row r="27" spans="1:38">
      <c r="A27" s="297"/>
      <c r="B27" s="349" t="s">
        <v>215</v>
      </c>
      <c r="C27" s="241"/>
      <c r="D27" s="307">
        <f t="shared" ref="D27:AA27" si="82">+D25+D26</f>
        <v>1153.7000000000005</v>
      </c>
      <c r="E27" s="307">
        <f t="shared" si="82"/>
        <v>999.09999999999957</v>
      </c>
      <c r="F27" s="307">
        <f t="shared" si="82"/>
        <v>1246.600000000001</v>
      </c>
      <c r="G27" s="307">
        <f t="shared" si="82"/>
        <v>1160.6000000000013</v>
      </c>
      <c r="H27" s="397">
        <f t="shared" ref="H27" si="83">+H25+H26</f>
        <v>4560.0000000000055</v>
      </c>
      <c r="I27" s="307">
        <f t="shared" si="82"/>
        <v>1291.3999999999987</v>
      </c>
      <c r="J27" s="307">
        <f t="shared" si="82"/>
        <v>554.19999999999902</v>
      </c>
      <c r="K27" s="307">
        <f t="shared" si="82"/>
        <v>-530.21999999999935</v>
      </c>
      <c r="L27" s="242">
        <f t="shared" si="82"/>
        <v>630.07332927666948</v>
      </c>
      <c r="M27" s="243">
        <f t="shared" ref="M27" si="84">+M25+M26</f>
        <v>1945.4533292766669</v>
      </c>
      <c r="N27" s="242">
        <f t="shared" si="82"/>
        <v>903.34794535611968</v>
      </c>
      <c r="O27" s="242">
        <f t="shared" si="82"/>
        <v>706.04922736881758</v>
      </c>
      <c r="P27" s="242">
        <f t="shared" si="82"/>
        <v>868.67832765683659</v>
      </c>
      <c r="Q27" s="242">
        <f t="shared" si="82"/>
        <v>1265.596521592855</v>
      </c>
      <c r="R27" s="243">
        <f t="shared" ref="R27" si="85">+R25+R26</f>
        <v>3743.6720219746267</v>
      </c>
      <c r="S27" s="242">
        <f t="shared" si="82"/>
        <v>1383.3999475831588</v>
      </c>
      <c r="T27" s="242">
        <f t="shared" si="82"/>
        <v>921.58402129268222</v>
      </c>
      <c r="U27" s="242">
        <f t="shared" si="82"/>
        <v>1005.0691158586449</v>
      </c>
      <c r="V27" s="242">
        <f t="shared" si="82"/>
        <v>1527.1300113792902</v>
      </c>
      <c r="W27" s="243">
        <f t="shared" ref="W27" si="86">+W25+W26</f>
        <v>4837.183096113773</v>
      </c>
      <c r="X27" s="242">
        <f t="shared" si="82"/>
        <v>1545.8911035915298</v>
      </c>
      <c r="Y27" s="242">
        <f t="shared" si="82"/>
        <v>1004.2214293974639</v>
      </c>
      <c r="Z27" s="242">
        <f t="shared" si="82"/>
        <v>1073.7496448795457</v>
      </c>
      <c r="AA27" s="242">
        <f t="shared" si="82"/>
        <v>1607.289961859577</v>
      </c>
      <c r="AB27" s="243">
        <f t="shared" ref="AB27:AF27" si="87">+AB25+AB26</f>
        <v>5231.1521397281222</v>
      </c>
      <c r="AC27" s="242">
        <f t="shared" si="87"/>
        <v>1693.2281931553437</v>
      </c>
      <c r="AD27" s="242">
        <f t="shared" si="87"/>
        <v>1092.4708267536937</v>
      </c>
      <c r="AE27" s="242">
        <f t="shared" si="87"/>
        <v>1167.648499949802</v>
      </c>
      <c r="AF27" s="242">
        <f t="shared" si="87"/>
        <v>1721.7543402043395</v>
      </c>
      <c r="AG27" s="243">
        <f t="shared" ref="AG27:AK27" si="88">+AG25+AG26</f>
        <v>5675.1018600631724</v>
      </c>
      <c r="AH27" s="242">
        <f t="shared" si="88"/>
        <v>1839.9698861920713</v>
      </c>
      <c r="AI27" s="242">
        <f t="shared" si="88"/>
        <v>1184.1670882623603</v>
      </c>
      <c r="AJ27" s="242">
        <f t="shared" si="88"/>
        <v>1266.7777444950643</v>
      </c>
      <c r="AK27" s="242">
        <f t="shared" si="88"/>
        <v>1860.0239156501266</v>
      </c>
      <c r="AL27" s="243">
        <f t="shared" ref="AL27" si="89">+AL25+AL26</f>
        <v>6150.9386345996236</v>
      </c>
    </row>
    <row r="28" spans="1:38">
      <c r="A28" s="297"/>
      <c r="B28" s="94" t="s">
        <v>204</v>
      </c>
      <c r="C28" s="40"/>
      <c r="D28" s="304">
        <v>0</v>
      </c>
      <c r="E28" s="304">
        <v>21</v>
      </c>
      <c r="F28" s="304">
        <v>601.79999999999995</v>
      </c>
      <c r="G28" s="304">
        <f t="shared" ref="G28:G30" si="90">H28-F28-E28-D28</f>
        <v>0</v>
      </c>
      <c r="H28" s="317">
        <v>622.79999999999995</v>
      </c>
      <c r="I28" s="304">
        <v>0</v>
      </c>
      <c r="J28" s="304">
        <v>0</v>
      </c>
      <c r="K28" s="304">
        <v>0</v>
      </c>
      <c r="L28" s="304">
        <v>0</v>
      </c>
      <c r="M28" s="317">
        <f>SUM(I28:L28)</f>
        <v>0</v>
      </c>
      <c r="N28" s="304">
        <v>0</v>
      </c>
      <c r="O28" s="304">
        <v>0</v>
      </c>
      <c r="P28" s="304">
        <v>0</v>
      </c>
      <c r="Q28" s="304">
        <v>0</v>
      </c>
      <c r="R28" s="317">
        <f>SUM(N28:Q28)</f>
        <v>0</v>
      </c>
      <c r="S28" s="304">
        <v>0</v>
      </c>
      <c r="T28" s="304">
        <v>0</v>
      </c>
      <c r="U28" s="304">
        <v>0</v>
      </c>
      <c r="V28" s="304">
        <v>0</v>
      </c>
      <c r="W28" s="317">
        <f>SUM(S28:V28)</f>
        <v>0</v>
      </c>
      <c r="X28" s="304">
        <v>0</v>
      </c>
      <c r="Y28" s="304">
        <v>0</v>
      </c>
      <c r="Z28" s="304">
        <v>0</v>
      </c>
      <c r="AA28" s="304">
        <v>0</v>
      </c>
      <c r="AB28" s="317">
        <f>SUM(X28:AA28)</f>
        <v>0</v>
      </c>
      <c r="AC28" s="304">
        <v>0</v>
      </c>
      <c r="AD28" s="304">
        <v>0</v>
      </c>
      <c r="AE28" s="304">
        <v>0</v>
      </c>
      <c r="AF28" s="304">
        <v>0</v>
      </c>
      <c r="AG28" s="317">
        <f>SUM(AC28:AF28)</f>
        <v>0</v>
      </c>
      <c r="AH28" s="304">
        <v>0</v>
      </c>
      <c r="AI28" s="304">
        <v>0</v>
      </c>
      <c r="AJ28" s="304">
        <v>0</v>
      </c>
      <c r="AK28" s="304">
        <v>0</v>
      </c>
      <c r="AL28" s="317">
        <f>SUM(AH28:AK28)</f>
        <v>0</v>
      </c>
    </row>
    <row r="29" spans="1:38">
      <c r="A29" s="297"/>
      <c r="B29" s="94" t="s">
        <v>163</v>
      </c>
      <c r="C29" s="40"/>
      <c r="D29" s="304">
        <v>24.8</v>
      </c>
      <c r="E29" s="304">
        <v>15.2</v>
      </c>
      <c r="F29" s="301">
        <v>40.200000000000003</v>
      </c>
      <c r="G29" s="304">
        <f t="shared" si="90"/>
        <v>16.299999999999994</v>
      </c>
      <c r="H29" s="317">
        <v>96.5</v>
      </c>
      <c r="I29" s="304">
        <v>15.9</v>
      </c>
      <c r="J29" s="304">
        <v>2</v>
      </c>
      <c r="K29" s="304">
        <v>12.7</v>
      </c>
      <c r="L29" s="190">
        <f>(K184+K185+K190)*L151</f>
        <v>9.8318996517576309</v>
      </c>
      <c r="M29" s="191">
        <f t="shared" ref="M29" si="91">SUM(I29:L29)</f>
        <v>40.431899651757632</v>
      </c>
      <c r="N29" s="190">
        <f>(L184+L185+L190)*N151</f>
        <v>8.1344825131644605</v>
      </c>
      <c r="O29" s="190">
        <f>(N184+N185+N190)*O151</f>
        <v>7.0693618558556395</v>
      </c>
      <c r="P29" s="190">
        <f>(O184+O185+O190)*P151</f>
        <v>6.9814718193979974</v>
      </c>
      <c r="Q29" s="190">
        <f>(P184+P185+P190)*Q151</f>
        <v>5.5625636963041867</v>
      </c>
      <c r="R29" s="191">
        <f t="shared" ref="R29" si="92">SUM(N29:Q29)</f>
        <v>27.747879884722288</v>
      </c>
      <c r="S29" s="190">
        <f>(Q184+Q185+Q190)*S151</f>
        <v>5.3789845266499556</v>
      </c>
      <c r="T29" s="190">
        <f>(S184+S185+S190)*T151</f>
        <v>6.0594100119373042</v>
      </c>
      <c r="U29" s="190">
        <f>(T184+T185+T190)*U151</f>
        <v>5.1282472399215999</v>
      </c>
      <c r="V29" s="190">
        <f>(U184+U185+U190)*V151</f>
        <v>4.1730610655779392</v>
      </c>
      <c r="W29" s="191">
        <f t="shared" ref="W29" si="93">SUM(S29:V29)</f>
        <v>20.7397028440868</v>
      </c>
      <c r="X29" s="190">
        <f>(V184+V185+V190)*X151</f>
        <v>5.4331538693381241</v>
      </c>
      <c r="Y29" s="190">
        <f>(X184+X185+X190)*Y151</f>
        <v>6.1249659649467132</v>
      </c>
      <c r="Z29" s="190">
        <f>(Y184+Y185+Y190)*Z151</f>
        <v>4.88801166067078</v>
      </c>
      <c r="AA29" s="190">
        <f>(Z184+Z185+Z190)*AA151</f>
        <v>4.1036524010654905</v>
      </c>
      <c r="AB29" s="191">
        <f t="shared" ref="AB29" si="94">SUM(X29:AA29)</f>
        <v>20.549783896021111</v>
      </c>
      <c r="AC29" s="190">
        <f>(AA184+AA185+AA190)*AC151</f>
        <v>6.5383516083078712</v>
      </c>
      <c r="AD29" s="190">
        <f>(AC184+AC185+AC190)*AD151</f>
        <v>7.0274913196153417</v>
      </c>
      <c r="AE29" s="190">
        <f>(AD184+AD185+AD190)*AE151</f>
        <v>5.5277255502137495</v>
      </c>
      <c r="AF29" s="190">
        <f>(AE184+AE185+AE190)*AF151</f>
        <v>4.5057649875498544</v>
      </c>
      <c r="AG29" s="191">
        <f t="shared" ref="AG29" si="95">SUM(AC29:AF29)</f>
        <v>23.599333465686819</v>
      </c>
      <c r="AH29" s="190">
        <f>(AF184+AF185+AF190)*AH151</f>
        <v>9.5196768675159227</v>
      </c>
      <c r="AI29" s="190">
        <f>(AH184+AH185+AH190)*AI151</f>
        <v>9.4822624757592706</v>
      </c>
      <c r="AJ29" s="190">
        <f>(AI184+AI185+AI190)*AJ151</f>
        <v>7.2670344075895308</v>
      </c>
      <c r="AK29" s="190">
        <f>(AJ184+AJ185+AJ190)*AK151</f>
        <v>5.5990851699256199</v>
      </c>
      <c r="AL29" s="191">
        <f t="shared" ref="AL29" si="96">SUM(AH29:AK29)</f>
        <v>31.868058920790343</v>
      </c>
    </row>
    <row r="30" spans="1:38" ht="17.25">
      <c r="A30" s="297"/>
      <c r="B30" s="94" t="s">
        <v>164</v>
      </c>
      <c r="C30" s="83"/>
      <c r="D30" s="303">
        <v>-75</v>
      </c>
      <c r="E30" s="303">
        <v>-73.900000000000006</v>
      </c>
      <c r="F30" s="303">
        <v>-86.4</v>
      </c>
      <c r="G30" s="303">
        <f t="shared" si="90"/>
        <v>-95.699999999999989</v>
      </c>
      <c r="H30" s="327">
        <v>-331</v>
      </c>
      <c r="I30" s="303">
        <v>-91.9</v>
      </c>
      <c r="J30" s="303">
        <v>-99.2</v>
      </c>
      <c r="K30" s="303">
        <v>-120.8</v>
      </c>
      <c r="L30" s="194">
        <f>-(K206+K209)*L152</f>
        <v>-131.82973718590847</v>
      </c>
      <c r="M30" s="421">
        <f t="shared" ref="M30" si="97">SUM(I30:L30)</f>
        <v>-443.7297371859085</v>
      </c>
      <c r="N30" s="194">
        <f>-(L206+L209)*N152</f>
        <v>-128.90455422236997</v>
      </c>
      <c r="O30" s="194">
        <f>-(N206+N209)*O152</f>
        <v>-124.69907629149446</v>
      </c>
      <c r="P30" s="194">
        <f>-(O206+O209)*P152</f>
        <v>-121.61005930819697</v>
      </c>
      <c r="Q30" s="194">
        <f>-(P206+P209)*Q152</f>
        <v>-118.19776621193658</v>
      </c>
      <c r="R30" s="195">
        <f t="shared" ref="R30" si="98">SUM(N30:Q30)</f>
        <v>-493.41145603399798</v>
      </c>
      <c r="S30" s="194">
        <f>-(Q206+Q209)*S152</f>
        <v>-118.69757421679759</v>
      </c>
      <c r="T30" s="194">
        <f>-(S206+S209)*T152</f>
        <v>-116.64343207225602</v>
      </c>
      <c r="U30" s="194">
        <f>-(T206+T209)*U152</f>
        <v>-114.74572031431998</v>
      </c>
      <c r="V30" s="194">
        <f>-(U206+U209)*V152</f>
        <v>-112.78513962805583</v>
      </c>
      <c r="W30" s="195">
        <f t="shared" ref="W30" si="99">SUM(S30:V30)</f>
        <v>-462.87186623142941</v>
      </c>
      <c r="X30" s="194">
        <f>-(V206+V209)*X152</f>
        <v>-117.87231200688663</v>
      </c>
      <c r="Y30" s="194">
        <f>-(X206+X209)*Y152</f>
        <v>-115.9035121148794</v>
      </c>
      <c r="Z30" s="194">
        <f>-(Y206+Y209)*Z152</f>
        <v>-113.95570627709932</v>
      </c>
      <c r="AA30" s="194">
        <f>-(Z206+Z209)*AA152</f>
        <v>-111.99550735425342</v>
      </c>
      <c r="AB30" s="195">
        <f t="shared" ref="AB30" si="100">SUM(X30:AA30)</f>
        <v>-459.72703775311879</v>
      </c>
      <c r="AC30" s="194">
        <f>-(AA206+AA209)*AC152</f>
        <v>-121.34011528986524</v>
      </c>
      <c r="AD30" s="194">
        <f>-(AC206+AC209)*AD152</f>
        <v>-118.31740484776046</v>
      </c>
      <c r="AE30" s="194">
        <f>-(AD206+AD209)*AE152</f>
        <v>-115.29710291270065</v>
      </c>
      <c r="AF30" s="194">
        <f>-(AE206+AE209)*AF152</f>
        <v>-112.27451450537613</v>
      </c>
      <c r="AG30" s="195">
        <f t="shared" ref="AG30" si="101">SUM(AC30:AF30)</f>
        <v>-467.22913755570249</v>
      </c>
      <c r="AH30" s="194">
        <f>-(AF206+AF209)*AH152</f>
        <v>-131.9713121683163</v>
      </c>
      <c r="AI30" s="194">
        <f>-(AH206+AH209)*AI152</f>
        <v>-126.09574277194325</v>
      </c>
      <c r="AJ30" s="194">
        <f>-(AI206+AI209)*AJ152</f>
        <v>-120.22035582686104</v>
      </c>
      <c r="AK30" s="194">
        <f>-(AJ206+AJ209)*AK152</f>
        <v>-114.34457998059793</v>
      </c>
      <c r="AL30" s="195">
        <f t="shared" ref="AL30" si="102">SUM(AH30:AK30)</f>
        <v>-492.63199074771853</v>
      </c>
    </row>
    <row r="31" spans="1:38">
      <c r="A31" s="297"/>
      <c r="B31" s="555" t="s">
        <v>70</v>
      </c>
      <c r="C31" s="556"/>
      <c r="D31" s="302">
        <f t="shared" ref="D31:AB31" si="103">D25+D29+D30+D28</f>
        <v>965.50000000000045</v>
      </c>
      <c r="E31" s="302">
        <f t="shared" si="103"/>
        <v>819.99999999999966</v>
      </c>
      <c r="F31" s="302">
        <f t="shared" si="103"/>
        <v>1676.900000000001</v>
      </c>
      <c r="G31" s="302">
        <f t="shared" si="103"/>
        <v>1003.8000000000011</v>
      </c>
      <c r="H31" s="318">
        <f t="shared" si="103"/>
        <v>4466.2000000000053</v>
      </c>
      <c r="I31" s="302">
        <f t="shared" si="103"/>
        <v>1143.7999999999988</v>
      </c>
      <c r="J31" s="302">
        <f t="shared" si="103"/>
        <v>390.19999999999908</v>
      </c>
      <c r="K31" s="302">
        <f t="shared" si="103"/>
        <v>-811.9999999999992</v>
      </c>
      <c r="L31" s="192">
        <f t="shared" si="103"/>
        <v>321.03549174251856</v>
      </c>
      <c r="M31" s="193">
        <f t="shared" si="103"/>
        <v>1043.0354917425161</v>
      </c>
      <c r="N31" s="192">
        <f t="shared" si="103"/>
        <v>659.92537364691418</v>
      </c>
      <c r="O31" s="192">
        <f t="shared" si="103"/>
        <v>467.68545043317869</v>
      </c>
      <c r="P31" s="192">
        <f t="shared" si="103"/>
        <v>635.89891985553777</v>
      </c>
      <c r="Q31" s="192">
        <f t="shared" si="103"/>
        <v>1131.3990919541011</v>
      </c>
      <c r="R31" s="193">
        <f t="shared" si="103"/>
        <v>2894.9088358897297</v>
      </c>
      <c r="S31" s="192">
        <f t="shared" si="103"/>
        <v>1147.8420384350034</v>
      </c>
      <c r="T31" s="192">
        <f t="shared" si="103"/>
        <v>682.43076484210474</v>
      </c>
      <c r="U31" s="192">
        <f t="shared" si="103"/>
        <v>759.16125409520532</v>
      </c>
      <c r="V31" s="192">
        <f t="shared" si="103"/>
        <v>1286.9012455416412</v>
      </c>
      <c r="W31" s="193">
        <f t="shared" si="103"/>
        <v>3876.3353029139507</v>
      </c>
      <c r="X31" s="192">
        <f t="shared" si="103"/>
        <v>1308.7631722694136</v>
      </c>
      <c r="Y31" s="192">
        <f t="shared" si="103"/>
        <v>769.49957591489249</v>
      </c>
      <c r="Z31" s="192">
        <f t="shared" si="103"/>
        <v>839.21248732639867</v>
      </c>
      <c r="AA31" s="192">
        <f t="shared" si="103"/>
        <v>1373.0138136416433</v>
      </c>
      <c r="AB31" s="193">
        <f t="shared" si="103"/>
        <v>4290.4890491523538</v>
      </c>
      <c r="AC31" s="192">
        <f t="shared" ref="AC31:AG31" si="104">AC25+AC29+AC30+AC28</f>
        <v>1450.9012461573927</v>
      </c>
      <c r="AD31" s="192">
        <f t="shared" si="104"/>
        <v>852.99499692685663</v>
      </c>
      <c r="AE31" s="192">
        <f t="shared" si="104"/>
        <v>929.74112105006907</v>
      </c>
      <c r="AF31" s="192">
        <f t="shared" si="104"/>
        <v>1486.8666375432415</v>
      </c>
      <c r="AG31" s="193">
        <f t="shared" si="104"/>
        <v>4720.5040016775538</v>
      </c>
      <c r="AH31" s="192">
        <f t="shared" ref="AH31:AL31" si="105">AH25+AH29+AH30+AH28</f>
        <v>1590.9615145144867</v>
      </c>
      <c r="AI31" s="192">
        <f t="shared" si="105"/>
        <v>940.76337619036497</v>
      </c>
      <c r="AJ31" s="192">
        <f t="shared" si="105"/>
        <v>1026.803325744585</v>
      </c>
      <c r="AK31" s="192">
        <f t="shared" si="105"/>
        <v>1624.0633692089352</v>
      </c>
      <c r="AL31" s="193">
        <f t="shared" si="105"/>
        <v>5182.5915856583733</v>
      </c>
    </row>
    <row r="32" spans="1:38" ht="17.25">
      <c r="A32" s="297"/>
      <c r="B32" s="559" t="s">
        <v>35</v>
      </c>
      <c r="C32" s="560"/>
      <c r="D32" s="303">
        <v>205.1</v>
      </c>
      <c r="E32" s="303">
        <v>161.19999999999999</v>
      </c>
      <c r="F32" s="303">
        <v>303.7</v>
      </c>
      <c r="G32" s="303">
        <f t="shared" ref="G32" si="106">H32-F32-E32-D32</f>
        <v>201.60000000000011</v>
      </c>
      <c r="H32" s="327">
        <v>871.6</v>
      </c>
      <c r="I32" s="303">
        <v>258.5</v>
      </c>
      <c r="J32" s="303">
        <v>65.400000000000006</v>
      </c>
      <c r="K32" s="303">
        <v>-133.9</v>
      </c>
      <c r="L32" s="194">
        <f>+L31*L150</f>
        <v>80.25887293562964</v>
      </c>
      <c r="M32" s="195">
        <f>SUM(I32:L32)</f>
        <v>270.2588729356296</v>
      </c>
      <c r="N32" s="194">
        <f>+N31*N150</f>
        <v>164.98134341172855</v>
      </c>
      <c r="O32" s="194">
        <f>+O31*O150</f>
        <v>116.92136260829467</v>
      </c>
      <c r="P32" s="194">
        <f>+P31*P150</f>
        <v>158.97472996388444</v>
      </c>
      <c r="Q32" s="194">
        <f>+Q31*Q150</f>
        <v>282.84977298852527</v>
      </c>
      <c r="R32" s="195">
        <f>SUM(N32:Q32)</f>
        <v>723.72720897243289</v>
      </c>
      <c r="S32" s="194">
        <f>+S31*S150</f>
        <v>285.06591332073828</v>
      </c>
      <c r="T32" s="194">
        <f>+T31*T150</f>
        <v>169.19968955328349</v>
      </c>
      <c r="U32" s="194">
        <f>+U31*U150</f>
        <v>187.83242204427557</v>
      </c>
      <c r="V32" s="194">
        <f>+V31*V150</f>
        <v>317.57663254734177</v>
      </c>
      <c r="W32" s="195">
        <f>SUM(S32:V32)</f>
        <v>959.67465746563914</v>
      </c>
      <c r="X32" s="194">
        <f>+X31*X150</f>
        <v>324.07705538578051</v>
      </c>
      <c r="Y32" s="194">
        <f>+Y31*Y150</f>
        <v>190.40398357852581</v>
      </c>
      <c r="Z32" s="194">
        <f>+Z31*Z150</f>
        <v>207.54915926512396</v>
      </c>
      <c r="AA32" s="194">
        <f>+AA31*AA150</f>
        <v>339.52914845301575</v>
      </c>
      <c r="AB32" s="195">
        <f>SUM(X32:AA32)</f>
        <v>1061.5593466824462</v>
      </c>
      <c r="AC32" s="194">
        <f>+AC31*AC150</f>
        <v>358.97518735903589</v>
      </c>
      <c r="AD32" s="194">
        <f>+AD31*AD150</f>
        <v>211.00019366587205</v>
      </c>
      <c r="AE32" s="194">
        <f>+AE31*AE150</f>
        <v>229.96703429949221</v>
      </c>
      <c r="AF32" s="194">
        <f>+AF31*AF150</f>
        <v>367.78091306399529</v>
      </c>
      <c r="AG32" s="195">
        <f>SUM(AC32:AF32)</f>
        <v>1167.7233283883954</v>
      </c>
      <c r="AH32" s="194">
        <f>+AH31*AH150</f>
        <v>393.55514311992351</v>
      </c>
      <c r="AI32" s="194">
        <f>+AI31*AI150</f>
        <v>232.70523481909086</v>
      </c>
      <c r="AJ32" s="194">
        <f>+AJ31*AJ150</f>
        <v>253.98634179362355</v>
      </c>
      <c r="AK32" s="194">
        <f>+AK31*AK150</f>
        <v>401.72693832230834</v>
      </c>
      <c r="AL32" s="195">
        <f>SUM(AH32:AK32)</f>
        <v>1281.9736580549461</v>
      </c>
    </row>
    <row r="33" spans="1:38">
      <c r="A33" s="362"/>
      <c r="B33" s="555" t="s">
        <v>165</v>
      </c>
      <c r="C33" s="556"/>
      <c r="D33" s="302">
        <f t="shared" ref="D33:AA33" si="107">+D31-D32</f>
        <v>760.40000000000043</v>
      </c>
      <c r="E33" s="302">
        <f t="shared" si="107"/>
        <v>658.79999999999973</v>
      </c>
      <c r="F33" s="302">
        <f t="shared" si="107"/>
        <v>1373.200000000001</v>
      </c>
      <c r="G33" s="302">
        <f t="shared" si="107"/>
        <v>802.20000000000095</v>
      </c>
      <c r="H33" s="318">
        <f t="shared" ref="H33" si="108">+H31-H32</f>
        <v>3594.6000000000054</v>
      </c>
      <c r="I33" s="302">
        <f t="shared" si="107"/>
        <v>885.29999999999882</v>
      </c>
      <c r="J33" s="302">
        <f t="shared" si="107"/>
        <v>324.79999999999905</v>
      </c>
      <c r="K33" s="302">
        <f t="shared" si="107"/>
        <v>-678.09999999999923</v>
      </c>
      <c r="L33" s="192">
        <f t="shared" si="107"/>
        <v>240.77661880688891</v>
      </c>
      <c r="M33" s="193">
        <f t="shared" ref="M33" si="109">+M31-M32</f>
        <v>772.77661880688652</v>
      </c>
      <c r="N33" s="192">
        <f t="shared" si="107"/>
        <v>494.94403023518566</v>
      </c>
      <c r="O33" s="192">
        <f t="shared" si="107"/>
        <v>350.76408782488403</v>
      </c>
      <c r="P33" s="192">
        <f t="shared" si="107"/>
        <v>476.92418989165333</v>
      </c>
      <c r="Q33" s="192">
        <f t="shared" si="107"/>
        <v>848.54931896557582</v>
      </c>
      <c r="R33" s="193">
        <f t="shared" ref="R33" si="110">+R31-R32</f>
        <v>2171.1816269172969</v>
      </c>
      <c r="S33" s="192">
        <f t="shared" si="107"/>
        <v>862.77612511426514</v>
      </c>
      <c r="T33" s="192">
        <f t="shared" si="107"/>
        <v>513.23107528882122</v>
      </c>
      <c r="U33" s="192">
        <f t="shared" si="107"/>
        <v>571.3288320509298</v>
      </c>
      <c r="V33" s="192">
        <f t="shared" si="107"/>
        <v>969.3246129942994</v>
      </c>
      <c r="W33" s="193">
        <f t="shared" ref="W33" si="111">+W31-W32</f>
        <v>2916.6606454483117</v>
      </c>
      <c r="X33" s="192">
        <f t="shared" si="107"/>
        <v>984.68611688363308</v>
      </c>
      <c r="Y33" s="192">
        <f t="shared" si="107"/>
        <v>579.09559233636674</v>
      </c>
      <c r="Z33" s="192">
        <f t="shared" si="107"/>
        <v>631.66332806127468</v>
      </c>
      <c r="AA33" s="192">
        <f t="shared" si="107"/>
        <v>1033.4846651886276</v>
      </c>
      <c r="AB33" s="193">
        <f t="shared" ref="AB33:AF33" si="112">+AB31-AB32</f>
        <v>3228.9297024699076</v>
      </c>
      <c r="AC33" s="192">
        <f t="shared" si="112"/>
        <v>1091.9260587983567</v>
      </c>
      <c r="AD33" s="192">
        <f t="shared" si="112"/>
        <v>641.99480326098455</v>
      </c>
      <c r="AE33" s="192">
        <f t="shared" si="112"/>
        <v>699.77408675057688</v>
      </c>
      <c r="AF33" s="302">
        <f t="shared" si="112"/>
        <v>1119.0857244792462</v>
      </c>
      <c r="AG33" s="318">
        <f t="shared" ref="AG33:AK33" si="113">+AG31-AG32</f>
        <v>3552.7806732891586</v>
      </c>
      <c r="AH33" s="302">
        <f t="shared" si="113"/>
        <v>1197.4063713945632</v>
      </c>
      <c r="AI33" s="302">
        <f t="shared" si="113"/>
        <v>708.05814137127413</v>
      </c>
      <c r="AJ33" s="302">
        <f t="shared" si="113"/>
        <v>772.81698395096146</v>
      </c>
      <c r="AK33" s="302">
        <f t="shared" si="113"/>
        <v>1222.3364308866269</v>
      </c>
      <c r="AL33" s="193">
        <f t="shared" ref="AL33" si="114">+AL31-AL32</f>
        <v>3900.6179276034272</v>
      </c>
    </row>
    <row r="34" spans="1:38" ht="17.25">
      <c r="A34" s="362"/>
      <c r="B34" s="347" t="s">
        <v>166</v>
      </c>
      <c r="C34" s="85"/>
      <c r="D34" s="303">
        <v>-0.2</v>
      </c>
      <c r="E34" s="303">
        <v>-4.4000000000000004</v>
      </c>
      <c r="F34" s="303">
        <v>0.4</v>
      </c>
      <c r="G34" s="303">
        <f t="shared" ref="G34" si="115">H34-F34-E34-D34</f>
        <v>-0.39999999999999963</v>
      </c>
      <c r="H34" s="327">
        <v>-4.5999999999999996</v>
      </c>
      <c r="I34" s="303">
        <v>-0.4</v>
      </c>
      <c r="J34" s="303">
        <v>-3.6</v>
      </c>
      <c r="K34" s="303">
        <v>0.3</v>
      </c>
      <c r="L34" s="303">
        <f>AVERAGE(K34,J34,I34,G34)</f>
        <v>-1.0249999999999999</v>
      </c>
      <c r="M34" s="327">
        <f>SUM(I34:L34)</f>
        <v>-4.7249999999999996</v>
      </c>
      <c r="N34" s="303">
        <f>AVERAGE(L34,K34,J34,I34)</f>
        <v>-1.1812500000000001</v>
      </c>
      <c r="O34" s="303">
        <f>AVERAGE(N34,L34,K34,J34)</f>
        <v>-1.3765624999999999</v>
      </c>
      <c r="P34" s="303">
        <f>AVERAGE(O34,N34,L34,K34)</f>
        <v>-0.82070312499999998</v>
      </c>
      <c r="Q34" s="303">
        <f>AVERAGE(P34,O34,N34,L34)</f>
        <v>-1.1008789062500002</v>
      </c>
      <c r="R34" s="327">
        <f>SUM(N34:Q34)</f>
        <v>-4.4793945312499996</v>
      </c>
      <c r="S34" s="303">
        <f>AVERAGE(Q34,P34,O34,N34)</f>
        <v>-1.1198486328125001</v>
      </c>
      <c r="T34" s="303">
        <f>AVERAGE(S34,Q34,P34,O34)</f>
        <v>-1.1044982910156251</v>
      </c>
      <c r="U34" s="303">
        <f>AVERAGE(T34,S34,Q34,P34)</f>
        <v>-1.0364822387695314</v>
      </c>
      <c r="V34" s="303">
        <f>AVERAGE(U34,T34,S34,Q34)</f>
        <v>-1.0904270172119142</v>
      </c>
      <c r="W34" s="327">
        <f>SUM(S34:V34)</f>
        <v>-4.351256179809571</v>
      </c>
      <c r="X34" s="303">
        <f>AVERAGE(V34,U34,T34,S34)</f>
        <v>-1.0878140449523928</v>
      </c>
      <c r="Y34" s="303">
        <f>AVERAGE(X34,V34,U34,T34)</f>
        <v>-1.0798053979873659</v>
      </c>
      <c r="Z34" s="303">
        <f>AVERAGE(Y34,X34,V34,U34)</f>
        <v>-1.073632174730301</v>
      </c>
      <c r="AA34" s="303">
        <f>AVERAGE(Z34,Y34,X34,V34)</f>
        <v>-1.0829196587204934</v>
      </c>
      <c r="AB34" s="327">
        <f>SUM(X34:AA34)</f>
        <v>-4.3241712763905538</v>
      </c>
      <c r="AC34" s="303">
        <f>AVERAGE(AA34,Z34,Y34,X34)</f>
        <v>-1.0810428190976382</v>
      </c>
      <c r="AD34" s="303">
        <f>AVERAGE(AC34,AA34,Z34,Y34)</f>
        <v>-1.0793500126339497</v>
      </c>
      <c r="AE34" s="303">
        <f>AVERAGE(AD34,AC34,AA34,Z34)</f>
        <v>-1.0792361662955956</v>
      </c>
      <c r="AF34" s="303">
        <f>AVERAGE(AE34,AD34,AC34,AA34)</f>
        <v>-1.0806371641869192</v>
      </c>
      <c r="AG34" s="327">
        <f>SUM(AC34:AF34)</f>
        <v>-4.3202661622141028</v>
      </c>
      <c r="AH34" s="303">
        <f>AVERAGE(AF34,AE34,AD34,AC34)</f>
        <v>-1.0800665405535257</v>
      </c>
      <c r="AI34" s="303">
        <f>AVERAGE(AH34,AF34,AE34,AD34)</f>
        <v>-1.0798224709174975</v>
      </c>
      <c r="AJ34" s="303">
        <f>AVERAGE(AI34,AH34,AF34,AE34)</f>
        <v>-1.0799405854883846</v>
      </c>
      <c r="AK34" s="303">
        <f>AVERAGE(AJ34,AI34,AH34,AF34)</f>
        <v>-1.0801166902865817</v>
      </c>
      <c r="AL34" s="195">
        <f>SUM(AH34:AK34)</f>
        <v>-4.3199462872459895</v>
      </c>
    </row>
    <row r="35" spans="1:38" s="20" customFormat="1">
      <c r="A35" s="388"/>
      <c r="B35" s="344" t="s">
        <v>111</v>
      </c>
      <c r="C35" s="93"/>
      <c r="D35" s="302">
        <f t="shared" ref="D35:AB35" si="116">+D33-D34</f>
        <v>760.60000000000048</v>
      </c>
      <c r="E35" s="302">
        <f t="shared" si="116"/>
        <v>663.1999999999997</v>
      </c>
      <c r="F35" s="302">
        <f t="shared" si="116"/>
        <v>1372.8000000000009</v>
      </c>
      <c r="G35" s="302">
        <f t="shared" si="116"/>
        <v>802.60000000000093</v>
      </c>
      <c r="H35" s="318">
        <f t="shared" si="116"/>
        <v>3599.2000000000053</v>
      </c>
      <c r="I35" s="302">
        <f t="shared" si="116"/>
        <v>885.69999999999879</v>
      </c>
      <c r="J35" s="302">
        <f t="shared" si="116"/>
        <v>328.39999999999907</v>
      </c>
      <c r="K35" s="302">
        <f t="shared" si="116"/>
        <v>-678.39999999999918</v>
      </c>
      <c r="L35" s="192">
        <f t="shared" si="116"/>
        <v>241.80161880688891</v>
      </c>
      <c r="M35" s="193">
        <f t="shared" si="116"/>
        <v>777.50161880688654</v>
      </c>
      <c r="N35" s="192">
        <f t="shared" si="116"/>
        <v>496.12528023518564</v>
      </c>
      <c r="O35" s="192">
        <f t="shared" si="116"/>
        <v>352.14065032488401</v>
      </c>
      <c r="P35" s="192">
        <f t="shared" si="116"/>
        <v>477.74489301665335</v>
      </c>
      <c r="Q35" s="192">
        <f t="shared" si="116"/>
        <v>849.65019787182587</v>
      </c>
      <c r="R35" s="193">
        <f t="shared" si="116"/>
        <v>2175.6610214485468</v>
      </c>
      <c r="S35" s="192">
        <f t="shared" si="116"/>
        <v>863.89597374707762</v>
      </c>
      <c r="T35" s="192">
        <f t="shared" si="116"/>
        <v>514.33557357983682</v>
      </c>
      <c r="U35" s="192">
        <f t="shared" si="116"/>
        <v>572.36531428969931</v>
      </c>
      <c r="V35" s="192">
        <f t="shared" si="116"/>
        <v>970.41504001151134</v>
      </c>
      <c r="W35" s="193">
        <f t="shared" si="116"/>
        <v>2921.0119016281214</v>
      </c>
      <c r="X35" s="192">
        <f t="shared" si="116"/>
        <v>985.77393092858551</v>
      </c>
      <c r="Y35" s="192">
        <f t="shared" si="116"/>
        <v>580.17539773435408</v>
      </c>
      <c r="Z35" s="192">
        <f t="shared" si="116"/>
        <v>632.73696023600496</v>
      </c>
      <c r="AA35" s="192">
        <f t="shared" si="116"/>
        <v>1034.5675848473481</v>
      </c>
      <c r="AB35" s="193">
        <f t="shared" si="116"/>
        <v>3233.2538737462983</v>
      </c>
      <c r="AC35" s="192">
        <f t="shared" ref="AC35:AG35" si="117">+AC33-AC34</f>
        <v>1093.0071016174543</v>
      </c>
      <c r="AD35" s="192">
        <f t="shared" si="117"/>
        <v>643.07415327361855</v>
      </c>
      <c r="AE35" s="192">
        <f t="shared" si="117"/>
        <v>700.85332291687246</v>
      </c>
      <c r="AF35" s="192">
        <f t="shared" si="117"/>
        <v>1120.1663616434332</v>
      </c>
      <c r="AG35" s="193">
        <f t="shared" si="117"/>
        <v>3557.1009394513726</v>
      </c>
      <c r="AH35" s="192">
        <f t="shared" ref="AH35:AL35" si="118">+AH33-AH34</f>
        <v>1198.4864379351168</v>
      </c>
      <c r="AI35" s="192">
        <f t="shared" si="118"/>
        <v>709.13796384219165</v>
      </c>
      <c r="AJ35" s="192">
        <f t="shared" si="118"/>
        <v>773.89692453644989</v>
      </c>
      <c r="AK35" s="192">
        <f t="shared" si="118"/>
        <v>1223.4165475769134</v>
      </c>
      <c r="AL35" s="193">
        <f t="shared" si="118"/>
        <v>3904.937873890673</v>
      </c>
    </row>
    <row r="36" spans="1:38" s="20" customFormat="1" ht="17.25">
      <c r="A36" s="388"/>
      <c r="B36" s="251" t="s">
        <v>216</v>
      </c>
      <c r="C36" s="248"/>
      <c r="D36" s="308">
        <f t="shared" ref="D36:AA36" si="119">-D177-D178</f>
        <v>41.449999999998646</v>
      </c>
      <c r="E36" s="308">
        <f t="shared" si="119"/>
        <v>-54.179999999999545</v>
      </c>
      <c r="F36" s="308">
        <f t="shared" si="119"/>
        <v>-544.16000000000076</v>
      </c>
      <c r="G36" s="308">
        <f t="shared" si="119"/>
        <v>-30</v>
      </c>
      <c r="H36" s="398">
        <f>SUM(D36:G36)</f>
        <v>-586.89000000000169</v>
      </c>
      <c r="I36" s="308">
        <f t="shared" si="119"/>
        <v>-11</v>
      </c>
      <c r="J36" s="308">
        <f t="shared" si="119"/>
        <v>-23</v>
      </c>
      <c r="K36" s="308">
        <f t="shared" si="119"/>
        <v>-35.055</v>
      </c>
      <c r="L36" s="255">
        <f>-L177-L178</f>
        <v>-46.76</v>
      </c>
      <c r="M36" s="256">
        <f>SUM(I36:L36)</f>
        <v>-115.815</v>
      </c>
      <c r="N36" s="255">
        <f t="shared" si="119"/>
        <v>-24.530499999999996</v>
      </c>
      <c r="O36" s="255">
        <f t="shared" si="119"/>
        <v>-24.146812499999999</v>
      </c>
      <c r="P36" s="255">
        <f t="shared" si="119"/>
        <v>-23.630164062499997</v>
      </c>
      <c r="Q36" s="255">
        <f t="shared" si="119"/>
        <v>-4.3124454246242863</v>
      </c>
      <c r="R36" s="256">
        <f>SUM(N36:Q36)</f>
        <v>-76.619921987124286</v>
      </c>
      <c r="S36" s="255">
        <f t="shared" si="119"/>
        <v>-24.44786389160156</v>
      </c>
      <c r="T36" s="255">
        <f t="shared" si="119"/>
        <v>-25.713846878051754</v>
      </c>
      <c r="U36" s="255">
        <f t="shared" si="119"/>
        <v>-27.258077737808225</v>
      </c>
      <c r="V36" s="255">
        <f t="shared" si="119"/>
        <v>-26.323337455034256</v>
      </c>
      <c r="W36" s="256">
        <f>SUM(S36:V36)</f>
        <v>-103.74312596249578</v>
      </c>
      <c r="X36" s="255">
        <f t="shared" si="119"/>
        <v>-24.937754636913539</v>
      </c>
      <c r="Y36" s="255">
        <f t="shared" si="119"/>
        <v>-24.988661466527731</v>
      </c>
      <c r="Z36" s="255">
        <f t="shared" si="119"/>
        <v>-25.093892587343692</v>
      </c>
      <c r="AA36" s="255">
        <f t="shared" si="119"/>
        <v>-25.276858652949155</v>
      </c>
      <c r="AB36" s="256">
        <f>SUM(X36:AA36)</f>
        <v>-100.29716734373412</v>
      </c>
      <c r="AC36" s="255">
        <f t="shared" ref="AC36:AF36" si="120">-AC177-AC178</f>
        <v>-25.505036663278737</v>
      </c>
      <c r="AD36" s="255">
        <f t="shared" si="120"/>
        <v>-25.637183259738386</v>
      </c>
      <c r="AE36" s="255">
        <f t="shared" si="120"/>
        <v>-25.627600307449214</v>
      </c>
      <c r="AF36" s="255">
        <f t="shared" si="120"/>
        <v>-25.423790628654341</v>
      </c>
      <c r="AG36" s="256">
        <f>SUM(AC36:AF36)</f>
        <v>-102.19361085912068</v>
      </c>
      <c r="AH36" s="255">
        <f t="shared" ref="AH36:AK36" si="121">-AH177-AH178</f>
        <v>-25.311347275356852</v>
      </c>
      <c r="AI36" s="255">
        <f t="shared" si="121"/>
        <v>-25.358046355162262</v>
      </c>
      <c r="AJ36" s="255">
        <f t="shared" si="121"/>
        <v>-25.404219466241582</v>
      </c>
      <c r="AK36" s="255">
        <f t="shared" si="121"/>
        <v>-25.443010326103817</v>
      </c>
      <c r="AL36" s="256">
        <f>SUM(AH36:AK36)</f>
        <v>-101.51662342286451</v>
      </c>
    </row>
    <row r="37" spans="1:38" s="20" customFormat="1">
      <c r="A37" s="388"/>
      <c r="B37" s="249" t="s">
        <v>217</v>
      </c>
      <c r="C37" s="250"/>
      <c r="D37" s="307">
        <f t="shared" ref="D37:AB37" si="122">+D27+D28+D29+D30-D32-D34+D36</f>
        <v>940.04999999999916</v>
      </c>
      <c r="E37" s="307">
        <f t="shared" si="122"/>
        <v>750.42000000000007</v>
      </c>
      <c r="F37" s="307">
        <f t="shared" si="122"/>
        <v>953.94</v>
      </c>
      <c r="G37" s="307">
        <f t="shared" si="122"/>
        <v>850.00000000000102</v>
      </c>
      <c r="H37" s="397">
        <f t="shared" si="122"/>
        <v>3494.4100000000039</v>
      </c>
      <c r="I37" s="307">
        <f t="shared" si="122"/>
        <v>946.2999999999987</v>
      </c>
      <c r="J37" s="307">
        <f t="shared" si="122"/>
        <v>372.19999999999902</v>
      </c>
      <c r="K37" s="307">
        <f t="shared" si="122"/>
        <v>-539.7749999999993</v>
      </c>
      <c r="L37" s="242">
        <f>+L27+L28+L29+L30-L32-L34+L36</f>
        <v>382.08161880688903</v>
      </c>
      <c r="M37" s="243">
        <f t="shared" si="122"/>
        <v>1160.8066188068863</v>
      </c>
      <c r="N37" s="242">
        <f t="shared" si="122"/>
        <v>594.24728023518571</v>
      </c>
      <c r="O37" s="242">
        <f t="shared" si="122"/>
        <v>448.7279003248841</v>
      </c>
      <c r="P37" s="242">
        <f t="shared" si="122"/>
        <v>572.26554926665335</v>
      </c>
      <c r="Q37" s="242">
        <f t="shared" si="122"/>
        <v>866.89997957032301</v>
      </c>
      <c r="R37" s="243">
        <f t="shared" si="122"/>
        <v>2482.1407093970438</v>
      </c>
      <c r="S37" s="242">
        <f t="shared" si="122"/>
        <v>961.68742931348379</v>
      </c>
      <c r="T37" s="242">
        <f t="shared" si="122"/>
        <v>617.19096109204384</v>
      </c>
      <c r="U37" s="242">
        <f t="shared" si="122"/>
        <v>681.39762524093214</v>
      </c>
      <c r="V37" s="242">
        <f t="shared" si="122"/>
        <v>1075.708389831648</v>
      </c>
      <c r="W37" s="243">
        <f t="shared" si="122"/>
        <v>3335.9844054781047</v>
      </c>
      <c r="X37" s="242">
        <f t="shared" si="122"/>
        <v>1085.5249494762397</v>
      </c>
      <c r="Y37" s="242">
        <f t="shared" si="122"/>
        <v>680.13004360046489</v>
      </c>
      <c r="Z37" s="242">
        <f t="shared" si="122"/>
        <v>733.11253058537977</v>
      </c>
      <c r="AA37" s="242">
        <f t="shared" si="122"/>
        <v>1135.6750194591448</v>
      </c>
      <c r="AB37" s="243">
        <f t="shared" si="122"/>
        <v>3634.4425431212348</v>
      </c>
      <c r="AC37" s="242">
        <f t="shared" ref="AC37:AG37" si="123">+AC27+AC28+AC29+AC30-AC32-AC34+AC36</f>
        <v>1195.0272482705693</v>
      </c>
      <c r="AD37" s="242">
        <f t="shared" si="123"/>
        <v>745.62288631257206</v>
      </c>
      <c r="AE37" s="242">
        <f t="shared" si="123"/>
        <v>803.36372414666926</v>
      </c>
      <c r="AF37" s="242">
        <f t="shared" si="123"/>
        <v>1221.8615241580505</v>
      </c>
      <c r="AG37" s="243">
        <f t="shared" si="123"/>
        <v>3965.8753828878548</v>
      </c>
      <c r="AH37" s="242">
        <f t="shared" ref="AH37:AL37" si="124">+AH27+AH28+AH29+AH30-AH32-AH34+AH36</f>
        <v>1299.7318270365442</v>
      </c>
      <c r="AI37" s="242">
        <f t="shared" si="124"/>
        <v>810.57014926284069</v>
      </c>
      <c r="AJ37" s="242">
        <f t="shared" si="124"/>
        <v>875.51380240141611</v>
      </c>
      <c r="AK37" s="242">
        <f t="shared" si="124"/>
        <v>1325.1885888813288</v>
      </c>
      <c r="AL37" s="243">
        <f t="shared" si="124"/>
        <v>4311.0043675821316</v>
      </c>
    </row>
    <row r="38" spans="1:38">
      <c r="A38" s="297"/>
      <c r="B38" s="522" t="s">
        <v>0</v>
      </c>
      <c r="C38" s="523"/>
      <c r="D38" s="299">
        <v>1242</v>
      </c>
      <c r="E38" s="299">
        <v>1239.2</v>
      </c>
      <c r="F38" s="299">
        <v>1211</v>
      </c>
      <c r="G38" s="299">
        <v>1210.7904210526317</v>
      </c>
      <c r="H38" s="300">
        <v>1221.2</v>
      </c>
      <c r="I38" s="299">
        <v>1180.4000000000001</v>
      </c>
      <c r="J38" s="299">
        <v>1171.8</v>
      </c>
      <c r="K38" s="299">
        <v>1168.5</v>
      </c>
      <c r="L38" s="38">
        <f>K38*(1+L157)-L161-L164-L167</f>
        <v>1167.5263533898762</v>
      </c>
      <c r="M38" s="39">
        <f>+(I35/M35*I38)+(J35/M35*J38)+(K35/M35*K38)+(L35/M35*L38)</f>
        <v>1183.1470700485527</v>
      </c>
      <c r="N38" s="38">
        <f>L38*(1+N157)-N161-N164-N167</f>
        <v>1161.5835126233817</v>
      </c>
      <c r="O38" s="38">
        <f>N38*(1+O157)-O161-O164-O167</f>
        <v>1158.5262595975623</v>
      </c>
      <c r="P38" s="38">
        <f>O38*(1+P157)-P161-P164-P167</f>
        <v>1155.2491545175155</v>
      </c>
      <c r="Q38" s="38">
        <f>P38*(1+Q157)-Q161-Q164-Q167</f>
        <v>1152.1685127924693</v>
      </c>
      <c r="R38" s="39">
        <f>+(N35/R35*N38)+(O35/R35*O38)+(P35/R35*P38)+(Q35/R35*Q38)</f>
        <v>1156.020951795053</v>
      </c>
      <c r="S38" s="38">
        <f>Q38*(1+S157)-S161-S164-S167</f>
        <v>1148.4049546826275</v>
      </c>
      <c r="T38" s="38">
        <f>S38*(1+T157)-T161-T164-T167</f>
        <v>1145.1579717308291</v>
      </c>
      <c r="U38" s="38">
        <f>T38*(1+U157)-U161-U164-U167</f>
        <v>1141.8448939748077</v>
      </c>
      <c r="V38" s="38">
        <f>U38*(1+V157)-V161-V164-V167</f>
        <v>1138.5139392187154</v>
      </c>
      <c r="W38" s="39">
        <f>+(S35/W35*S38)+(T35/W35*T38)+(U35/W35*U38)+(V35/W35*V38)</f>
        <v>1143.2618122645852</v>
      </c>
      <c r="X38" s="38">
        <f>V38*(1+X157)-X161-X164-X167</f>
        <v>1135.1213810270062</v>
      </c>
      <c r="Y38" s="38">
        <f>X38*(1+Y157)-Y161-Y164-Y167</f>
        <v>1131.8202729852392</v>
      </c>
      <c r="Z38" s="38">
        <f>Y38*(1+Z157)-Z161-Z164-Z167</f>
        <v>1128.5058964152329</v>
      </c>
      <c r="AA38" s="38">
        <f>Z38*(1+AA157)-AA161-AA164-AA167</f>
        <v>1125.1912683618266</v>
      </c>
      <c r="AB38" s="39">
        <f>+(X35/AB35*X38)+(Y35/AB35*Y38)+(Z35/AB35*Z38)+(AA35/AB35*AA38)</f>
        <v>1130.0569918353376</v>
      </c>
      <c r="AC38" s="38">
        <f>AA38*(1+AC157)-AC161-AC164-AC167</f>
        <v>1121.8807313448758</v>
      </c>
      <c r="AD38" s="38">
        <f>AC38*(1+AD157)-AD161-AD164-AD167</f>
        <v>1118.5904690712323</v>
      </c>
      <c r="AE38" s="38">
        <f>AD38*(1+AE157)-AE161-AE164-AE167</f>
        <v>1115.3029469273558</v>
      </c>
      <c r="AF38" s="38">
        <f>AE38*(1+AF157)-AF161-AF164-AF167</f>
        <v>1112.0221087990415</v>
      </c>
      <c r="AG38" s="39">
        <f>+(AC35/AG35*AC38)+(AD35/AG35*AD38)+(AE35/AG35*AE38)+(AF35/AG35*AF38)</f>
        <v>1116.8853032300813</v>
      </c>
      <c r="AH38" s="38">
        <f>AF38*(1+AH157)-AH161-AH164-AH167</f>
        <v>1108.7496631179167</v>
      </c>
      <c r="AI38" s="38">
        <f>AH38*(1+AI157)-AI161-AI164-AI167</f>
        <v>1105.4866693435326</v>
      </c>
      <c r="AJ38" s="38">
        <f>AI38*(1+AJ157)-AJ161-AJ164-AJ167</f>
        <v>1102.2304610999665</v>
      </c>
      <c r="AK38" s="38">
        <f>AJ38*(1+AK157)-AK161-AK164-AK167</f>
        <v>1098.9820348231108</v>
      </c>
      <c r="AL38" s="39">
        <f>+(AH35/AL35*AH38)+(AI35/AL35*AI38)+(AJ35/AL35*AJ38)+(AK35/AL35*AK38)</f>
        <v>1103.804902954414</v>
      </c>
    </row>
    <row r="39" spans="1:38" ht="15.75" customHeight="1">
      <c r="A39" s="297"/>
      <c r="B39" s="522" t="s">
        <v>1</v>
      </c>
      <c r="C39" s="523"/>
      <c r="D39" s="299">
        <v>1253.4000000000001</v>
      </c>
      <c r="E39" s="299">
        <v>1250.7</v>
      </c>
      <c r="F39" s="299">
        <v>1223</v>
      </c>
      <c r="G39" s="299">
        <v>1222.8144210526316</v>
      </c>
      <c r="H39" s="300">
        <v>1233.2</v>
      </c>
      <c r="I39" s="299">
        <v>1191</v>
      </c>
      <c r="J39" s="299">
        <v>1180.7</v>
      </c>
      <c r="K39" s="299">
        <v>1168.5</v>
      </c>
      <c r="L39" s="38">
        <f>K39*(1+L158)-L161-L164-L167</f>
        <v>1164.5681225650246</v>
      </c>
      <c r="M39" s="39">
        <f>+(I35/M35*I39)+(J35/M35*J39)+(K35/M35*K39)+(L35/M35*L39)</f>
        <v>1198.0613476748047</v>
      </c>
      <c r="N39" s="38">
        <f>L39*(1+N158)-N161-N164-N167</f>
        <v>1155.00260751925</v>
      </c>
      <c r="O39" s="38">
        <f>N39*(1+O158)-O161-O164-O167</f>
        <v>1147.7466527580254</v>
      </c>
      <c r="P39" s="38">
        <f>O39*(1+P158)-P161-P164-P167</f>
        <v>1139.6686661945521</v>
      </c>
      <c r="Q39" s="38">
        <f>P39*(1+Q158)-Q161-Q164-Q167</f>
        <v>1132.773773838217</v>
      </c>
      <c r="R39" s="39">
        <f>+(N35/R35*N39)+(O35/R35*O39)+(P35/R35*P39)+(Q35/R35*Q39)</f>
        <v>1141.7801608982086</v>
      </c>
      <c r="S39" s="38">
        <f>Q39*(1+S158)-S161-S164-S167</f>
        <v>1124.9998807349427</v>
      </c>
      <c r="T39" s="38">
        <f>S39*(1+T158)-T161-T164-T167</f>
        <v>1117.6403381029661</v>
      </c>
      <c r="U39" s="38">
        <f>T39*(1+U158)-U161-U164-U167</f>
        <v>1110.2373735492708</v>
      </c>
      <c r="V39" s="38">
        <f>U39*(1+V158)-V161-V164-V167</f>
        <v>1102.9895047157916</v>
      </c>
      <c r="W39" s="39">
        <f>+(S35/W35*S39)+(T35/W35*T39)+(U35/W35*U39)+(V35/W35*V39)</f>
        <v>1113.4990643389199</v>
      </c>
      <c r="X39" s="38">
        <f>V39*(1+X158)-X161-X164-X167</f>
        <v>1095.6569927138469</v>
      </c>
      <c r="Y39" s="38">
        <f>X39*(1+Y158)-Y161-Y164-Y167</f>
        <v>1088.432007870239</v>
      </c>
      <c r="Z39" s="38">
        <f>Y39*(1+Z158)-Z161-Z164-Z167</f>
        <v>1081.2403426048991</v>
      </c>
      <c r="AA39" s="38">
        <f>Z39*(1+AA158)-AA161-AA164-AA167</f>
        <v>1074.100554664619</v>
      </c>
      <c r="AB39" s="39">
        <f>+(X35/AB35*X39)+(Y35/AB35*Y39)+(Z35/AB35*Z39)+(AA35/AB35*AA39)</f>
        <v>1084.6416814320182</v>
      </c>
      <c r="AC39" s="38">
        <f>AA39*(1+AC158)-AC161-AC164-AC167</f>
        <v>1066.9876738794505</v>
      </c>
      <c r="AD39" s="38">
        <f>AC39*(1+AD158)-AD161-AD164-AD167</f>
        <v>1059.9286763854848</v>
      </c>
      <c r="AE39" s="38">
        <f>AD39*(1+AE158)-AE161-AE164-AE167</f>
        <v>1052.9105829713574</v>
      </c>
      <c r="AF39" s="38">
        <f>AE39*(1+AF158)-AF161-AF164-AF167</f>
        <v>1045.9352235397646</v>
      </c>
      <c r="AG39" s="39">
        <f>+(AC35/AG35*AC39)+(AD35/AG35*AD39)+(AE35/AG35*AE39)+(AF35/AG35*AF39)</f>
        <v>1056.3082801474104</v>
      </c>
      <c r="AH39" s="38">
        <f>AF39*(1+AH158)-AH161-AH164-AH167</f>
        <v>1039.0003822737726</v>
      </c>
      <c r="AI39" s="38">
        <f>AH39*(1+AI158)-AI161-AI164-AI167</f>
        <v>1032.1093464133908</v>
      </c>
      <c r="AJ39" s="38">
        <f>AI39*(1+AJ158)-AJ161-AJ164-AJ167</f>
        <v>1025.2596740694289</v>
      </c>
      <c r="AK39" s="38">
        <f>AJ39*(1+AK158)-AK161-AK164-AK167</f>
        <v>1018.451471876509</v>
      </c>
      <c r="AL39" s="39">
        <f>+(AH35/AL35*AH39)+(AI35/AL35*AI39)+(AJ35/AL35*AJ39)+(AK35/AL35*AK39)</f>
        <v>1028.5878058674632</v>
      </c>
    </row>
    <row r="40" spans="1:38" ht="15.75" customHeight="1">
      <c r="A40" s="297"/>
      <c r="B40" s="530" t="s">
        <v>45</v>
      </c>
      <c r="C40" s="531"/>
      <c r="D40" s="309">
        <f t="shared" ref="D40:AB40" si="125">D35/D38</f>
        <v>0.61239935587761718</v>
      </c>
      <c r="E40" s="309">
        <f t="shared" si="125"/>
        <v>0.53518398967075509</v>
      </c>
      <c r="F40" s="309">
        <f t="shared" si="125"/>
        <v>1.1336085879438487</v>
      </c>
      <c r="G40" s="309">
        <f t="shared" si="125"/>
        <v>0.66287276975832043</v>
      </c>
      <c r="H40" s="350">
        <f t="shared" si="125"/>
        <v>2.947264985260404</v>
      </c>
      <c r="I40" s="309">
        <f t="shared" si="125"/>
        <v>0.75033886818027684</v>
      </c>
      <c r="J40" s="309">
        <f t="shared" si="125"/>
        <v>0.28025260283324721</v>
      </c>
      <c r="K40" s="309">
        <f t="shared" si="125"/>
        <v>-0.58057338468121455</v>
      </c>
      <c r="L40" s="48">
        <f t="shared" si="125"/>
        <v>0.20710591936946474</v>
      </c>
      <c r="M40" s="49">
        <f t="shared" si="125"/>
        <v>0.65714706014948787</v>
      </c>
      <c r="N40" s="48">
        <f t="shared" si="125"/>
        <v>0.42711115889955259</v>
      </c>
      <c r="O40" s="48">
        <f t="shared" si="125"/>
        <v>0.30395569147237733</v>
      </c>
      <c r="P40" s="48">
        <f t="shared" si="125"/>
        <v>0.41354273331295471</v>
      </c>
      <c r="Q40" s="48">
        <f t="shared" si="125"/>
        <v>0.73743570357825461</v>
      </c>
      <c r="R40" s="49">
        <f t="shared" si="125"/>
        <v>1.8820255965691721</v>
      </c>
      <c r="S40" s="48">
        <f t="shared" si="125"/>
        <v>0.75225726798246306</v>
      </c>
      <c r="T40" s="48">
        <f t="shared" si="125"/>
        <v>0.44913940807874153</v>
      </c>
      <c r="U40" s="48">
        <f t="shared" si="125"/>
        <v>0.50126362810738045</v>
      </c>
      <c r="V40" s="48">
        <f t="shared" si="125"/>
        <v>0.85235235738742121</v>
      </c>
      <c r="W40" s="49">
        <f t="shared" si="125"/>
        <v>2.554980731703222</v>
      </c>
      <c r="X40" s="48">
        <f t="shared" si="125"/>
        <v>0.86843041405554533</v>
      </c>
      <c r="Y40" s="48">
        <f t="shared" si="125"/>
        <v>0.51260382198677978</v>
      </c>
      <c r="Z40" s="48">
        <f t="shared" si="125"/>
        <v>0.56068555977060652</v>
      </c>
      <c r="AA40" s="48">
        <f t="shared" si="125"/>
        <v>0.91945930788601116</v>
      </c>
      <c r="AB40" s="49">
        <f t="shared" si="125"/>
        <v>2.8611423114998265</v>
      </c>
      <c r="AC40" s="48">
        <f t="shared" ref="AC40:AG40" si="126">AC35/AC38</f>
        <v>0.97426319133513528</v>
      </c>
      <c r="AD40" s="48">
        <f t="shared" si="126"/>
        <v>0.57489686445081567</v>
      </c>
      <c r="AE40" s="48">
        <f t="shared" si="126"/>
        <v>0.628397266274346</v>
      </c>
      <c r="AF40" s="48">
        <f t="shared" si="126"/>
        <v>1.0073238227729009</v>
      </c>
      <c r="AG40" s="49">
        <f t="shared" si="126"/>
        <v>3.1848399555120661</v>
      </c>
      <c r="AH40" s="48">
        <f t="shared" ref="AH40:AL40" si="127">AH35/AH38</f>
        <v>1.0809351089810941</v>
      </c>
      <c r="AI40" s="48">
        <f t="shared" si="127"/>
        <v>0.64147129360076016</v>
      </c>
      <c r="AJ40" s="48">
        <f t="shared" si="127"/>
        <v>0.70211897769922138</v>
      </c>
      <c r="AK40" s="48">
        <f t="shared" si="127"/>
        <v>1.1132270672412141</v>
      </c>
      <c r="AL40" s="49">
        <f t="shared" si="127"/>
        <v>3.5377065851391154</v>
      </c>
    </row>
    <row r="41" spans="1:38">
      <c r="A41" s="297"/>
      <c r="B41" s="530" t="s">
        <v>46</v>
      </c>
      <c r="C41" s="531"/>
      <c r="D41" s="309">
        <f t="shared" ref="D41:AB41" si="128">D35/D39</f>
        <v>0.60682942396681061</v>
      </c>
      <c r="E41" s="309">
        <f t="shared" si="128"/>
        <v>0.53026305269049312</v>
      </c>
      <c r="F41" s="309">
        <f t="shared" si="128"/>
        <v>1.1224856909239582</v>
      </c>
      <c r="G41" s="309">
        <f t="shared" si="128"/>
        <v>0.65635470614510849</v>
      </c>
      <c r="H41" s="350">
        <f t="shared" si="128"/>
        <v>2.9185857930587131</v>
      </c>
      <c r="I41" s="309">
        <f t="shared" si="128"/>
        <v>0.74366078925272783</v>
      </c>
      <c r="J41" s="309">
        <f t="shared" si="128"/>
        <v>0.27814008638942922</v>
      </c>
      <c r="K41" s="309">
        <f t="shared" si="128"/>
        <v>-0.58057338468121455</v>
      </c>
      <c r="L41" s="423">
        <f t="shared" si="128"/>
        <v>0.20763200891529446</v>
      </c>
      <c r="M41" s="424">
        <f t="shared" si="128"/>
        <v>0.64896644926894631</v>
      </c>
      <c r="N41" s="309">
        <f t="shared" si="128"/>
        <v>0.42954472743639838</v>
      </c>
      <c r="O41" s="309">
        <f t="shared" si="128"/>
        <v>0.30681043545515296</v>
      </c>
      <c r="P41" s="309">
        <f t="shared" si="128"/>
        <v>0.41919630431876576</v>
      </c>
      <c r="Q41" s="309">
        <f t="shared" si="128"/>
        <v>0.75006167824041892</v>
      </c>
      <c r="R41" s="350">
        <f t="shared" si="128"/>
        <v>1.9054990583625233</v>
      </c>
      <c r="S41" s="309">
        <f t="shared" si="128"/>
        <v>0.76790761362810944</v>
      </c>
      <c r="T41" s="309">
        <f t="shared" si="128"/>
        <v>0.46019775418346798</v>
      </c>
      <c r="U41" s="309">
        <f t="shared" si="128"/>
        <v>0.51553418028068076</v>
      </c>
      <c r="V41" s="309">
        <f t="shared" si="128"/>
        <v>0.87980441868443637</v>
      </c>
      <c r="W41" s="350">
        <f t="shared" si="128"/>
        <v>2.6232728838100239</v>
      </c>
      <c r="X41" s="48">
        <f t="shared" si="128"/>
        <v>0.89971034501126979</v>
      </c>
      <c r="Y41" s="48">
        <f t="shared" si="128"/>
        <v>0.53303779523132289</v>
      </c>
      <c r="Z41" s="48">
        <f t="shared" si="128"/>
        <v>0.58519547902886215</v>
      </c>
      <c r="AA41" s="48">
        <f t="shared" si="128"/>
        <v>0.96319434931339853</v>
      </c>
      <c r="AB41" s="49">
        <f t="shared" si="128"/>
        <v>2.9809419360295419</v>
      </c>
      <c r="AC41" s="48">
        <f t="shared" ref="AC41:AG41" si="129">AC35/AC39</f>
        <v>1.0243858747153094</v>
      </c>
      <c r="AD41" s="48">
        <f t="shared" si="129"/>
        <v>0.60671455315898948</v>
      </c>
      <c r="AE41" s="48">
        <f t="shared" si="129"/>
        <v>0.66563422787435123</v>
      </c>
      <c r="AF41" s="48">
        <f t="shared" si="129"/>
        <v>1.0709710663079572</v>
      </c>
      <c r="AG41" s="49">
        <f t="shared" si="129"/>
        <v>3.3674837226069747</v>
      </c>
      <c r="AH41" s="48">
        <f t="shared" ref="AH41:AL41" si="130">AH35/AH39</f>
        <v>1.1534995158638164</v>
      </c>
      <c r="AI41" s="48">
        <f t="shared" si="130"/>
        <v>0.68707639002249732</v>
      </c>
      <c r="AJ41" s="48">
        <f t="shared" si="130"/>
        <v>0.75483016069940823</v>
      </c>
      <c r="AK41" s="48">
        <f t="shared" si="130"/>
        <v>1.2012516858783207</v>
      </c>
      <c r="AL41" s="49">
        <f t="shared" si="130"/>
        <v>3.7964069295935601</v>
      </c>
    </row>
    <row r="42" spans="1:38">
      <c r="A42" s="297"/>
      <c r="B42" s="257" t="s">
        <v>218</v>
      </c>
      <c r="C42" s="298"/>
      <c r="D42" s="310">
        <f t="shared" ref="D42:AB42" si="131">+D37/D39</f>
        <v>0.74999999999999922</v>
      </c>
      <c r="E42" s="310">
        <f t="shared" si="131"/>
        <v>0.60000000000000009</v>
      </c>
      <c r="F42" s="325">
        <f t="shared" si="131"/>
        <v>0.78</v>
      </c>
      <c r="G42" s="325">
        <f t="shared" si="131"/>
        <v>0.69511774261567683</v>
      </c>
      <c r="H42" s="324">
        <f t="shared" si="131"/>
        <v>2.8336117418099285</v>
      </c>
      <c r="I42" s="310">
        <f t="shared" si="131"/>
        <v>0.79454240134340781</v>
      </c>
      <c r="J42" s="310">
        <f t="shared" si="131"/>
        <v>0.31523672397730074</v>
      </c>
      <c r="K42" s="310">
        <f t="shared" si="131"/>
        <v>-0.46193838254171954</v>
      </c>
      <c r="L42" s="310">
        <f t="shared" si="131"/>
        <v>0.32808868060490398</v>
      </c>
      <c r="M42" s="426">
        <f t="shared" si="131"/>
        <v>0.96890415591804013</v>
      </c>
      <c r="N42" s="310">
        <f t="shared" si="131"/>
        <v>0.51449864819918312</v>
      </c>
      <c r="O42" s="310">
        <f t="shared" si="131"/>
        <v>0.39096424219281734</v>
      </c>
      <c r="P42" s="310">
        <f t="shared" si="131"/>
        <v>0.50213326578284845</v>
      </c>
      <c r="Q42" s="310">
        <f t="shared" si="131"/>
        <v>0.76528959231901661</v>
      </c>
      <c r="R42" s="324">
        <f t="shared" si="131"/>
        <v>2.1739217359009011</v>
      </c>
      <c r="S42" s="310">
        <f t="shared" si="131"/>
        <v>0.85483336112465202</v>
      </c>
      <c r="T42" s="310">
        <f t="shared" si="131"/>
        <v>0.55222681219580605</v>
      </c>
      <c r="U42" s="310">
        <f t="shared" si="131"/>
        <v>0.61374048602111175</v>
      </c>
      <c r="V42" s="310">
        <f t="shared" si="131"/>
        <v>0.97526620628074501</v>
      </c>
      <c r="W42" s="324">
        <f t="shared" si="131"/>
        <v>2.9959472013195323</v>
      </c>
      <c r="X42" s="244">
        <f t="shared" si="131"/>
        <v>0.99075254089100373</v>
      </c>
      <c r="Y42" s="244">
        <f t="shared" si="131"/>
        <v>0.62487141014098957</v>
      </c>
      <c r="Z42" s="244">
        <f t="shared" si="131"/>
        <v>0.67802920562433155</v>
      </c>
      <c r="AA42" s="244">
        <f t="shared" si="131"/>
        <v>1.0573265366330176</v>
      </c>
      <c r="AB42" s="245">
        <f t="shared" si="131"/>
        <v>3.3508232306938406</v>
      </c>
      <c r="AC42" s="244">
        <f t="shared" ref="AC42:AG42" si="132">+AC37/AC39</f>
        <v>1.1200009873830883</v>
      </c>
      <c r="AD42" s="244">
        <f t="shared" si="132"/>
        <v>0.70346515093379447</v>
      </c>
      <c r="AE42" s="244">
        <f t="shared" si="132"/>
        <v>0.76299330364744122</v>
      </c>
      <c r="AF42" s="244">
        <f t="shared" si="132"/>
        <v>1.168199996193739</v>
      </c>
      <c r="AG42" s="245">
        <f t="shared" si="132"/>
        <v>3.7544677604291876</v>
      </c>
      <c r="AH42" s="244">
        <f t="shared" ref="AH42:AL42" si="133">+AH37/AH39</f>
        <v>1.2509445128327872</v>
      </c>
      <c r="AI42" s="244">
        <f t="shared" si="133"/>
        <v>0.78535297842190355</v>
      </c>
      <c r="AJ42" s="244">
        <f t="shared" si="133"/>
        <v>0.8539434687081312</v>
      </c>
      <c r="AK42" s="244">
        <f t="shared" si="133"/>
        <v>1.3011799044677632</v>
      </c>
      <c r="AL42" s="245">
        <f t="shared" si="133"/>
        <v>4.1911875126172928</v>
      </c>
    </row>
    <row r="43" spans="1:38">
      <c r="A43" s="297"/>
      <c r="B43" s="431" t="s">
        <v>167</v>
      </c>
      <c r="C43" s="432"/>
      <c r="D43" s="311">
        <v>0.36</v>
      </c>
      <c r="E43" s="311">
        <v>0.36</v>
      </c>
      <c r="F43" s="311">
        <v>0.36</v>
      </c>
      <c r="G43" s="311">
        <v>0.41</v>
      </c>
      <c r="H43" s="399">
        <f>+SUM(D43:G43)</f>
        <v>1.49</v>
      </c>
      <c r="I43" s="311">
        <v>0.41</v>
      </c>
      <c r="J43" s="311">
        <v>0.41</v>
      </c>
      <c r="K43" s="311">
        <v>0.41</v>
      </c>
      <c r="L43" s="477">
        <f>K43*1.1</f>
        <v>0.45100000000000001</v>
      </c>
      <c r="M43" s="165">
        <f>+SUM(I43:L43)</f>
        <v>1.681</v>
      </c>
      <c r="N43" s="477">
        <f>+L43</f>
        <v>0.45100000000000001</v>
      </c>
      <c r="O43" s="477">
        <f>+N43</f>
        <v>0.45100000000000001</v>
      </c>
      <c r="P43" s="477">
        <f>+O43</f>
        <v>0.45100000000000001</v>
      </c>
      <c r="Q43" s="477">
        <f>1.1*P43</f>
        <v>0.49610000000000004</v>
      </c>
      <c r="R43" s="165">
        <f>+SUM(N43:Q43)</f>
        <v>1.8491</v>
      </c>
      <c r="S43" s="477">
        <f>+Q43*1.1</f>
        <v>0.54571000000000014</v>
      </c>
      <c r="T43" s="477">
        <f>S43*1.1</f>
        <v>0.60028100000000018</v>
      </c>
      <c r="U43" s="477">
        <f t="shared" ref="U43" si="134">T43*1.1</f>
        <v>0.6603091000000002</v>
      </c>
      <c r="V43" s="477">
        <f>U43*1.1</f>
        <v>0.72634001000000026</v>
      </c>
      <c r="W43" s="165">
        <f>+SUM(S43:V43)</f>
        <v>2.5326401100000009</v>
      </c>
      <c r="X43" s="246">
        <f>+V43</f>
        <v>0.72634001000000026</v>
      </c>
      <c r="Y43" s="246">
        <f>+X43</f>
        <v>0.72634001000000026</v>
      </c>
      <c r="Z43" s="246">
        <f>+Y43</f>
        <v>0.72634001000000026</v>
      </c>
      <c r="AA43" s="246">
        <f>1.05*Z43</f>
        <v>0.76265701050000034</v>
      </c>
      <c r="AB43" s="165">
        <f>+SUM(X43:AA43)</f>
        <v>2.941677040500001</v>
      </c>
      <c r="AC43" s="246">
        <f>+AA43</f>
        <v>0.76265701050000034</v>
      </c>
      <c r="AD43" s="246">
        <f>+AC43</f>
        <v>0.76265701050000034</v>
      </c>
      <c r="AE43" s="246">
        <f>+AD43</f>
        <v>0.76265701050000034</v>
      </c>
      <c r="AF43" s="246">
        <f>1.05*AE43</f>
        <v>0.80078986102500038</v>
      </c>
      <c r="AG43" s="165">
        <f>+SUM(AC43:AF43)</f>
        <v>3.0887608925250012</v>
      </c>
      <c r="AH43" s="246">
        <f>+AF43</f>
        <v>0.80078986102500038</v>
      </c>
      <c r="AI43" s="246">
        <f>+AH43</f>
        <v>0.80078986102500038</v>
      </c>
      <c r="AJ43" s="246">
        <f>+AI43</f>
        <v>0.80078986102500038</v>
      </c>
      <c r="AK43" s="246">
        <f>1.05*AJ43</f>
        <v>0.84082935407625048</v>
      </c>
      <c r="AL43" s="165">
        <f>+SUM(AH43:AK43)</f>
        <v>3.2431989371512513</v>
      </c>
    </row>
    <row r="44" spans="1:38">
      <c r="A44" s="297"/>
      <c r="B44" s="296" t="s">
        <v>57</v>
      </c>
      <c r="C44" s="60"/>
      <c r="D44" s="400"/>
      <c r="E44" s="373"/>
      <c r="F44" s="372"/>
      <c r="G44" s="373"/>
      <c r="H44" s="374"/>
      <c r="I44" s="373"/>
      <c r="J44" s="375"/>
      <c r="K44" s="375"/>
      <c r="L44" s="400"/>
      <c r="M44" s="425"/>
      <c r="N44" s="337"/>
      <c r="O44" s="60"/>
      <c r="P44" s="60"/>
      <c r="Q44" s="247"/>
      <c r="R44" s="14"/>
      <c r="S44" s="60"/>
      <c r="T44" s="60"/>
      <c r="U44" s="60"/>
      <c r="V44" s="247"/>
      <c r="W44" s="14"/>
      <c r="X44" s="60"/>
      <c r="Y44" s="60"/>
      <c r="Z44" s="60"/>
      <c r="AA44" s="247"/>
      <c r="AB44" s="14"/>
      <c r="AC44" s="60"/>
      <c r="AD44" s="60"/>
      <c r="AE44" s="60"/>
      <c r="AF44" s="247"/>
      <c r="AG44" s="14"/>
      <c r="AH44" s="60"/>
      <c r="AI44" s="60"/>
      <c r="AJ44" s="60"/>
      <c r="AK44" s="247"/>
      <c r="AL44" s="14"/>
    </row>
    <row r="45" spans="1:38" ht="15.75">
      <c r="A45" s="297"/>
      <c r="B45" s="524" t="s">
        <v>101</v>
      </c>
      <c r="C45" s="525"/>
      <c r="D45" s="35" t="s">
        <v>110</v>
      </c>
      <c r="E45" s="35" t="s">
        <v>282</v>
      </c>
      <c r="F45" s="35" t="s">
        <v>284</v>
      </c>
      <c r="G45" s="35" t="s">
        <v>124</v>
      </c>
      <c r="H45" s="102" t="s">
        <v>124</v>
      </c>
      <c r="I45" s="35" t="s">
        <v>125</v>
      </c>
      <c r="J45" s="35" t="s">
        <v>126</v>
      </c>
      <c r="K45" s="35" t="s">
        <v>127</v>
      </c>
      <c r="L45" s="37" t="s">
        <v>128</v>
      </c>
      <c r="M45" s="105" t="s">
        <v>128</v>
      </c>
      <c r="N45" s="37" t="s">
        <v>129</v>
      </c>
      <c r="O45" s="37" t="s">
        <v>130</v>
      </c>
      <c r="P45" s="37" t="s">
        <v>131</v>
      </c>
      <c r="Q45" s="37" t="s">
        <v>132</v>
      </c>
      <c r="R45" s="105" t="s">
        <v>132</v>
      </c>
      <c r="S45" s="37" t="s">
        <v>133</v>
      </c>
      <c r="T45" s="37" t="s">
        <v>134</v>
      </c>
      <c r="U45" s="37" t="s">
        <v>135</v>
      </c>
      <c r="V45" s="37" t="s">
        <v>136</v>
      </c>
      <c r="W45" s="105" t="s">
        <v>136</v>
      </c>
      <c r="X45" s="37" t="s">
        <v>137</v>
      </c>
      <c r="Y45" s="37" t="s">
        <v>138</v>
      </c>
      <c r="Z45" s="37" t="s">
        <v>139</v>
      </c>
      <c r="AA45" s="37" t="s">
        <v>140</v>
      </c>
      <c r="AB45" s="105" t="s">
        <v>140</v>
      </c>
      <c r="AC45" s="37" t="s">
        <v>286</v>
      </c>
      <c r="AD45" s="37" t="s">
        <v>287</v>
      </c>
      <c r="AE45" s="37" t="s">
        <v>288</v>
      </c>
      <c r="AF45" s="37" t="s">
        <v>289</v>
      </c>
      <c r="AG45" s="105" t="s">
        <v>289</v>
      </c>
      <c r="AH45" s="37" t="s">
        <v>319</v>
      </c>
      <c r="AI45" s="37" t="s">
        <v>320</v>
      </c>
      <c r="AJ45" s="37" t="s">
        <v>321</v>
      </c>
      <c r="AK45" s="37" t="s">
        <v>322</v>
      </c>
      <c r="AL45" s="105" t="s">
        <v>322</v>
      </c>
    </row>
    <row r="46" spans="1:38" ht="17.25">
      <c r="A46" s="297"/>
      <c r="B46" s="528"/>
      <c r="C46" s="529"/>
      <c r="D46" s="36" t="s">
        <v>123</v>
      </c>
      <c r="E46" s="36" t="s">
        <v>281</v>
      </c>
      <c r="F46" s="36" t="s">
        <v>285</v>
      </c>
      <c r="G46" s="36" t="s">
        <v>295</v>
      </c>
      <c r="H46" s="103" t="s">
        <v>296</v>
      </c>
      <c r="I46" s="36" t="s">
        <v>297</v>
      </c>
      <c r="J46" s="36" t="s">
        <v>298</v>
      </c>
      <c r="K46" s="36" t="s">
        <v>299</v>
      </c>
      <c r="L46" s="34" t="s">
        <v>141</v>
      </c>
      <c r="M46" s="106" t="s">
        <v>142</v>
      </c>
      <c r="N46" s="34" t="s">
        <v>143</v>
      </c>
      <c r="O46" s="34" t="s">
        <v>144</v>
      </c>
      <c r="P46" s="34" t="s">
        <v>145</v>
      </c>
      <c r="Q46" s="34" t="s">
        <v>146</v>
      </c>
      <c r="R46" s="106" t="s">
        <v>147</v>
      </c>
      <c r="S46" s="34" t="s">
        <v>148</v>
      </c>
      <c r="T46" s="34" t="s">
        <v>149</v>
      </c>
      <c r="U46" s="34" t="s">
        <v>150</v>
      </c>
      <c r="V46" s="34" t="s">
        <v>151</v>
      </c>
      <c r="W46" s="106" t="s">
        <v>152</v>
      </c>
      <c r="X46" s="34" t="s">
        <v>153</v>
      </c>
      <c r="Y46" s="34" t="s">
        <v>154</v>
      </c>
      <c r="Z46" s="34" t="s">
        <v>155</v>
      </c>
      <c r="AA46" s="34" t="s">
        <v>156</v>
      </c>
      <c r="AB46" s="106" t="s">
        <v>157</v>
      </c>
      <c r="AC46" s="34" t="s">
        <v>290</v>
      </c>
      <c r="AD46" s="34" t="s">
        <v>291</v>
      </c>
      <c r="AE46" s="34" t="s">
        <v>292</v>
      </c>
      <c r="AF46" s="34" t="s">
        <v>293</v>
      </c>
      <c r="AG46" s="106" t="s">
        <v>294</v>
      </c>
      <c r="AH46" s="34" t="s">
        <v>323</v>
      </c>
      <c r="AI46" s="34" t="s">
        <v>324</v>
      </c>
      <c r="AJ46" s="34" t="s">
        <v>325</v>
      </c>
      <c r="AK46" s="34" t="s">
        <v>326</v>
      </c>
      <c r="AL46" s="106" t="s">
        <v>327</v>
      </c>
    </row>
    <row r="47" spans="1:38" ht="18">
      <c r="A47" s="297"/>
      <c r="B47" s="587" t="s">
        <v>168</v>
      </c>
      <c r="C47" s="588"/>
      <c r="D47" s="36"/>
      <c r="E47" s="36"/>
      <c r="F47" s="36"/>
      <c r="G47" s="36"/>
      <c r="H47" s="103"/>
      <c r="I47" s="36"/>
      <c r="J47" s="36"/>
      <c r="K47" s="36"/>
      <c r="L47" s="34"/>
      <c r="M47" s="106"/>
      <c r="N47" s="34"/>
      <c r="O47" s="34"/>
      <c r="P47" s="34"/>
      <c r="Q47" s="34"/>
      <c r="R47" s="106"/>
      <c r="S47" s="34"/>
      <c r="T47" s="34"/>
      <c r="U47" s="34"/>
      <c r="V47" s="34"/>
      <c r="W47" s="106"/>
      <c r="X47" s="34"/>
      <c r="Y47" s="34"/>
      <c r="Z47" s="34"/>
      <c r="AA47" s="34"/>
      <c r="AB47" s="106"/>
      <c r="AC47" s="34"/>
      <c r="AD47" s="34"/>
      <c r="AE47" s="34"/>
      <c r="AF47" s="34"/>
      <c r="AG47" s="106"/>
      <c r="AH47" s="34"/>
      <c r="AI47" s="34"/>
      <c r="AJ47" s="34"/>
      <c r="AK47" s="34"/>
      <c r="AL47" s="106"/>
    </row>
    <row r="48" spans="1:38" s="20" customFormat="1" outlineLevel="1">
      <c r="A48" s="312"/>
      <c r="B48" s="534" t="s">
        <v>170</v>
      </c>
      <c r="C48" s="535"/>
      <c r="D48" s="45">
        <v>9777</v>
      </c>
      <c r="E48" s="45">
        <v>9776</v>
      </c>
      <c r="F48" s="328">
        <v>9857</v>
      </c>
      <c r="G48" s="45">
        <v>9974</v>
      </c>
      <c r="H48" s="199"/>
      <c r="I48" s="45">
        <v>10020</v>
      </c>
      <c r="J48" s="45">
        <v>10051</v>
      </c>
      <c r="K48" s="45">
        <v>10017</v>
      </c>
      <c r="L48" s="45">
        <f>+K48+L49</f>
        <v>10079</v>
      </c>
      <c r="M48" s="199"/>
      <c r="N48" s="45">
        <f>+L48+N49</f>
        <v>10105.25</v>
      </c>
      <c r="O48" s="45">
        <f>+N48+O49</f>
        <v>10126.5625</v>
      </c>
      <c r="P48" s="45">
        <f t="shared" ref="P48" si="135">+O48+P49</f>
        <v>10145.453125</v>
      </c>
      <c r="Q48" s="45">
        <f t="shared" ref="Q48" si="136">+P48+Q49</f>
        <v>10177.56640625</v>
      </c>
      <c r="R48" s="199"/>
      <c r="S48" s="45">
        <f>+Q48+S49</f>
        <v>10202.2080078125</v>
      </c>
      <c r="T48" s="45">
        <f>+S48+T49</f>
        <v>10226.447509765625</v>
      </c>
      <c r="U48" s="45">
        <f t="shared" ref="U48" si="137">+T48+U49</f>
        <v>10251.418762207031</v>
      </c>
      <c r="V48" s="45">
        <f t="shared" ref="V48" si="138">+U48+V49</f>
        <v>10277.910171508789</v>
      </c>
      <c r="W48" s="199"/>
      <c r="X48" s="45">
        <f>+V48+X49</f>
        <v>10302.996112823486</v>
      </c>
      <c r="Y48" s="45">
        <f>+X48+Y49</f>
        <v>10328.193139076233</v>
      </c>
      <c r="Z48" s="45">
        <f t="shared" ref="Z48" si="139">+Y48+Z49</f>
        <v>10353.629546403885</v>
      </c>
      <c r="AA48" s="45">
        <f t="shared" ref="AA48" si="140">+Z48+AA49</f>
        <v>10379.182242453098</v>
      </c>
      <c r="AB48" s="199"/>
      <c r="AC48" s="45">
        <f>+AA48+AC49</f>
        <v>10429.182242453098</v>
      </c>
      <c r="AD48" s="45">
        <f>+AC48+AD49</f>
        <v>10479.182242453098</v>
      </c>
      <c r="AE48" s="45">
        <f t="shared" ref="AE48" si="141">+AD48+AE49</f>
        <v>10529.182242453098</v>
      </c>
      <c r="AF48" s="45">
        <f t="shared" ref="AF48" si="142">+AE48+AF49</f>
        <v>10579.182242453098</v>
      </c>
      <c r="AG48" s="199"/>
      <c r="AH48" s="45">
        <f>+AF48+AH49</f>
        <v>10629.182242453098</v>
      </c>
      <c r="AI48" s="45">
        <f>+AH48+AI49</f>
        <v>10679.182242453098</v>
      </c>
      <c r="AJ48" s="45">
        <f t="shared" ref="AJ48" si="143">+AI48+AJ49</f>
        <v>10729.182242453098</v>
      </c>
      <c r="AK48" s="45">
        <f t="shared" ref="AK48" si="144">+AJ48+AK49</f>
        <v>10779.182242453098</v>
      </c>
      <c r="AL48" s="199"/>
    </row>
    <row r="49" spans="1:38" outlineLevel="1">
      <c r="A49" s="297"/>
      <c r="B49" s="51" t="s">
        <v>175</v>
      </c>
      <c r="C49" s="85"/>
      <c r="D49" s="299">
        <f>+D48-9690</f>
        <v>87</v>
      </c>
      <c r="E49" s="299">
        <f>E48-D48</f>
        <v>-1</v>
      </c>
      <c r="F49" s="299">
        <f t="shared" ref="F49:G49" si="145">F48-E48</f>
        <v>81</v>
      </c>
      <c r="G49" s="299">
        <f t="shared" si="145"/>
        <v>117</v>
      </c>
      <c r="H49" s="336">
        <f>+SUM(D49:G49)</f>
        <v>284</v>
      </c>
      <c r="I49" s="299">
        <f>I48-G48</f>
        <v>46</v>
      </c>
      <c r="J49" s="299">
        <f t="shared" ref="J49" si="146">J48-I48</f>
        <v>31</v>
      </c>
      <c r="K49" s="299">
        <f>K48-J48</f>
        <v>-34</v>
      </c>
      <c r="L49" s="71">
        <v>62</v>
      </c>
      <c r="M49" s="56">
        <f>+SUM(I49:L49)</f>
        <v>105</v>
      </c>
      <c r="N49" s="71">
        <f>AVERAGE(I49,J49,K49,L49)</f>
        <v>26.25</v>
      </c>
      <c r="O49" s="71">
        <f>AVERAGE(J49,K49,L49,N49)</f>
        <v>21.3125</v>
      </c>
      <c r="P49" s="71">
        <f>AVERAGE(K49,L49,N49,O49)</f>
        <v>18.890625</v>
      </c>
      <c r="Q49" s="71">
        <f>AVERAGE(L49,N49,O49,P49)</f>
        <v>32.11328125</v>
      </c>
      <c r="R49" s="56">
        <f>+SUM(N49:Q49)</f>
        <v>98.56640625</v>
      </c>
      <c r="S49" s="71">
        <f>AVERAGE(N49,O49,P49,Q49)</f>
        <v>24.6416015625</v>
      </c>
      <c r="T49" s="71">
        <f>AVERAGE(O49,P49,Q49,S49)</f>
        <v>24.239501953125</v>
      </c>
      <c r="U49" s="71">
        <f>AVERAGE(P49,Q49,S49,T49)</f>
        <v>24.97125244140625</v>
      </c>
      <c r="V49" s="71">
        <f>AVERAGE(Q49,S49,T49,U49)</f>
        <v>26.491409301757813</v>
      </c>
      <c r="W49" s="56">
        <f>+SUM(S49:V49)</f>
        <v>100.34376525878906</v>
      </c>
      <c r="X49" s="71">
        <f>AVERAGE(S49,T49,U49,V49)</f>
        <v>25.085941314697266</v>
      </c>
      <c r="Y49" s="71">
        <f>AVERAGE(T49,U49,V49,X49)</f>
        <v>25.197026252746582</v>
      </c>
      <c r="Z49" s="71">
        <f>AVERAGE(U49,V49,X49,Y49)</f>
        <v>25.436407327651978</v>
      </c>
      <c r="AA49" s="71">
        <f>AVERAGE(V49,X49,Y49,Z49)</f>
        <v>25.552696049213409</v>
      </c>
      <c r="AB49" s="56">
        <f>+SUM(X49:AA49)</f>
        <v>101.27207094430923</v>
      </c>
      <c r="AC49" s="71">
        <v>50</v>
      </c>
      <c r="AD49" s="71">
        <v>50</v>
      </c>
      <c r="AE49" s="71">
        <v>50</v>
      </c>
      <c r="AF49" s="71">
        <v>50</v>
      </c>
      <c r="AG49" s="56">
        <f>+SUM(AC49:AF49)</f>
        <v>200</v>
      </c>
      <c r="AH49" s="71">
        <f>AVERAGE(AC49,AD49,AE49,AF49)</f>
        <v>50</v>
      </c>
      <c r="AI49" s="71">
        <f>AVERAGE(AD49,AE49,AF49,AH49)</f>
        <v>50</v>
      </c>
      <c r="AJ49" s="71">
        <f>AVERAGE(AE49,AF49,AH49,AI49)</f>
        <v>50</v>
      </c>
      <c r="AK49" s="71">
        <f>AVERAGE(AF49,AH49,AI49,AJ49)</f>
        <v>50</v>
      </c>
      <c r="AL49" s="56">
        <f>+SUM(AH49:AK49)</f>
        <v>200</v>
      </c>
    </row>
    <row r="50" spans="1:38" s="207" customFormat="1" outlineLevel="1">
      <c r="A50" s="316"/>
      <c r="B50" s="473" t="s">
        <v>176</v>
      </c>
      <c r="C50" s="474"/>
      <c r="D50" s="211">
        <v>9527</v>
      </c>
      <c r="E50" s="211">
        <v>9499</v>
      </c>
      <c r="F50" s="211">
        <v>9594</v>
      </c>
      <c r="G50" s="211">
        <v>9690</v>
      </c>
      <c r="H50" s="212"/>
      <c r="I50" s="211">
        <f>D48</f>
        <v>9777</v>
      </c>
      <c r="J50" s="211">
        <f>E48</f>
        <v>9776</v>
      </c>
      <c r="K50" s="211">
        <f>F48</f>
        <v>9857</v>
      </c>
      <c r="L50" s="211">
        <f>G48</f>
        <v>9974</v>
      </c>
      <c r="M50" s="376"/>
      <c r="N50" s="211">
        <f>I48</f>
        <v>10020</v>
      </c>
      <c r="O50" s="211">
        <f>J48</f>
        <v>10051</v>
      </c>
      <c r="P50" s="211">
        <f>K48</f>
        <v>10017</v>
      </c>
      <c r="Q50" s="211">
        <f>L48</f>
        <v>10079</v>
      </c>
      <c r="R50" s="212"/>
      <c r="S50" s="211">
        <f>N48</f>
        <v>10105.25</v>
      </c>
      <c r="T50" s="211">
        <f>O48</f>
        <v>10126.5625</v>
      </c>
      <c r="U50" s="211">
        <f>P48</f>
        <v>10145.453125</v>
      </c>
      <c r="V50" s="211">
        <f>Q48</f>
        <v>10177.56640625</v>
      </c>
      <c r="W50" s="212"/>
      <c r="X50" s="211">
        <f>+AVERAGE(X48,V48,U48,T48)</f>
        <v>10264.693139076233</v>
      </c>
      <c r="Y50" s="211">
        <f>+AVERAGE(Y48,X48,V48,U48)</f>
        <v>10290.129546403885</v>
      </c>
      <c r="Z50" s="211">
        <f>+AVERAGE(Z48,Y48,X48,V48)</f>
        <v>10315.682242453098</v>
      </c>
      <c r="AA50" s="211">
        <f>+AVERAGE(AA48,Z48,Y48,X48)</f>
        <v>10341.000260189176</v>
      </c>
      <c r="AB50" s="212"/>
      <c r="AC50" s="211">
        <f>+AVERAGE(AC48,AA48,Z48,Y48)</f>
        <v>10372.546792596579</v>
      </c>
      <c r="AD50" s="211">
        <f>+AVERAGE(AD48,AC48,AA48,Z48)</f>
        <v>10410.294068440795</v>
      </c>
      <c r="AE50" s="211">
        <f>+AVERAGE(AE48,AD48,AC48,AA48)</f>
        <v>10454.182242453098</v>
      </c>
      <c r="AF50" s="211">
        <f>+AVERAGE(AF48,AE48,AD48,AC48)</f>
        <v>10504.182242453098</v>
      </c>
      <c r="AG50" s="212"/>
      <c r="AH50" s="211">
        <f>+AVERAGE(AH48,AF48,AE48,AD48)</f>
        <v>10554.182242453098</v>
      </c>
      <c r="AI50" s="211">
        <f>+AVERAGE(AI48,AH48,AF48,AE48)</f>
        <v>10604.182242453098</v>
      </c>
      <c r="AJ50" s="211">
        <f>+AVERAGE(AJ48,AI48,AH48,AF48)</f>
        <v>10654.182242453098</v>
      </c>
      <c r="AK50" s="211">
        <f>+AVERAGE(AK48,AJ48,AI48,AH48)</f>
        <v>10704.182242453098</v>
      </c>
      <c r="AL50" s="212"/>
    </row>
    <row r="51" spans="1:38" s="207" customFormat="1" outlineLevel="1">
      <c r="A51" s="316"/>
      <c r="B51" s="473" t="s">
        <v>177</v>
      </c>
      <c r="C51" s="474"/>
      <c r="D51" s="213">
        <v>0.42069471068107506</v>
      </c>
      <c r="E51" s="213">
        <v>0.39562181698744753</v>
      </c>
      <c r="F51" s="213">
        <v>0.42259741164000009</v>
      </c>
      <c r="G51" s="213">
        <v>0.41931398367073175</v>
      </c>
      <c r="H51" s="414"/>
      <c r="I51" s="213">
        <f>+D51*(1+I54)</f>
        <v>0.44593639332193957</v>
      </c>
      <c r="J51" s="213">
        <f>+E51*(1+J54)</f>
        <v>0.38375316247782409</v>
      </c>
      <c r="K51" s="213">
        <f t="shared" ref="K51" si="147">+F51*(1+K54)</f>
        <v>0.24933247286760007</v>
      </c>
      <c r="L51" s="213">
        <f>+G51*(1+L54)</f>
        <v>0.36647978807926657</v>
      </c>
      <c r="M51" s="415"/>
      <c r="N51" s="213">
        <f>+I51*(1+N54)</f>
        <v>0.40134275398974562</v>
      </c>
      <c r="O51" s="213">
        <f>+J51*(1+O54)</f>
        <v>0.32538328485276696</v>
      </c>
      <c r="P51" s="213">
        <f>+K51*(1+P54)</f>
        <v>0.33663921621729553</v>
      </c>
      <c r="Q51" s="213">
        <f t="shared" ref="Q51" si="148">+L51*(1+Q54)</f>
        <v>0.45914799401659928</v>
      </c>
      <c r="R51" s="212"/>
      <c r="S51" s="213">
        <f>+N51*(1+S54)</f>
        <v>0.46154416708820745</v>
      </c>
      <c r="T51" s="213">
        <f>+O51*(1+T54)</f>
        <v>0.35792161333804368</v>
      </c>
      <c r="U51" s="213">
        <f t="shared" ref="U51" si="149">+P51*(1+U54)</f>
        <v>0.3635703535146792</v>
      </c>
      <c r="V51" s="213">
        <f>+Q51*(1+V54)</f>
        <v>0.48401456661265307</v>
      </c>
      <c r="W51" s="212"/>
      <c r="X51" s="213">
        <f>+S51*(1+X54)</f>
        <v>0.48923681711349992</v>
      </c>
      <c r="Y51" s="213">
        <f>+T51*(1+Y54)</f>
        <v>0.37223847787156544</v>
      </c>
      <c r="Z51" s="213">
        <f t="shared" ref="Z51" si="150">+U51*(1+Z54)</f>
        <v>0.37811316765526637</v>
      </c>
      <c r="AA51" s="213">
        <f>+V51*(1+AA54)</f>
        <v>0.49369485794490614</v>
      </c>
      <c r="AB51" s="212"/>
      <c r="AC51" s="213">
        <f>+X51*(1+AC54)</f>
        <v>0.51859102614030994</v>
      </c>
      <c r="AD51" s="213">
        <f>+Y51*(1+AD54)</f>
        <v>0.38712801698642807</v>
      </c>
      <c r="AE51" s="213">
        <f t="shared" ref="AE51" si="151">+Z51*(1+AE54)</f>
        <v>0.39323769436147704</v>
      </c>
      <c r="AF51" s="213">
        <f t="shared" ref="AF51" si="152">+AA51*(1+AF54)</f>
        <v>0.50850570368325332</v>
      </c>
      <c r="AG51" s="212"/>
      <c r="AH51" s="213">
        <f>+AC51*(1+AH54)</f>
        <v>0.54452057744732552</v>
      </c>
      <c r="AI51" s="213">
        <f>+AD51*(1+AI54)</f>
        <v>0.40261313766588519</v>
      </c>
      <c r="AJ51" s="213">
        <f t="shared" ref="AJ51" si="153">+AE51*(1+AJ54)</f>
        <v>0.40896720213593613</v>
      </c>
      <c r="AK51" s="213">
        <f t="shared" ref="AK51" si="154">+AF51*(1+AK54)</f>
        <v>0.52884593183058348</v>
      </c>
      <c r="AL51" s="212"/>
    </row>
    <row r="52" spans="1:38" outlineLevel="1">
      <c r="A52" s="297"/>
      <c r="B52" s="51" t="s">
        <v>173</v>
      </c>
      <c r="C52" s="186"/>
      <c r="D52" s="330">
        <v>0.04</v>
      </c>
      <c r="E52" s="330">
        <v>0</v>
      </c>
      <c r="F52" s="330">
        <v>0.03</v>
      </c>
      <c r="G52" s="330">
        <v>0.03</v>
      </c>
      <c r="H52" s="366"/>
      <c r="I52" s="330">
        <v>0.02</v>
      </c>
      <c r="J52" s="330">
        <v>-7.0000000000000007E-2</v>
      </c>
      <c r="K52" s="330">
        <v>-0.53</v>
      </c>
      <c r="L52" s="64"/>
      <c r="M52" s="366"/>
      <c r="N52" s="64"/>
      <c r="O52" s="64"/>
      <c r="P52" s="64"/>
      <c r="Q52" s="64"/>
      <c r="R52" s="62"/>
      <c r="S52" s="64"/>
      <c r="T52" s="64"/>
      <c r="U52" s="64"/>
      <c r="V52" s="64"/>
      <c r="W52" s="62"/>
      <c r="X52" s="64"/>
      <c r="Y52" s="64"/>
      <c r="Z52" s="64"/>
      <c r="AA52" s="64"/>
      <c r="AB52" s="62"/>
      <c r="AC52" s="64"/>
      <c r="AD52" s="64"/>
      <c r="AE52" s="64"/>
      <c r="AF52" s="64"/>
      <c r="AG52" s="62"/>
      <c r="AH52" s="64"/>
      <c r="AI52" s="64"/>
      <c r="AJ52" s="64"/>
      <c r="AK52" s="64"/>
      <c r="AL52" s="62"/>
    </row>
    <row r="53" spans="1:38" outlineLevel="1">
      <c r="A53" s="297"/>
      <c r="B53" s="51" t="s">
        <v>172</v>
      </c>
      <c r="C53" s="186"/>
      <c r="D53" s="439">
        <v>0</v>
      </c>
      <c r="E53" s="439">
        <v>0.04</v>
      </c>
      <c r="F53" s="439">
        <v>0.04</v>
      </c>
      <c r="G53" s="439">
        <v>0.03</v>
      </c>
      <c r="H53" s="416"/>
      <c r="I53" s="439">
        <v>0.03</v>
      </c>
      <c r="J53" s="439">
        <v>0.05</v>
      </c>
      <c r="K53" s="439">
        <v>0.27</v>
      </c>
      <c r="L53" s="201"/>
      <c r="M53" s="416"/>
      <c r="N53" s="201"/>
      <c r="O53" s="201"/>
      <c r="P53" s="201"/>
      <c r="Q53" s="201"/>
      <c r="R53" s="202"/>
      <c r="S53" s="201"/>
      <c r="T53" s="201"/>
      <c r="U53" s="201"/>
      <c r="V53" s="201"/>
      <c r="W53" s="202"/>
      <c r="X53" s="201"/>
      <c r="Y53" s="201"/>
      <c r="Z53" s="201"/>
      <c r="AA53" s="201"/>
      <c r="AB53" s="202"/>
      <c r="AC53" s="201"/>
      <c r="AD53" s="201"/>
      <c r="AE53" s="201"/>
      <c r="AF53" s="201"/>
      <c r="AG53" s="202"/>
      <c r="AH53" s="201"/>
      <c r="AI53" s="201"/>
      <c r="AJ53" s="201"/>
      <c r="AK53" s="201"/>
      <c r="AL53" s="202"/>
    </row>
    <row r="54" spans="1:38" s="20" customFormat="1" outlineLevel="1">
      <c r="A54" s="312"/>
      <c r="B54" s="475" t="s">
        <v>174</v>
      </c>
      <c r="C54" s="87"/>
      <c r="D54" s="440">
        <v>0.04</v>
      </c>
      <c r="E54" s="440">
        <v>4.2999999999999997E-2</v>
      </c>
      <c r="F54" s="441">
        <v>7.0000000000000007E-2</v>
      </c>
      <c r="G54" s="440">
        <v>0.06</v>
      </c>
      <c r="H54" s="384"/>
      <c r="I54" s="440">
        <v>0.06</v>
      </c>
      <c r="J54" s="440">
        <v>-0.03</v>
      </c>
      <c r="K54" s="440">
        <v>-0.41</v>
      </c>
      <c r="L54" s="413">
        <v>-0.12600151115626387</v>
      </c>
      <c r="M54" s="417"/>
      <c r="N54" s="478">
        <v>-0.1</v>
      </c>
      <c r="O54" s="479">
        <v>-0.152102662159638</v>
      </c>
      <c r="P54" s="479">
        <v>0.35016194379164101</v>
      </c>
      <c r="Q54" s="479">
        <v>0.25286034578608002</v>
      </c>
      <c r="R54" s="203"/>
      <c r="S54" s="479">
        <v>0.15</v>
      </c>
      <c r="T54" s="479">
        <v>0.1</v>
      </c>
      <c r="U54" s="479">
        <v>0.08</v>
      </c>
      <c r="V54" s="479">
        <v>5.4158077395748801E-2</v>
      </c>
      <c r="W54" s="203"/>
      <c r="X54" s="479">
        <v>0.06</v>
      </c>
      <c r="Y54" s="479">
        <v>0.04</v>
      </c>
      <c r="Z54" s="479">
        <v>0.04</v>
      </c>
      <c r="AA54" s="479">
        <v>0.02</v>
      </c>
      <c r="AB54" s="203"/>
      <c r="AC54" s="479">
        <v>0.06</v>
      </c>
      <c r="AD54" s="479">
        <v>0.04</v>
      </c>
      <c r="AE54" s="479">
        <v>0.04</v>
      </c>
      <c r="AF54" s="479">
        <v>0.03</v>
      </c>
      <c r="AG54" s="203"/>
      <c r="AH54" s="479">
        <v>0.05</v>
      </c>
      <c r="AI54" s="479">
        <v>0.04</v>
      </c>
      <c r="AJ54" s="479">
        <v>0.04</v>
      </c>
      <c r="AK54" s="479">
        <v>0.04</v>
      </c>
      <c r="AL54" s="203"/>
    </row>
    <row r="55" spans="1:38" ht="17.25" outlineLevel="1">
      <c r="A55" s="297"/>
      <c r="B55" s="187" t="s">
        <v>205</v>
      </c>
      <c r="C55" s="186"/>
      <c r="D55" s="69">
        <v>84</v>
      </c>
      <c r="E55" s="69">
        <v>92</v>
      </c>
      <c r="F55" s="69">
        <v>128</v>
      </c>
      <c r="G55" s="69">
        <f>AVERAGE(D55:F55)</f>
        <v>101.33333333333333</v>
      </c>
      <c r="H55" s="18"/>
      <c r="I55" s="69">
        <v>111</v>
      </c>
      <c r="J55" s="69">
        <v>112</v>
      </c>
      <c r="K55" s="69">
        <v>111</v>
      </c>
      <c r="L55" s="69">
        <f>AVERAGE(K55,J55,I55)</f>
        <v>111.33333333333333</v>
      </c>
      <c r="M55" s="18"/>
      <c r="N55" s="69">
        <f>AVERAGE(L55,K55,J55,I55)</f>
        <v>111.33333333333333</v>
      </c>
      <c r="O55" s="69">
        <f>AVERAGE(N55,L55,K55,J55)</f>
        <v>111.41666666666666</v>
      </c>
      <c r="P55" s="69">
        <f>AVERAGE(O55,N55,L55,K55)</f>
        <v>111.27083333333333</v>
      </c>
      <c r="Q55" s="69">
        <f>AVERAGE(P55,O55,N55,L55)</f>
        <v>111.33854166666666</v>
      </c>
      <c r="R55" s="18"/>
      <c r="S55" s="69">
        <f>AVERAGE(Q55,P55,O55,N55)</f>
        <v>111.33984374999999</v>
      </c>
      <c r="T55" s="69">
        <f>AVERAGE(S55,Q55,P55,O55)</f>
        <v>111.34147135416666</v>
      </c>
      <c r="U55" s="69">
        <f>AVERAGE(T55,S55,Q55,P55)</f>
        <v>111.32267252604164</v>
      </c>
      <c r="V55" s="69">
        <f>AVERAGE(U55,T55,S55,Q55)</f>
        <v>111.33563232421875</v>
      </c>
      <c r="W55" s="18"/>
      <c r="X55" s="69">
        <f>AVERAGE(V55,U55,T55,S55)</f>
        <v>111.33490498860675</v>
      </c>
      <c r="Y55" s="69">
        <f>AVERAGE(X55,V55,U55,T55)</f>
        <v>111.33367029825845</v>
      </c>
      <c r="Z55" s="69">
        <f>AVERAGE(Y55,X55,V55,U55)</f>
        <v>111.3317200342814</v>
      </c>
      <c r="AA55" s="69">
        <f>AVERAGE(Z55,Y55,X55,V55)</f>
        <v>111.33398191134134</v>
      </c>
      <c r="AB55" s="18"/>
      <c r="AC55" s="69">
        <f>AVERAGE(AA55,Z55,Y55,X55)</f>
        <v>111.33356930812199</v>
      </c>
      <c r="AD55" s="69">
        <f>AVERAGE(AC55,AA55,Z55,Y55)</f>
        <v>111.33323538800079</v>
      </c>
      <c r="AE55" s="69">
        <f>AVERAGE(AD55,AC55,AA55,Z55)</f>
        <v>111.33312666043636</v>
      </c>
      <c r="AF55" s="69">
        <f>AVERAGE(AE55,AD55,AC55,AA55)</f>
        <v>111.33347831697512</v>
      </c>
      <c r="AG55" s="18"/>
      <c r="AH55" s="69">
        <f>AVERAGE(AF55,AE55,AD55,AC55)</f>
        <v>111.33335241838357</v>
      </c>
      <c r="AI55" s="69">
        <f>AVERAGE(AH55,AF55,AE55,AD55)</f>
        <v>111.33329819594896</v>
      </c>
      <c r="AJ55" s="69">
        <f>AVERAGE(AI55,AH55,AF55,AE55)</f>
        <v>111.33331389793599</v>
      </c>
      <c r="AK55" s="69">
        <f>AVERAGE(AJ55,AI55,AH55,AF55)</f>
        <v>111.33336070731092</v>
      </c>
      <c r="AL55" s="18"/>
    </row>
    <row r="56" spans="1:38" s="20" customFormat="1" outlineLevel="1">
      <c r="A56" s="312"/>
      <c r="B56" s="530" t="s">
        <v>185</v>
      </c>
      <c r="C56" s="531"/>
      <c r="D56" s="192">
        <v>4092.2</v>
      </c>
      <c r="E56" s="192">
        <v>3849.6</v>
      </c>
      <c r="F56" s="192">
        <v>4182.2</v>
      </c>
      <c r="G56" s="192">
        <v>4164.2</v>
      </c>
      <c r="H56" s="269">
        <f>SUM(D56:G56)</f>
        <v>16288.2</v>
      </c>
      <c r="I56" s="192">
        <v>4471</v>
      </c>
      <c r="J56" s="192">
        <v>3863.6</v>
      </c>
      <c r="K56" s="302">
        <v>2568.9</v>
      </c>
      <c r="L56" s="192">
        <f t="shared" ref="L56" si="155">+L50*L51+L55</f>
        <v>3766.6027396359382</v>
      </c>
      <c r="M56" s="269">
        <f>SUM(I56:L56)</f>
        <v>14670.102739635939</v>
      </c>
      <c r="N56" s="192">
        <f>+N50*N51+N55</f>
        <v>4132.7877283105845</v>
      </c>
      <c r="O56" s="192">
        <f>+O50*O51+O55</f>
        <v>3381.8440627218274</v>
      </c>
      <c r="P56" s="192">
        <f t="shared" ref="P56" si="156">+P50*P51+P55</f>
        <v>3483.3858621819827</v>
      </c>
      <c r="Q56" s="192">
        <f t="shared" ref="Q56" si="157">+Q50*Q51+Q55</f>
        <v>4739.0911733599714</v>
      </c>
      <c r="R56" s="269">
        <f>SUM(N56:Q56)</f>
        <v>15737.108826574367</v>
      </c>
      <c r="S56" s="192">
        <f>+S50*S51+S55</f>
        <v>4775.3590382181083</v>
      </c>
      <c r="T56" s="192">
        <f>+T50*T51+T55</f>
        <v>3735.8570589226993</v>
      </c>
      <c r="U56" s="192">
        <f t="shared" ref="U56" si="158">+U50*U51+U55</f>
        <v>3799.9086517488981</v>
      </c>
      <c r="V56" s="192">
        <f t="shared" ref="V56" si="159">+V50*V51+V55</f>
        <v>5037.42602561681</v>
      </c>
      <c r="W56" s="269">
        <f>SUM(S56:V56)</f>
        <v>17348.550774506515</v>
      </c>
      <c r="X56" s="192">
        <f>+X50*X51+X55</f>
        <v>5133.2007049970425</v>
      </c>
      <c r="Y56" s="192">
        <f>+Y50*Y51+Y55</f>
        <v>3941.7158297528626</v>
      </c>
      <c r="Z56" s="192">
        <f t="shared" ref="Z56" si="160">+Z50*Z51+Z55</f>
        <v>4011.827009253404</v>
      </c>
      <c r="AA56" s="192">
        <f t="shared" ref="AA56" si="161">+AA50*AA51+AA55</f>
        <v>5216.6326363736744</v>
      </c>
      <c r="AB56" s="269">
        <f>SUM(X56:AA56)</f>
        <v>18303.376180376985</v>
      </c>
      <c r="AC56" s="192">
        <f>+AC50*AC51+AC55</f>
        <v>5490.4432541691622</v>
      </c>
      <c r="AD56" s="192">
        <f>+AD50*AD51+AD55</f>
        <v>4141.4497343490602</v>
      </c>
      <c r="AE56" s="192">
        <f t="shared" ref="AE56:AF56" si="162">+AE50*AE51+AE55</f>
        <v>4222.3116481173884</v>
      </c>
      <c r="AF56" s="192">
        <f t="shared" si="162"/>
        <v>5452.7700611327218</v>
      </c>
      <c r="AG56" s="269">
        <f>SUM(AC56:AF56)</f>
        <v>19306.974697768332</v>
      </c>
      <c r="AH56" s="192">
        <f>+AH50*AH51+AH55</f>
        <v>5858.3027615632536</v>
      </c>
      <c r="AI56" s="192">
        <f>+AI50*AI51+AI55</f>
        <v>4380.7163832108536</v>
      </c>
      <c r="AJ56" s="192">
        <f t="shared" ref="AJ56:AK56" si="163">+AJ50*AJ51+AJ55</f>
        <v>4468.5444166403531</v>
      </c>
      <c r="AK56" s="192">
        <f t="shared" si="163"/>
        <v>5772.1965932018047</v>
      </c>
      <c r="AL56" s="269">
        <f>SUM(AH56:AK56)</f>
        <v>20479.760154616262</v>
      </c>
    </row>
    <row r="57" spans="1:38" s="20" customFormat="1" outlineLevel="1">
      <c r="A57" s="312"/>
      <c r="B57" s="214" t="s">
        <v>180</v>
      </c>
      <c r="C57" s="87"/>
      <c r="D57" s="218">
        <f>+D56/D48</f>
        <v>0.41855374859363809</v>
      </c>
      <c r="E57" s="218">
        <f t="shared" ref="E57" si="164">+E56/E48</f>
        <v>0.39378068739770866</v>
      </c>
      <c r="F57" s="218">
        <f t="shared" ref="F57" si="165">+F56/F48</f>
        <v>0.42428730851171753</v>
      </c>
      <c r="G57" s="218">
        <f t="shared" ref="G57" si="166">+G56/G48</f>
        <v>0.4175055143372769</v>
      </c>
      <c r="H57" s="204"/>
      <c r="I57" s="218">
        <f t="shared" ref="I57:J57" si="167">+I56/I48</f>
        <v>0.44620758483033934</v>
      </c>
      <c r="J57" s="218">
        <f t="shared" si="167"/>
        <v>0.38439956223261368</v>
      </c>
      <c r="K57" s="218">
        <f t="shared" ref="K57" si="168">+K56/K48</f>
        <v>0.25645402815214136</v>
      </c>
      <c r="L57" s="218">
        <f t="shared" ref="L57" si="169">+L56/L48</f>
        <v>0.3737079809143703</v>
      </c>
      <c r="M57" s="204"/>
      <c r="N57" s="218">
        <f t="shared" ref="N57" si="170">+N56/N48</f>
        <v>0.40897431813271168</v>
      </c>
      <c r="O57" s="218">
        <f t="shared" ref="O57" si="171">+O56/O48</f>
        <v>0.33395775345501766</v>
      </c>
      <c r="P57" s="218">
        <f t="shared" ref="P57" si="172">+P56/P48</f>
        <v>0.34334453269498327</v>
      </c>
      <c r="Q57" s="218">
        <f t="shared" ref="Q57" si="173">+Q56/Q48</f>
        <v>0.46564089922810192</v>
      </c>
      <c r="R57" s="204"/>
      <c r="S57" s="218">
        <f t="shared" ref="S57" si="174">+S56/S48</f>
        <v>0.4680711307357488</v>
      </c>
      <c r="T57" s="218">
        <f t="shared" ref="T57" si="175">+T56/T48</f>
        <v>0.3653132776905359</v>
      </c>
      <c r="U57" s="218">
        <f t="shared" ref="U57" si="176">+U56/U48</f>
        <v>0.37067148849266346</v>
      </c>
      <c r="V57" s="218">
        <f t="shared" ref="V57" si="177">+V56/V48</f>
        <v>0.49012162410029314</v>
      </c>
      <c r="W57" s="204"/>
      <c r="X57" s="218">
        <f t="shared" ref="X57" si="178">+X56/X48</f>
        <v>0.49822407470464564</v>
      </c>
      <c r="Y57" s="218">
        <f t="shared" ref="Y57" si="179">+Y56/Y48</f>
        <v>0.38164621601038484</v>
      </c>
      <c r="Z57" s="218">
        <f t="shared" ref="Z57" si="180">+Z56/Z48</f>
        <v>0.38748025426955973</v>
      </c>
      <c r="AA57" s="218">
        <f t="shared" ref="AA57" si="181">+AA56/AA48</f>
        <v>0.50260536085747864</v>
      </c>
      <c r="AB57" s="204"/>
      <c r="AC57" s="218">
        <f t="shared" ref="AC57:AF57" si="182">+AC56/AC48</f>
        <v>0.52645002518219763</v>
      </c>
      <c r="AD57" s="218">
        <f t="shared" si="182"/>
        <v>0.39520733951655923</v>
      </c>
      <c r="AE57" s="218">
        <f t="shared" si="182"/>
        <v>0.40101040621115419</v>
      </c>
      <c r="AF57" s="218">
        <f t="shared" si="182"/>
        <v>0.51542453246068054</v>
      </c>
      <c r="AG57" s="204"/>
      <c r="AH57" s="218">
        <f t="shared" ref="AH57:AK57" si="183">+AH56/AH48</f>
        <v>0.55115272538701165</v>
      </c>
      <c r="AI57" s="218">
        <f t="shared" si="183"/>
        <v>0.41021084608858271</v>
      </c>
      <c r="AJ57" s="218">
        <f t="shared" si="183"/>
        <v>0.41648508858012223</v>
      </c>
      <c r="AK57" s="218">
        <f t="shared" si="183"/>
        <v>0.53549485140611031</v>
      </c>
      <c r="AL57" s="204"/>
    </row>
    <row r="58" spans="1:38" s="207" customFormat="1" outlineLevel="1">
      <c r="A58" s="316"/>
      <c r="B58" s="214" t="s">
        <v>178</v>
      </c>
      <c r="C58" s="215"/>
      <c r="D58" s="210">
        <f>ROUND((+D56-D55-(D50*D51)),0)</f>
        <v>0</v>
      </c>
      <c r="E58" s="216">
        <f>ROUND((+E56-E55-(E50*E51)),0)</f>
        <v>0</v>
      </c>
      <c r="F58" s="319">
        <f>ROUND((+F56-F55-(F50*F51)),0)</f>
        <v>0</v>
      </c>
      <c r="G58" s="216">
        <f>ROUND((+G56-G55-(G50*G51)),0)</f>
        <v>0</v>
      </c>
      <c r="H58" s="217"/>
      <c r="I58" s="216">
        <f>ROUND((+I56-I55-(I50*I51)),0)</f>
        <v>0</v>
      </c>
      <c r="J58" s="216">
        <f>ROUND((+J56-J55-(J50*J51)),0)</f>
        <v>0</v>
      </c>
      <c r="K58" s="216">
        <f>ROUND((+K56-K55-(K50*K51)),0)</f>
        <v>0</v>
      </c>
      <c r="L58" s="216">
        <f>ROUND((+L56-L55-(L50*L51)),0)</f>
        <v>0</v>
      </c>
      <c r="M58" s="217"/>
      <c r="N58" s="216">
        <f>ROUND((+N56-N55-(N50*N51)),0)</f>
        <v>0</v>
      </c>
      <c r="O58" s="216">
        <f>ROUND((+O56-O55-(O50*O51)),0)</f>
        <v>0</v>
      </c>
      <c r="P58" s="216">
        <f>ROUND((+P56-P55-(P50*P51)),0)</f>
        <v>0</v>
      </c>
      <c r="Q58" s="216">
        <f>ROUND((+Q56-Q55-(Q50*Q51)),0)</f>
        <v>0</v>
      </c>
      <c r="R58" s="217"/>
      <c r="S58" s="216">
        <f>ROUND((+S56-S55-(S50*S51)),0)</f>
        <v>0</v>
      </c>
      <c r="T58" s="216">
        <f>ROUND((+T56-T55-(T50*T51)),0)</f>
        <v>0</v>
      </c>
      <c r="U58" s="216">
        <f>ROUND((+U56-U55-(U50*U51)),0)</f>
        <v>0</v>
      </c>
      <c r="V58" s="216">
        <f>ROUND((+V56-V55-(V50*V51)),0)</f>
        <v>0</v>
      </c>
      <c r="W58" s="217"/>
      <c r="X58" s="216">
        <f>ROUND((+X56-X55-(X50*X51)),0)</f>
        <v>0</v>
      </c>
      <c r="Y58" s="216">
        <f>ROUND((+Y56-Y55-(Y50*Y51)),0)</f>
        <v>0</v>
      </c>
      <c r="Z58" s="216">
        <f>ROUND((+Z56-Z55-(Z50*Z51)),0)</f>
        <v>0</v>
      </c>
      <c r="AA58" s="216">
        <f>ROUND((+AA56-AA55-(AA50*AA51)),0)</f>
        <v>0</v>
      </c>
      <c r="AB58" s="217"/>
      <c r="AC58" s="216">
        <f>ROUND((+AC56-AC55-(AC50*AC51)),0)</f>
        <v>0</v>
      </c>
      <c r="AD58" s="216">
        <f>ROUND((+AD56-AD55-(AD50*AD51)),0)</f>
        <v>0</v>
      </c>
      <c r="AE58" s="216">
        <f>ROUND((+AE56-AE55-(AE50*AE51)),0)</f>
        <v>0</v>
      </c>
      <c r="AF58" s="216">
        <f>ROUND((+AF56-AF55-(AF50*AF51)),0)</f>
        <v>0</v>
      </c>
      <c r="AG58" s="217"/>
      <c r="AH58" s="216">
        <f>ROUND((+AH56-AH55-(AH50*AH51)),0)</f>
        <v>0</v>
      </c>
      <c r="AI58" s="216">
        <f>ROUND((+AI56-AI55-(AI50*AI51)),0)</f>
        <v>0</v>
      </c>
      <c r="AJ58" s="216">
        <f>ROUND((+AJ56-AJ55-(AJ50*AJ51)),0)</f>
        <v>0</v>
      </c>
      <c r="AK58" s="216">
        <f>ROUND((+AK56-AK55-(AK50*AK51)),0)</f>
        <v>0</v>
      </c>
      <c r="AL58" s="217"/>
    </row>
    <row r="59" spans="1:38" s="20" customFormat="1" outlineLevel="1">
      <c r="A59" s="312"/>
      <c r="B59" s="536" t="s">
        <v>171</v>
      </c>
      <c r="C59" s="537"/>
      <c r="D59" s="219">
        <v>7876</v>
      </c>
      <c r="E59" s="219">
        <v>7943</v>
      </c>
      <c r="F59" s="329">
        <v>7996</v>
      </c>
      <c r="G59" s="219">
        <v>8093</v>
      </c>
      <c r="H59" s="220"/>
      <c r="I59" s="219">
        <v>8183</v>
      </c>
      <c r="J59" s="219">
        <v>8220</v>
      </c>
      <c r="K59" s="219">
        <v>8218</v>
      </c>
      <c r="L59" s="219">
        <f>+K59+L60</f>
        <v>8288</v>
      </c>
      <c r="M59" s="220"/>
      <c r="N59" s="219">
        <f>+L59+N60</f>
        <v>8336.75</v>
      </c>
      <c r="O59" s="219">
        <f>+N59+O60</f>
        <v>8375.1875</v>
      </c>
      <c r="P59" s="219">
        <f t="shared" ref="P59" si="184">+O59+P60</f>
        <v>8413.984375</v>
      </c>
      <c r="Q59" s="219">
        <f t="shared" ref="Q59" si="185">+P59+Q60</f>
        <v>8462.98046875</v>
      </c>
      <c r="R59" s="220"/>
      <c r="S59" s="219">
        <f>+Q59+S60</f>
        <v>8506.7255859375</v>
      </c>
      <c r="T59" s="219">
        <f>+S59+T60</f>
        <v>8549.219482421875</v>
      </c>
      <c r="U59" s="219">
        <f t="shared" ref="U59" si="186">+T59+U60</f>
        <v>8592.7274780273438</v>
      </c>
      <c r="V59" s="219">
        <f t="shared" ref="V59" si="187">+U59+V60</f>
        <v>8637.4132537841797</v>
      </c>
      <c r="W59" s="220"/>
      <c r="X59" s="219">
        <f>+V59+X60</f>
        <v>8681.0214500427246</v>
      </c>
      <c r="Y59" s="219">
        <f>+X59+Y60</f>
        <v>8724.5954160690308</v>
      </c>
      <c r="Z59" s="219">
        <f t="shared" ref="Z59" si="188">+Y59+Z60</f>
        <v>8768.4393994808197</v>
      </c>
      <c r="AA59" s="219">
        <f t="shared" ref="AA59" si="189">+Z59+AA60</f>
        <v>8812.3673798441887</v>
      </c>
      <c r="AB59" s="220"/>
      <c r="AC59" s="219">
        <f>+AA59+AC60</f>
        <v>8887.3673798441887</v>
      </c>
      <c r="AD59" s="219">
        <f>+AC59+AD60</f>
        <v>8962.3673798441887</v>
      </c>
      <c r="AE59" s="219">
        <f t="shared" ref="AE59" si="190">+AD59+AE60</f>
        <v>9037.3673798441887</v>
      </c>
      <c r="AF59" s="219">
        <f t="shared" ref="AF59" si="191">+AE59+AF60</f>
        <v>9112.3673798441887</v>
      </c>
      <c r="AG59" s="220"/>
      <c r="AH59" s="219">
        <f>+AF59+AH60</f>
        <v>9187.3673798441887</v>
      </c>
      <c r="AI59" s="219">
        <f>+AH59+AI60</f>
        <v>9262.3673798441887</v>
      </c>
      <c r="AJ59" s="219">
        <f t="shared" ref="AJ59" si="192">+AI59+AJ60</f>
        <v>9337.3673798441887</v>
      </c>
      <c r="AK59" s="219">
        <f t="shared" ref="AK59" si="193">+AJ59+AK60</f>
        <v>9412.3673798441887</v>
      </c>
      <c r="AL59" s="220"/>
    </row>
    <row r="60" spans="1:38" outlineLevel="1">
      <c r="A60" s="297"/>
      <c r="B60" s="51" t="s">
        <v>179</v>
      </c>
      <c r="C60" s="85"/>
      <c r="D60" s="38">
        <f>+D59-7770</f>
        <v>106</v>
      </c>
      <c r="E60" s="299">
        <f>E59-D59</f>
        <v>67</v>
      </c>
      <c r="F60" s="299">
        <f t="shared" ref="F60:G60" si="194">F59-E59</f>
        <v>53</v>
      </c>
      <c r="G60" s="299">
        <f t="shared" si="194"/>
        <v>97</v>
      </c>
      <c r="H60" s="56">
        <f>+SUM(D60:G60)</f>
        <v>323</v>
      </c>
      <c r="I60" s="299">
        <f>I59-G59</f>
        <v>90</v>
      </c>
      <c r="J60" s="299">
        <f t="shared" ref="J60:K60" si="195">J59-I59</f>
        <v>37</v>
      </c>
      <c r="K60" s="299">
        <f t="shared" si="195"/>
        <v>-2</v>
      </c>
      <c r="L60" s="71">
        <v>70</v>
      </c>
      <c r="M60" s="56">
        <f>+SUM(I60:L60)</f>
        <v>195</v>
      </c>
      <c r="N60" s="71">
        <f>AVERAGE(I60,J60,K60,L60)</f>
        <v>48.75</v>
      </c>
      <c r="O60" s="71">
        <f>AVERAGE(J60,K60,L60,N60)</f>
        <v>38.4375</v>
      </c>
      <c r="P60" s="71">
        <f>AVERAGE(K60,L60,N60,O60)</f>
        <v>38.796875</v>
      </c>
      <c r="Q60" s="71">
        <f>AVERAGE(L60,N60,O60,P60)</f>
        <v>48.99609375</v>
      </c>
      <c r="R60" s="56">
        <f>+SUM(N60:Q60)</f>
        <v>174.98046875</v>
      </c>
      <c r="S60" s="71">
        <f>AVERAGE(N60,O60,P60,Q60)</f>
        <v>43.7451171875</v>
      </c>
      <c r="T60" s="71">
        <f>AVERAGE(O60,P60,Q60,S60)</f>
        <v>42.493896484375</v>
      </c>
      <c r="U60" s="71">
        <f>AVERAGE(P60,Q60,S60,T60)</f>
        <v>43.50799560546875</v>
      </c>
      <c r="V60" s="71">
        <f>AVERAGE(Q60,S60,T60,U60)</f>
        <v>44.685775756835938</v>
      </c>
      <c r="W60" s="56">
        <f>+SUM(S60:V60)</f>
        <v>174.43278503417969</v>
      </c>
      <c r="X60" s="71">
        <f>AVERAGE(S60,T60,U60,V60)</f>
        <v>43.608196258544922</v>
      </c>
      <c r="Y60" s="71">
        <f>AVERAGE(T60,U60,V60,X60)</f>
        <v>43.573966026306152</v>
      </c>
      <c r="Z60" s="71">
        <f>AVERAGE(U60,V60,X60,Y60)</f>
        <v>43.84398341178894</v>
      </c>
      <c r="AA60" s="71">
        <f>AVERAGE(V60,X60,Y60,Z60)</f>
        <v>43.927980363368988</v>
      </c>
      <c r="AB60" s="56">
        <f>+SUM(X60:AA60)</f>
        <v>174.954126060009</v>
      </c>
      <c r="AC60" s="71">
        <v>75</v>
      </c>
      <c r="AD60" s="71">
        <v>75</v>
      </c>
      <c r="AE60" s="71">
        <v>75</v>
      </c>
      <c r="AF60" s="71">
        <v>75</v>
      </c>
      <c r="AG60" s="56">
        <f>+SUM(AC60:AF60)</f>
        <v>300</v>
      </c>
      <c r="AH60" s="71">
        <f>AVERAGE(AC60,AD60,AE60,AF60)</f>
        <v>75</v>
      </c>
      <c r="AI60" s="71">
        <f>AVERAGE(AD60,AE60,AF60,AH60)</f>
        <v>75</v>
      </c>
      <c r="AJ60" s="71">
        <f>AVERAGE(AE60,AF60,AH60,AI60)</f>
        <v>75</v>
      </c>
      <c r="AK60" s="71">
        <f>AVERAGE(AF60,AH60,AI60,AJ60)</f>
        <v>75</v>
      </c>
      <c r="AL60" s="56">
        <f>+SUM(AH60:AK60)</f>
        <v>300</v>
      </c>
    </row>
    <row r="61" spans="1:38" outlineLevel="1">
      <c r="A61" s="297"/>
      <c r="B61" s="51" t="s">
        <v>182</v>
      </c>
      <c r="C61" s="85"/>
      <c r="D61" s="38">
        <f>AVERAGE(D59,7770)</f>
        <v>7823</v>
      </c>
      <c r="E61" s="38">
        <f>AVERAGE(E59,D59)</f>
        <v>7909.5</v>
      </c>
      <c r="F61" s="38">
        <f t="shared" ref="F61:G61" si="196">AVERAGE(F59,E59)</f>
        <v>7969.5</v>
      </c>
      <c r="G61" s="38">
        <f t="shared" si="196"/>
        <v>8044.5</v>
      </c>
      <c r="H61" s="56"/>
      <c r="I61" s="38">
        <f>AVERAGE(I59,G59)</f>
        <v>8138</v>
      </c>
      <c r="J61" s="38">
        <f>AVERAGE(J59,I59)</f>
        <v>8201.5</v>
      </c>
      <c r="K61" s="38">
        <f t="shared" ref="K61:L61" si="197">AVERAGE(K59,J59)</f>
        <v>8219</v>
      </c>
      <c r="L61" s="38">
        <f t="shared" si="197"/>
        <v>8253</v>
      </c>
      <c r="M61" s="18"/>
      <c r="N61" s="38">
        <f>AVERAGE(N59,L59)</f>
        <v>8312.375</v>
      </c>
      <c r="O61" s="38">
        <f>AVERAGE(O59,N59)</f>
        <v>8355.96875</v>
      </c>
      <c r="P61" s="38">
        <f t="shared" ref="P61:Q61" si="198">AVERAGE(P59,O59)</f>
        <v>8394.5859375</v>
      </c>
      <c r="Q61" s="38">
        <f t="shared" si="198"/>
        <v>8438.482421875</v>
      </c>
      <c r="R61" s="18"/>
      <c r="S61" s="38">
        <f>AVERAGE(S59,Q59)</f>
        <v>8484.85302734375</v>
      </c>
      <c r="T61" s="38">
        <f>AVERAGE(T59,S59)</f>
        <v>8527.9725341796875</v>
      </c>
      <c r="U61" s="38">
        <f t="shared" ref="U61:V61" si="199">AVERAGE(U59,T59)</f>
        <v>8570.9734802246094</v>
      </c>
      <c r="V61" s="38">
        <f t="shared" si="199"/>
        <v>8615.0703659057617</v>
      </c>
      <c r="W61" s="18"/>
      <c r="X61" s="38">
        <f>AVERAGE(X59,V59)</f>
        <v>8659.2173519134521</v>
      </c>
      <c r="Y61" s="38">
        <f>AVERAGE(Y59,X59)</f>
        <v>8702.8084330558777</v>
      </c>
      <c r="Z61" s="38">
        <f t="shared" ref="Z61:AA61" si="200">AVERAGE(Z59,Y59)</f>
        <v>8746.5174077749252</v>
      </c>
      <c r="AA61" s="38">
        <f t="shared" si="200"/>
        <v>8790.4033896625042</v>
      </c>
      <c r="AB61" s="18"/>
      <c r="AC61" s="38">
        <f>AVERAGE(AC59,AA59)</f>
        <v>8849.8673798441887</v>
      </c>
      <c r="AD61" s="38">
        <f>AVERAGE(AD59,AC59)</f>
        <v>8924.8673798441887</v>
      </c>
      <c r="AE61" s="38">
        <f t="shared" ref="AE61" si="201">AVERAGE(AE59,AD59)</f>
        <v>8999.8673798441887</v>
      </c>
      <c r="AF61" s="38">
        <f t="shared" ref="AF61" si="202">AVERAGE(AF59,AE59)</f>
        <v>9074.8673798441887</v>
      </c>
      <c r="AG61" s="18"/>
      <c r="AH61" s="38">
        <f>AVERAGE(AH59,AF59)</f>
        <v>9149.8673798441887</v>
      </c>
      <c r="AI61" s="38">
        <f>AVERAGE(AI59,AH59)</f>
        <v>9224.8673798441887</v>
      </c>
      <c r="AJ61" s="38">
        <f t="shared" ref="AJ61" si="203">AVERAGE(AJ59,AI59)</f>
        <v>9299.8673798441887</v>
      </c>
      <c r="AK61" s="38">
        <f t="shared" ref="AK61" si="204">AVERAGE(AK59,AJ59)</f>
        <v>9374.8673798441887</v>
      </c>
      <c r="AL61" s="18"/>
    </row>
    <row r="62" spans="1:38" outlineLevel="1">
      <c r="A62" s="297"/>
      <c r="B62" s="51" t="s">
        <v>181</v>
      </c>
      <c r="C62" s="85"/>
      <c r="D62" s="122">
        <f>+D63/D61</f>
        <v>6.5780391154288645E-2</v>
      </c>
      <c r="E62" s="122">
        <f>+E63/E61</f>
        <v>5.8549845122953414E-2</v>
      </c>
      <c r="F62" s="122">
        <f>+F63/F61</f>
        <v>6.2274923144488362E-2</v>
      </c>
      <c r="G62" s="322">
        <f t="shared" ref="G62:K62" si="205">+G63/G61</f>
        <v>6.016533034992852E-2</v>
      </c>
      <c r="H62" s="365"/>
      <c r="I62" s="322">
        <f t="shared" si="205"/>
        <v>6.6023593020398133E-2</v>
      </c>
      <c r="J62" s="322">
        <f t="shared" si="205"/>
        <v>5.6599402548314331E-2</v>
      </c>
      <c r="K62" s="322">
        <f t="shared" si="205"/>
        <v>2.8653120817617714E-2</v>
      </c>
      <c r="L62" s="206">
        <v>5.5E-2</v>
      </c>
      <c r="M62" s="18"/>
      <c r="N62" s="481">
        <v>3.5000000000000003E-2</v>
      </c>
      <c r="O62" s="481">
        <v>0.03</v>
      </c>
      <c r="P62" s="481">
        <v>3.5000000000000003E-2</v>
      </c>
      <c r="Q62" s="206">
        <v>0.06</v>
      </c>
      <c r="R62" s="18"/>
      <c r="S62" s="206">
        <v>6.5000000000000002E-2</v>
      </c>
      <c r="T62" s="206">
        <f>+O62*(1+2%)</f>
        <v>3.0599999999999999E-2</v>
      </c>
      <c r="U62" s="206">
        <f>+P62*(1+2%)</f>
        <v>3.5700000000000003E-2</v>
      </c>
      <c r="V62" s="206">
        <f>+Q62*(1+2%)</f>
        <v>6.1199999999999997E-2</v>
      </c>
      <c r="W62" s="18"/>
      <c r="X62" s="206">
        <f>+S62*(1+2%)</f>
        <v>6.6299999999999998E-2</v>
      </c>
      <c r="Y62" s="206">
        <f>+T62*(1+2%)</f>
        <v>3.1212E-2</v>
      </c>
      <c r="Z62" s="206">
        <f>+U62*(1+2%)</f>
        <v>3.6414000000000002E-2</v>
      </c>
      <c r="AA62" s="206">
        <f>+V62*(1+2%)</f>
        <v>6.2424E-2</v>
      </c>
      <c r="AB62" s="18"/>
      <c r="AC62" s="206">
        <f>+X62*(1+5%)</f>
        <v>6.9614999999999996E-2</v>
      </c>
      <c r="AD62" s="206">
        <f>+Y62*(1+5%)</f>
        <v>3.2772599999999999E-2</v>
      </c>
      <c r="AE62" s="206">
        <f>+Z62*(1+5%)</f>
        <v>3.8234700000000003E-2</v>
      </c>
      <c r="AF62" s="206">
        <f>+AA62*(1+5%)</f>
        <v>6.5545199999999998E-2</v>
      </c>
      <c r="AG62" s="18"/>
      <c r="AH62" s="206">
        <f>+AC62*(1+5%)</f>
        <v>7.3095750000000001E-2</v>
      </c>
      <c r="AI62" s="206">
        <f>+AD62*(1+5%)</f>
        <v>3.4411230000000001E-2</v>
      </c>
      <c r="AJ62" s="206">
        <f>+AE62*(1+5%)</f>
        <v>4.0146435000000008E-2</v>
      </c>
      <c r="AK62" s="206">
        <f>+AF62*(1+5%)</f>
        <v>6.8822460000000002E-2</v>
      </c>
      <c r="AL62" s="18"/>
    </row>
    <row r="63" spans="1:38" s="20" customFormat="1" outlineLevel="1">
      <c r="A63" s="312"/>
      <c r="B63" s="538" t="s">
        <v>184</v>
      </c>
      <c r="C63" s="539"/>
      <c r="D63" s="323">
        <v>514.6</v>
      </c>
      <c r="E63" s="323">
        <v>463.1</v>
      </c>
      <c r="F63" s="323">
        <v>496.3</v>
      </c>
      <c r="G63" s="323">
        <v>484</v>
      </c>
      <c r="H63" s="442"/>
      <c r="I63" s="323">
        <v>537.29999999999995</v>
      </c>
      <c r="J63" s="323">
        <v>464.2</v>
      </c>
      <c r="K63" s="323">
        <v>235.5</v>
      </c>
      <c r="L63" s="224">
        <f t="shared" ref="L63" si="206">+L61*L62</f>
        <v>453.91500000000002</v>
      </c>
      <c r="M63" s="225"/>
      <c r="N63" s="224">
        <f>+N61*N62</f>
        <v>290.93312500000002</v>
      </c>
      <c r="O63" s="224">
        <f>+O61*O62</f>
        <v>250.67906249999999</v>
      </c>
      <c r="P63" s="224">
        <f t="shared" ref="P63" si="207">+P61*P62</f>
        <v>293.81050781250002</v>
      </c>
      <c r="Q63" s="224">
        <f t="shared" ref="Q63" si="208">+Q61*Q62</f>
        <v>506.30894531249999</v>
      </c>
      <c r="R63" s="225"/>
      <c r="S63" s="224">
        <f>+S61*S62</f>
        <v>551.51544677734375</v>
      </c>
      <c r="T63" s="224">
        <f>+T61*T62</f>
        <v>260.95595954589845</v>
      </c>
      <c r="U63" s="224">
        <f t="shared" ref="U63" si="209">+U61*U62</f>
        <v>305.9837532440186</v>
      </c>
      <c r="V63" s="224">
        <f t="shared" ref="V63" si="210">+V61*V62</f>
        <v>527.24230639343261</v>
      </c>
      <c r="W63" s="225"/>
      <c r="X63" s="224">
        <f>+X61*X62</f>
        <v>574.10611043186191</v>
      </c>
      <c r="Y63" s="224">
        <f>+Y61*Y62</f>
        <v>271.63205681254004</v>
      </c>
      <c r="Z63" s="224">
        <f t="shared" ref="Z63" si="211">+Z61*Z62</f>
        <v>318.49568488671616</v>
      </c>
      <c r="AA63" s="224">
        <f t="shared" ref="AA63" si="212">+AA61*AA62</f>
        <v>548.73214119629222</v>
      </c>
      <c r="AB63" s="225"/>
      <c r="AC63" s="224">
        <f>+AC61*AC62</f>
        <v>616.08351764785311</v>
      </c>
      <c r="AD63" s="224">
        <f>+AD61*AD62</f>
        <v>292.49110869268162</v>
      </c>
      <c r="AE63" s="224">
        <f t="shared" ref="AE63:AF63" si="213">+AE61*AE62</f>
        <v>344.10722930812864</v>
      </c>
      <c r="AF63" s="224">
        <f t="shared" si="213"/>
        <v>594.81399738536334</v>
      </c>
      <c r="AG63" s="225"/>
      <c r="AH63" s="224">
        <f>+AH61*AH62</f>
        <v>668.81641853024587</v>
      </c>
      <c r="AI63" s="224">
        <f>+AI61*AI62</f>
        <v>317.43903312731572</v>
      </c>
      <c r="AJ63" s="224">
        <f t="shared" ref="AJ63:AK63" si="214">+AJ61*AJ62</f>
        <v>373.35652127353512</v>
      </c>
      <c r="AK63" s="224">
        <f t="shared" si="214"/>
        <v>645.20143525463152</v>
      </c>
      <c r="AL63" s="225"/>
    </row>
    <row r="64" spans="1:38" s="20" customFormat="1" outlineLevel="1">
      <c r="A64" s="312"/>
      <c r="B64" s="530" t="s">
        <v>183</v>
      </c>
      <c r="C64" s="531"/>
      <c r="D64" s="302">
        <v>5.7</v>
      </c>
      <c r="E64" s="302">
        <v>1.4</v>
      </c>
      <c r="F64" s="302">
        <v>2.6</v>
      </c>
      <c r="G64" s="302">
        <v>3.2</v>
      </c>
      <c r="H64" s="443"/>
      <c r="I64" s="302">
        <v>2.6</v>
      </c>
      <c r="J64" s="302">
        <v>2.2000000000000002</v>
      </c>
      <c r="K64" s="302">
        <v>1.1000000000000001</v>
      </c>
      <c r="L64" s="192">
        <f t="shared" ref="L64" si="215">+G64*(1+L65)</f>
        <v>2.4000000000000004</v>
      </c>
      <c r="M64" s="199"/>
      <c r="N64" s="192">
        <f>+I64*(1+N65)</f>
        <v>3.25</v>
      </c>
      <c r="O64" s="192">
        <f>+J64*(1+O65)</f>
        <v>2.75</v>
      </c>
      <c r="P64" s="192">
        <f>+K64*(1+P65)</f>
        <v>1.375</v>
      </c>
      <c r="Q64" s="192">
        <f t="shared" ref="Q64" si="216">+L64*(1+Q65)</f>
        <v>3.0000000000000004</v>
      </c>
      <c r="R64" s="199"/>
      <c r="S64" s="192">
        <f>+N64*(1+S65)</f>
        <v>3.4125000000000001</v>
      </c>
      <c r="T64" s="192">
        <f>+O64*(1+T65)</f>
        <v>2.8875000000000002</v>
      </c>
      <c r="U64" s="192">
        <f>+P64*(1+U65)</f>
        <v>1.4437500000000001</v>
      </c>
      <c r="V64" s="192">
        <f t="shared" ref="V64" si="217">+Q64*(1+V65)</f>
        <v>3.1500000000000008</v>
      </c>
      <c r="W64" s="199"/>
      <c r="X64" s="192">
        <f>+S64*(1+X65)</f>
        <v>3.7537500000000006</v>
      </c>
      <c r="Y64" s="192">
        <f>+T64*(1+Y65)</f>
        <v>3.1762500000000005</v>
      </c>
      <c r="Z64" s="192">
        <f>+U64*(1+Z65)</f>
        <v>1.5881250000000002</v>
      </c>
      <c r="AA64" s="192">
        <f t="shared" ref="AA64" si="218">+V64*(1+AA65)</f>
        <v>3.4650000000000012</v>
      </c>
      <c r="AB64" s="199"/>
      <c r="AC64" s="192">
        <f>+X64*(1+AC65)</f>
        <v>4.129125000000001</v>
      </c>
      <c r="AD64" s="192">
        <f>+Y64*(1+AD65)</f>
        <v>3.493875000000001</v>
      </c>
      <c r="AE64" s="192">
        <f>+Z64*(1+AE65)</f>
        <v>1.7469375000000005</v>
      </c>
      <c r="AF64" s="192">
        <f t="shared" ref="AF64" si="219">+AA64*(1+AF65)</f>
        <v>3.8115000000000014</v>
      </c>
      <c r="AG64" s="199"/>
      <c r="AH64" s="192">
        <f>+AC64*(1+AH65)</f>
        <v>4.5420375000000019</v>
      </c>
      <c r="AI64" s="192">
        <f>+AD64*(1+AI65)</f>
        <v>3.8432625000000011</v>
      </c>
      <c r="AJ64" s="192">
        <f>+AE64*(1+AJ65)</f>
        <v>1.9216312500000006</v>
      </c>
      <c r="AK64" s="192">
        <f t="shared" ref="AK64" si="220">+AF64*(1+AK65)</f>
        <v>4.1926500000000022</v>
      </c>
      <c r="AL64" s="199"/>
    </row>
    <row r="65" spans="1:38" outlineLevel="1">
      <c r="A65" s="297"/>
      <c r="B65" s="221" t="s">
        <v>186</v>
      </c>
      <c r="C65" s="222"/>
      <c r="D65" s="334"/>
      <c r="E65" s="334"/>
      <c r="F65" s="334"/>
      <c r="G65" s="334"/>
      <c r="H65" s="444"/>
      <c r="I65" s="334">
        <f>I64/D64-1</f>
        <v>-0.54385964912280704</v>
      </c>
      <c r="J65" s="334">
        <f t="shared" ref="J65" si="221">J64/E64-1</f>
        <v>0.57142857142857162</v>
      </c>
      <c r="K65" s="334">
        <f>K64/F64-1</f>
        <v>-0.57692307692307687</v>
      </c>
      <c r="L65" s="223">
        <v>-0.25</v>
      </c>
      <c r="M65" s="200"/>
      <c r="N65" s="223">
        <v>0.25</v>
      </c>
      <c r="O65" s="223">
        <v>0.25</v>
      </c>
      <c r="P65" s="223">
        <v>0.25</v>
      </c>
      <c r="Q65" s="223">
        <v>0.25</v>
      </c>
      <c r="R65" s="200"/>
      <c r="S65" s="223">
        <v>0.05</v>
      </c>
      <c r="T65" s="223">
        <v>0.05</v>
      </c>
      <c r="U65" s="223">
        <v>0.05</v>
      </c>
      <c r="V65" s="223">
        <v>0.05</v>
      </c>
      <c r="W65" s="200"/>
      <c r="X65" s="223">
        <v>0.1</v>
      </c>
      <c r="Y65" s="223">
        <v>0.1</v>
      </c>
      <c r="Z65" s="223">
        <v>0.1</v>
      </c>
      <c r="AA65" s="223">
        <v>0.1</v>
      </c>
      <c r="AB65" s="200"/>
      <c r="AC65" s="223">
        <v>0.1</v>
      </c>
      <c r="AD65" s="223">
        <v>0.1</v>
      </c>
      <c r="AE65" s="223">
        <v>0.1</v>
      </c>
      <c r="AF65" s="223">
        <v>0.1</v>
      </c>
      <c r="AG65" s="200"/>
      <c r="AH65" s="223">
        <v>0.1</v>
      </c>
      <c r="AI65" s="223">
        <v>0.1</v>
      </c>
      <c r="AJ65" s="223">
        <v>0.1</v>
      </c>
      <c r="AK65" s="223">
        <v>0.1</v>
      </c>
      <c r="AL65" s="200"/>
    </row>
    <row r="66" spans="1:38" outlineLevel="1">
      <c r="A66" s="297"/>
      <c r="B66" s="51" t="s">
        <v>188</v>
      </c>
      <c r="C66" s="186"/>
      <c r="D66" s="299">
        <f t="shared" ref="D66:G66" si="222">+D59+D48</f>
        <v>17653</v>
      </c>
      <c r="E66" s="299">
        <f>+E59+E48</f>
        <v>17719</v>
      </c>
      <c r="F66" s="299">
        <f t="shared" si="222"/>
        <v>17853</v>
      </c>
      <c r="G66" s="299">
        <f t="shared" si="222"/>
        <v>18067</v>
      </c>
      <c r="H66" s="336"/>
      <c r="I66" s="299">
        <f>+I59+I48</f>
        <v>18203</v>
      </c>
      <c r="J66" s="299">
        <f t="shared" ref="J66:L66" si="223">+J59+J48</f>
        <v>18271</v>
      </c>
      <c r="K66" s="299">
        <f t="shared" si="223"/>
        <v>18235</v>
      </c>
      <c r="L66" s="38">
        <f t="shared" si="223"/>
        <v>18367</v>
      </c>
      <c r="M66" s="18"/>
      <c r="N66" s="38">
        <f>+N59+N48</f>
        <v>18442</v>
      </c>
      <c r="O66" s="38">
        <f t="shared" ref="O66:Q66" si="224">+O59+O48</f>
        <v>18501.75</v>
      </c>
      <c r="P66" s="38">
        <f t="shared" si="224"/>
        <v>18559.4375</v>
      </c>
      <c r="Q66" s="38">
        <f t="shared" si="224"/>
        <v>18640.546875</v>
      </c>
      <c r="R66" s="18"/>
      <c r="S66" s="38">
        <f>+S59+S48</f>
        <v>18708.93359375</v>
      </c>
      <c r="T66" s="38">
        <f t="shared" ref="T66:V66" si="225">+T59+T48</f>
        <v>18775.6669921875</v>
      </c>
      <c r="U66" s="38">
        <f t="shared" si="225"/>
        <v>18844.146240234375</v>
      </c>
      <c r="V66" s="38">
        <f t="shared" si="225"/>
        <v>18915.323425292969</v>
      </c>
      <c r="W66" s="18"/>
      <c r="X66" s="38">
        <f>+X59+X48</f>
        <v>18984.017562866211</v>
      </c>
      <c r="Y66" s="38">
        <f t="shared" ref="Y66:AA66" si="226">+Y59+Y48</f>
        <v>19052.788555145264</v>
      </c>
      <c r="Z66" s="38">
        <f t="shared" si="226"/>
        <v>19122.068945884705</v>
      </c>
      <c r="AA66" s="38">
        <f t="shared" si="226"/>
        <v>19191.549622297287</v>
      </c>
      <c r="AB66" s="18"/>
      <c r="AC66" s="38">
        <f>+AC59+AC48</f>
        <v>19316.549622297287</v>
      </c>
      <c r="AD66" s="38">
        <f t="shared" ref="AD66:AF66" si="227">+AD59+AD48</f>
        <v>19441.549622297287</v>
      </c>
      <c r="AE66" s="38">
        <f t="shared" si="227"/>
        <v>19566.549622297287</v>
      </c>
      <c r="AF66" s="38">
        <f t="shared" si="227"/>
        <v>19691.549622297287</v>
      </c>
      <c r="AG66" s="18"/>
      <c r="AH66" s="38">
        <f>+AH59+AH48</f>
        <v>19816.549622297287</v>
      </c>
      <c r="AI66" s="38">
        <f t="shared" ref="AI66:AK66" si="228">+AI59+AI48</f>
        <v>19941.549622297287</v>
      </c>
      <c r="AJ66" s="38">
        <f t="shared" si="228"/>
        <v>20066.549622297287</v>
      </c>
      <c r="AK66" s="38">
        <f t="shared" si="228"/>
        <v>20191.549622297287</v>
      </c>
      <c r="AL66" s="18"/>
    </row>
    <row r="67" spans="1:38" outlineLevel="1">
      <c r="A67" s="297"/>
      <c r="B67" s="51" t="s">
        <v>189</v>
      </c>
      <c r="C67" s="186"/>
      <c r="D67" s="299">
        <f t="shared" ref="D67:G67" si="229">+D60+D49</f>
        <v>193</v>
      </c>
      <c r="E67" s="299">
        <f>+E60+E49</f>
        <v>66</v>
      </c>
      <c r="F67" s="299">
        <f t="shared" si="229"/>
        <v>134</v>
      </c>
      <c r="G67" s="299">
        <f t="shared" si="229"/>
        <v>214</v>
      </c>
      <c r="H67" s="336">
        <f>+H60+H49</f>
        <v>607</v>
      </c>
      <c r="I67" s="299">
        <f>+I60+I49</f>
        <v>136</v>
      </c>
      <c r="J67" s="299">
        <f t="shared" ref="J67:L67" si="230">+J60+J49</f>
        <v>68</v>
      </c>
      <c r="K67" s="299">
        <f t="shared" si="230"/>
        <v>-36</v>
      </c>
      <c r="L67" s="38">
        <f t="shared" si="230"/>
        <v>132</v>
      </c>
      <c r="M67" s="418">
        <f>+M60+M49</f>
        <v>300</v>
      </c>
      <c r="N67" s="38">
        <f>+N60+N49</f>
        <v>75</v>
      </c>
      <c r="O67" s="38">
        <f t="shared" ref="O67:Q67" si="231">+O60+O49</f>
        <v>59.75</v>
      </c>
      <c r="P67" s="38">
        <f t="shared" si="231"/>
        <v>57.6875</v>
      </c>
      <c r="Q67" s="38">
        <f t="shared" si="231"/>
        <v>81.109375</v>
      </c>
      <c r="R67" s="56">
        <f>+R60+R49</f>
        <v>273.546875</v>
      </c>
      <c r="S67" s="38">
        <f>+S60+S49</f>
        <v>68.38671875</v>
      </c>
      <c r="T67" s="38">
        <f t="shared" ref="T67:V67" si="232">+T60+T49</f>
        <v>66.7333984375</v>
      </c>
      <c r="U67" s="38">
        <f t="shared" si="232"/>
        <v>68.479248046875</v>
      </c>
      <c r="V67" s="38">
        <f t="shared" si="232"/>
        <v>71.17718505859375</v>
      </c>
      <c r="W67" s="56">
        <f>+W60+W49</f>
        <v>274.77655029296875</v>
      </c>
      <c r="X67" s="38">
        <f>+X60+X49</f>
        <v>68.694137573242188</v>
      </c>
      <c r="Y67" s="38">
        <f t="shared" ref="Y67:AA67" si="233">+Y60+Y49</f>
        <v>68.770992279052734</v>
      </c>
      <c r="Z67" s="38">
        <f t="shared" si="233"/>
        <v>69.280390739440918</v>
      </c>
      <c r="AA67" s="38">
        <f t="shared" si="233"/>
        <v>69.480676412582397</v>
      </c>
      <c r="AB67" s="56">
        <f>+AB60+AB49</f>
        <v>276.22619700431824</v>
      </c>
      <c r="AC67" s="38">
        <f>+AC60+AC49</f>
        <v>125</v>
      </c>
      <c r="AD67" s="38">
        <f t="shared" ref="AD67:AF67" si="234">+AD60+AD49</f>
        <v>125</v>
      </c>
      <c r="AE67" s="38">
        <f t="shared" si="234"/>
        <v>125</v>
      </c>
      <c r="AF67" s="38">
        <f t="shared" si="234"/>
        <v>125</v>
      </c>
      <c r="AG67" s="56">
        <f>+AG60+AG49</f>
        <v>500</v>
      </c>
      <c r="AH67" s="38">
        <f>+AH60+AH49</f>
        <v>125</v>
      </c>
      <c r="AI67" s="38">
        <f t="shared" ref="AI67:AK67" si="235">+AI60+AI49</f>
        <v>125</v>
      </c>
      <c r="AJ67" s="38">
        <f t="shared" si="235"/>
        <v>125</v>
      </c>
      <c r="AK67" s="38">
        <f t="shared" si="235"/>
        <v>125</v>
      </c>
      <c r="AL67" s="56">
        <f>+AL60+AL49</f>
        <v>500</v>
      </c>
    </row>
    <row r="68" spans="1:38" outlineLevel="1">
      <c r="A68" s="297"/>
      <c r="B68" s="532" t="s">
        <v>187</v>
      </c>
      <c r="C68" s="533"/>
      <c r="D68" s="323">
        <f t="shared" ref="D68:G68" si="236">+D64+D63+D56</f>
        <v>4612.5</v>
      </c>
      <c r="E68" s="323">
        <f t="shared" si="236"/>
        <v>4314.1000000000004</v>
      </c>
      <c r="F68" s="323">
        <f t="shared" si="236"/>
        <v>4681.0999999999995</v>
      </c>
      <c r="G68" s="323">
        <f t="shared" si="236"/>
        <v>4651.3999999999996</v>
      </c>
      <c r="H68" s="382">
        <f>SUM(D68:G68)</f>
        <v>18259.099999999999</v>
      </c>
      <c r="I68" s="323">
        <f>+I64+I63+I56</f>
        <v>5010.8999999999996</v>
      </c>
      <c r="J68" s="323">
        <f t="shared" ref="J68:L68" si="237">+J64+J63+J56</f>
        <v>4330</v>
      </c>
      <c r="K68" s="323">
        <f t="shared" si="237"/>
        <v>2805.5</v>
      </c>
      <c r="L68" s="224">
        <f t="shared" si="237"/>
        <v>4222.9177396359382</v>
      </c>
      <c r="M68" s="269">
        <f>SUM(I68:L68)</f>
        <v>16369.317739635939</v>
      </c>
      <c r="N68" s="224">
        <f>+N64+N63+N56</f>
        <v>4426.9708533105841</v>
      </c>
      <c r="O68" s="224">
        <f t="shared" ref="O68:Q68" si="238">+O64+O63+O56</f>
        <v>3635.2731252218273</v>
      </c>
      <c r="P68" s="224">
        <f t="shared" si="238"/>
        <v>3778.5713699944827</v>
      </c>
      <c r="Q68" s="224">
        <f t="shared" si="238"/>
        <v>5248.4001186724718</v>
      </c>
      <c r="R68" s="269">
        <f>SUM(N68:Q68)</f>
        <v>17089.215467199367</v>
      </c>
      <c r="S68" s="224">
        <f>+S64+S63+S56</f>
        <v>5330.2869849954523</v>
      </c>
      <c r="T68" s="224">
        <f t="shared" ref="T68:V68" si="239">+T64+T63+T56</f>
        <v>3999.7005184685977</v>
      </c>
      <c r="U68" s="224">
        <f t="shared" si="239"/>
        <v>4107.3361549929168</v>
      </c>
      <c r="V68" s="224">
        <f t="shared" si="239"/>
        <v>5567.8183320102426</v>
      </c>
      <c r="W68" s="269">
        <f>SUM(S68:V68)</f>
        <v>19005.141990467211</v>
      </c>
      <c r="X68" s="224">
        <f>+X64+X63+X56</f>
        <v>5711.0605654289047</v>
      </c>
      <c r="Y68" s="224">
        <f t="shared" ref="Y68:AA68" si="240">+Y64+Y63+Y56</f>
        <v>4216.5241365654028</v>
      </c>
      <c r="Z68" s="224">
        <f t="shared" si="240"/>
        <v>4331.9108191401201</v>
      </c>
      <c r="AA68" s="224">
        <f t="shared" si="240"/>
        <v>5768.8297775699666</v>
      </c>
      <c r="AB68" s="269">
        <f>SUM(X68:AA68)</f>
        <v>20028.325298704396</v>
      </c>
      <c r="AC68" s="224">
        <f>+AC64+AC63+AC56</f>
        <v>6110.6558968170157</v>
      </c>
      <c r="AD68" s="224">
        <f t="shared" ref="AD68:AF68" si="241">+AD64+AD63+AD56</f>
        <v>4437.4347180417417</v>
      </c>
      <c r="AE68" s="224">
        <f t="shared" si="241"/>
        <v>4568.1658149255172</v>
      </c>
      <c r="AF68" s="224">
        <f t="shared" si="241"/>
        <v>6051.3955585180847</v>
      </c>
      <c r="AG68" s="269">
        <f>SUM(AC68:AF68)</f>
        <v>21167.651988302357</v>
      </c>
      <c r="AH68" s="224">
        <f>+AH64+AH63+AH56</f>
        <v>6531.6612175934997</v>
      </c>
      <c r="AI68" s="224">
        <f t="shared" ref="AI68:AK68" si="242">+AI64+AI63+AI56</f>
        <v>4701.9986788381693</v>
      </c>
      <c r="AJ68" s="224">
        <f t="shared" si="242"/>
        <v>4843.8225691638881</v>
      </c>
      <c r="AK68" s="224">
        <f t="shared" si="242"/>
        <v>6421.5906784564359</v>
      </c>
      <c r="AL68" s="269">
        <f>SUM(AH68:AK68)</f>
        <v>22499.073144051992</v>
      </c>
    </row>
    <row r="69" spans="1:38" outlineLevel="1">
      <c r="A69" s="297"/>
      <c r="B69" s="526" t="s">
        <v>300</v>
      </c>
      <c r="C69" s="527"/>
      <c r="D69" s="304">
        <v>1351.3</v>
      </c>
      <c r="E69" s="304">
        <v>1220.5</v>
      </c>
      <c r="F69" s="304">
        <v>1324</v>
      </c>
      <c r="G69" s="304">
        <v>1278.9000000000001</v>
      </c>
      <c r="H69" s="379"/>
      <c r="I69" s="304">
        <v>1388.4</v>
      </c>
      <c r="J69" s="304">
        <v>1248.2</v>
      </c>
      <c r="K69" s="304">
        <v>805.6</v>
      </c>
      <c r="L69" s="190">
        <f>+(L68*L79)*(K69/K78)</f>
        <v>946.52887485760607</v>
      </c>
      <c r="M69" s="237"/>
      <c r="N69" s="190">
        <f>+(N68*N79)*(L69/L78)</f>
        <v>955.13495162111406</v>
      </c>
      <c r="O69" s="190">
        <f>+(O68*O79)*(N69/N78)</f>
        <v>780.66239574680583</v>
      </c>
      <c r="P69" s="190">
        <f>+(P68*P79)*(O69/O78)</f>
        <v>781.98098077501288</v>
      </c>
      <c r="Q69" s="190">
        <f>+(Q68*Q79)*(P69/P78)</f>
        <v>1068.1563818052434</v>
      </c>
      <c r="R69" s="237"/>
      <c r="S69" s="190">
        <f>+(S68*S79)*(Q69/Q78)</f>
        <v>1088.06286120398</v>
      </c>
      <c r="T69" s="190">
        <f>+(T68*T79)*(S69/S78)</f>
        <v>827.1249782056517</v>
      </c>
      <c r="U69" s="190">
        <f>+(U68*U79)*(T69/T78)</f>
        <v>849.38367560142979</v>
      </c>
      <c r="V69" s="190">
        <f>+(V68*V79)*(U69/U78)</f>
        <v>1122.8572748345564</v>
      </c>
      <c r="W69" s="237"/>
      <c r="X69" s="190">
        <f>+(X68*X79)*(V69/V78)</f>
        <v>1165.7895563263178</v>
      </c>
      <c r="Y69" s="190">
        <f>+(Y68*Y79)*(X69/X78)</f>
        <v>871.96339287312207</v>
      </c>
      <c r="Z69" s="190">
        <f>+(Z68*Z79)*(Y69/Y78)</f>
        <v>895.82498122683648</v>
      </c>
      <c r="AA69" s="190">
        <f>+(AA68*AA79)*(Z69/Z78)</f>
        <v>1163.3950852501946</v>
      </c>
      <c r="AB69" s="237"/>
      <c r="AC69" s="190">
        <f>+(AC68*AC79)*(AA69/AA78)</f>
        <v>1247.3583050293057</v>
      </c>
      <c r="AD69" s="190">
        <f>+(AD68*AD79)*(AC69/AC78)</f>
        <v>917.64697819289859</v>
      </c>
      <c r="AE69" s="190">
        <f>+(AE68*AE79)*(AD69/AD78)</f>
        <v>944.6817412111543</v>
      </c>
      <c r="AF69" s="190">
        <f>+(AF68*AF79)*(AE69/AE78)</f>
        <v>1220.3798903996021</v>
      </c>
      <c r="AG69" s="237"/>
      <c r="AH69" s="190">
        <f>+(AH68*AH79)*(AF69/AF78)</f>
        <v>1333.2974402382799</v>
      </c>
      <c r="AI69" s="190">
        <f>+(AI68*AI79)*(AH69/AH78)</f>
        <v>972.35793950045445</v>
      </c>
      <c r="AJ69" s="190">
        <f>+(AJ68*AJ79)*(AI69/AI78)</f>
        <v>1001.686655901355</v>
      </c>
      <c r="AK69" s="190">
        <f>+(AK68*AK79)*(AJ69/AJ78)</f>
        <v>1295.0368311875659</v>
      </c>
      <c r="AL69" s="237"/>
    </row>
    <row r="70" spans="1:38" outlineLevel="1">
      <c r="A70" s="297"/>
      <c r="B70" s="51" t="s">
        <v>158</v>
      </c>
      <c r="C70" s="40"/>
      <c r="D70" s="190">
        <v>1983.1</v>
      </c>
      <c r="E70" s="190">
        <v>1935.7</v>
      </c>
      <c r="F70" s="190">
        <v>2034</v>
      </c>
      <c r="G70" s="190">
        <v>2112.1</v>
      </c>
      <c r="H70" s="191"/>
      <c r="I70" s="190">
        <v>2214.4</v>
      </c>
      <c r="J70" s="190">
        <v>2158.6</v>
      </c>
      <c r="K70" s="190">
        <v>2054.4</v>
      </c>
      <c r="L70" s="190">
        <f>+(L68*L79)*(68.0467689046405%-1.63083106791312%)</f>
        <v>2355.9399535162993</v>
      </c>
      <c r="M70" s="470"/>
      <c r="N70" s="190">
        <f>+(N68*N79)*(66.4159378367274%+1.86148189857905%)</f>
        <v>2443.9925552632453</v>
      </c>
      <c r="O70" s="190">
        <f>+(O68*O79)*(N70/N78)</f>
        <v>1997.5534139347542</v>
      </c>
      <c r="P70" s="190">
        <f>+(P68*P79)*(O70/O78)</f>
        <v>2000.9273999740567</v>
      </c>
      <c r="Q70" s="190">
        <f>+(Q68*Q79)*(P70/P78)</f>
        <v>2733.1909910302466</v>
      </c>
      <c r="R70" s="191"/>
      <c r="S70" s="190">
        <f>+(S68*S79)*(Q70/Q78)</f>
        <v>2784.1275496489416</v>
      </c>
      <c r="T70" s="190">
        <f>+(T68*T79)*(S70/S78)</f>
        <v>2116.4415411412738</v>
      </c>
      <c r="U70" s="190">
        <f>+(U68*U79)*(T70/T78)</f>
        <v>2173.3969385254945</v>
      </c>
      <c r="V70" s="190">
        <f>+(V68*V79)*(U70/U78)</f>
        <v>2873.1592490266557</v>
      </c>
      <c r="W70" s="191"/>
      <c r="X70" s="190">
        <f>+(X68*X79)*(V70/V78)</f>
        <v>2983.0140671005242</v>
      </c>
      <c r="Y70" s="190">
        <f>+(Y68*Y79)*(X70/X78)</f>
        <v>2231.1737592965301</v>
      </c>
      <c r="Z70" s="190">
        <f>+(Z68*Z79)*(Y70/Y78)</f>
        <v>2292.2306227211739</v>
      </c>
      <c r="AA70" s="190">
        <f>+(AA68*AA79)*(Z70/Z78)</f>
        <v>2976.8871114552453</v>
      </c>
      <c r="AB70" s="191"/>
      <c r="AC70" s="190">
        <f>+(AC68*AC79)*(AA70/AA78)</f>
        <v>3191.7316040662545</v>
      </c>
      <c r="AD70" s="190">
        <f>+(AD68*AD79)*(AC70/AC78)</f>
        <v>2348.0685941361171</v>
      </c>
      <c r="AE70" s="190">
        <f>+(AE68*AE79)*(AD70/AD78)</f>
        <v>2417.2449544376436</v>
      </c>
      <c r="AF70" s="190">
        <f>+(AF68*AF79)*(AE70/AE78)</f>
        <v>3122.6994276226101</v>
      </c>
      <c r="AG70" s="191"/>
      <c r="AH70" s="190">
        <f>+(AH68*AH79)*(AF70/AF78)</f>
        <v>3411.6320550967721</v>
      </c>
      <c r="AI70" s="190">
        <f>+(AI68*AI79)*(AH70/AH78)</f>
        <v>2488.0626147716471</v>
      </c>
      <c r="AJ70" s="190">
        <f>+(AJ68*AJ79)*(AI70/AI78)</f>
        <v>2563.1087267556863</v>
      </c>
      <c r="AK70" s="190">
        <f>+(AK68*AK79)*(AJ70/AJ78)</f>
        <v>3313.7310794062964</v>
      </c>
      <c r="AL70" s="191"/>
    </row>
    <row r="71" spans="1:38" outlineLevel="1">
      <c r="A71" s="297"/>
      <c r="B71" s="51" t="s">
        <v>159</v>
      </c>
      <c r="C71" s="40"/>
      <c r="D71" s="190">
        <v>44.5</v>
      </c>
      <c r="E71" s="190">
        <v>39.4</v>
      </c>
      <c r="F71" s="190">
        <v>41.7</v>
      </c>
      <c r="G71" s="190">
        <v>34.200000000000003</v>
      </c>
      <c r="H71" s="191"/>
      <c r="I71" s="190">
        <v>42.5</v>
      </c>
      <c r="J71" s="190">
        <v>41.8</v>
      </c>
      <c r="K71" s="190">
        <v>40.700000000000003</v>
      </c>
      <c r="L71" s="190">
        <f>+(L68*L79)*(K71/K78)</f>
        <v>47.819917088759389</v>
      </c>
      <c r="M71" s="191"/>
      <c r="N71" s="190">
        <f>+(N68*N79)*(L71/L78)</f>
        <v>48.254707709755877</v>
      </c>
      <c r="O71" s="190">
        <f>+(O68*O79)*(N71/N78)</f>
        <v>39.440118553742536</v>
      </c>
      <c r="P71" s="190">
        <f>+(P68*P79)*(O71/O78)</f>
        <v>39.50673525017752</v>
      </c>
      <c r="Q71" s="190">
        <f>+(Q68*Q79)*(P71/P78)</f>
        <v>53.964703003318512</v>
      </c>
      <c r="R71" s="191"/>
      <c r="S71" s="190">
        <f>+(S68*S79)*(Q71/Q78)</f>
        <v>54.970405227162324</v>
      </c>
      <c r="T71" s="190">
        <f>+(T68*T79)*(S71/S78)</f>
        <v>41.787470969426536</v>
      </c>
      <c r="U71" s="190">
        <f>+(U68*U79)*(T71/T78)</f>
        <v>42.912010423259915</v>
      </c>
      <c r="V71" s="190">
        <f>+(V68*V79)*(U71/U78)</f>
        <v>56.728265995241358</v>
      </c>
      <c r="W71" s="191"/>
      <c r="X71" s="190">
        <f>+(X68*X79)*(V71/V78)</f>
        <v>58.897262838233772</v>
      </c>
      <c r="Y71" s="190">
        <f>+(Y68*Y79)*(X71/X78)</f>
        <v>44.052768234776643</v>
      </c>
      <c r="Z71" s="190">
        <f>+(Z68*Z79)*(Y71/Y78)</f>
        <v>45.25828790458322</v>
      </c>
      <c r="AA71" s="190">
        <f>+(AA68*AA79)*(Z71/Z78)</f>
        <v>58.776290925624281</v>
      </c>
      <c r="AB71" s="191"/>
      <c r="AC71" s="190">
        <f>+(AC68*AC79)*(AA71/AA78)</f>
        <v>63.018226185070439</v>
      </c>
      <c r="AD71" s="190">
        <f>+(AD68*AD79)*(AC71/AC78)</f>
        <v>46.360764662923259</v>
      </c>
      <c r="AE71" s="190">
        <f>+(AE68*AE79)*(AD71/AD78)</f>
        <v>47.726597402301373</v>
      </c>
      <c r="AF71" s="190">
        <f>+(AF68*AF79)*(AE71/AE78)</f>
        <v>61.65524024238308</v>
      </c>
      <c r="AG71" s="191"/>
      <c r="AH71" s="190">
        <f>+(AH68*AH79)*(AF71/AF78)</f>
        <v>67.359987360598311</v>
      </c>
      <c r="AI71" s="190">
        <f>+(AI68*AI79)*(AH71/AH78)</f>
        <v>49.124836317860598</v>
      </c>
      <c r="AJ71" s="190">
        <f>+(AJ68*AJ79)*(AI71/AI78)</f>
        <v>50.606562680219895</v>
      </c>
      <c r="AK71" s="190">
        <f>+(AK68*AK79)*(AJ71/AJ78)</f>
        <v>65.427009718636953</v>
      </c>
      <c r="AL71" s="191"/>
    </row>
    <row r="72" spans="1:38" outlineLevel="1">
      <c r="A72" s="297"/>
      <c r="B72" s="51" t="s">
        <v>160</v>
      </c>
      <c r="C72" s="40"/>
      <c r="D72" s="227">
        <v>166.9</v>
      </c>
      <c r="E72" s="227">
        <v>173</v>
      </c>
      <c r="F72" s="227">
        <v>175.6</v>
      </c>
      <c r="G72" s="227">
        <v>180.6</v>
      </c>
      <c r="H72" s="18"/>
      <c r="I72" s="227">
        <v>189.2</v>
      </c>
      <c r="J72" s="227">
        <v>191.5</v>
      </c>
      <c r="K72" s="227">
        <v>191.3</v>
      </c>
      <c r="L72" s="227">
        <f>(K72/(K72+K105+K119+K133))*L242</f>
        <v>195.27184941100538</v>
      </c>
      <c r="M72" s="471"/>
      <c r="N72" s="227">
        <f>(L72/(L72+L105+L119+L133))*N242</f>
        <v>195.58963872826988</v>
      </c>
      <c r="O72" s="227">
        <f>(N72/(N72+N105+N119+N133))*O242</f>
        <v>197.45663294304023</v>
      </c>
      <c r="P72" s="227">
        <f>(O72/(O72+O105+O119+O133))*P242</f>
        <v>196.26211297037852</v>
      </c>
      <c r="Q72" s="227">
        <f>(P72/(P72+P105+P119+P133))*Q242</f>
        <v>195.43063067890748</v>
      </c>
      <c r="R72" s="18"/>
      <c r="S72" s="227">
        <f>(Q72/(Q72+Q105+Q119+Q133))*S242</f>
        <v>198.62615693145156</v>
      </c>
      <c r="T72" s="227">
        <f>(S72/(S72+S105+S119+S133))*T242</f>
        <v>201.44253895025381</v>
      </c>
      <c r="U72" s="227">
        <f>(T72/(T72+T105+T119+T133))*U242</f>
        <v>200.5899452352094</v>
      </c>
      <c r="V72" s="227">
        <f>(U72/(U72+U105+U119+U133))*V242</f>
        <v>200.23459489484037</v>
      </c>
      <c r="W72" s="18"/>
      <c r="X72" s="227">
        <f>(V72/(V72+V105+V119+V133))*X242</f>
        <v>203.37544515928241</v>
      </c>
      <c r="Y72" s="227">
        <f>(X72/(X72+X105+X119+X133))*Y242</f>
        <v>204.24063729186327</v>
      </c>
      <c r="Z72" s="227">
        <f>(Y72/(Y72+Y105+Y119+Y133))*Z242</f>
        <v>201.95040863952309</v>
      </c>
      <c r="AA72" s="227">
        <f>(Z72/(Z72+Z105+Z119+Z133))*AA242</f>
        <v>200.19477803540306</v>
      </c>
      <c r="AB72" s="18"/>
      <c r="AC72" s="227">
        <f>(AA72/(AA72+AA105+AA119+AA133))*AC242</f>
        <v>201.36179358559284</v>
      </c>
      <c r="AD72" s="227">
        <f>(AC72/(AC72+AC105+AC119+AC133))*AD242</f>
        <v>203.23333888337658</v>
      </c>
      <c r="AE72" s="227">
        <f>(AD72/(AD72+AD105+AD119+AD133))*AE242</f>
        <v>201.5724304859192</v>
      </c>
      <c r="AF72" s="227">
        <f>(AE72/(AE72+AE105+AE119+AE133))*AF242</f>
        <v>200.44274049238578</v>
      </c>
      <c r="AG72" s="18"/>
      <c r="AH72" s="227">
        <f>(AF72/(AF72+AF105+AF119+AF133))*AH242</f>
        <v>202.3066597539335</v>
      </c>
      <c r="AI72" s="227">
        <f>(AH72/(AH72+AH105+AH119+AH133))*AI242</f>
        <v>205.08185996515928</v>
      </c>
      <c r="AJ72" s="227">
        <f>(AI72/(AI72+AI105+AI119+AI133))*AJ242</f>
        <v>203.96302026539666</v>
      </c>
      <c r="AK72" s="227">
        <f>(AJ72/(AJ72+AJ105+AJ119+AJ133))*AK242</f>
        <v>203.38717636489429</v>
      </c>
      <c r="AL72" s="18"/>
    </row>
    <row r="73" spans="1:38" outlineLevel="1">
      <c r="A73" s="297"/>
      <c r="B73" s="51" t="s">
        <v>161</v>
      </c>
      <c r="C73" s="40"/>
      <c r="D73" s="190">
        <v>75.099999999999994</v>
      </c>
      <c r="E73" s="190">
        <v>70.900000000000006</v>
      </c>
      <c r="F73" s="190">
        <v>72</v>
      </c>
      <c r="G73" s="190">
        <v>106</v>
      </c>
      <c r="H73" s="191"/>
      <c r="I73" s="190">
        <v>72.400000000000006</v>
      </c>
      <c r="J73" s="190">
        <v>68.2</v>
      </c>
      <c r="K73" s="190">
        <v>62.2</v>
      </c>
      <c r="L73" s="190">
        <f>+(L68*L79)*(K73/K78)</f>
        <v>73.08105265161754</v>
      </c>
      <c r="M73" s="470"/>
      <c r="N73" s="190">
        <f>+(N68*N79)*(L73/L78)</f>
        <v>73.745523821789078</v>
      </c>
      <c r="O73" s="190">
        <f>+(O68*O79)*(N73/N78)</f>
        <v>60.274579214810466</v>
      </c>
      <c r="P73" s="190">
        <f t="shared" ref="P73:Q73" si="243">+(P68*P79)*(O73/O78)</f>
        <v>60.376386549411357</v>
      </c>
      <c r="Q73" s="190">
        <f t="shared" si="243"/>
        <v>82.471855695489239</v>
      </c>
      <c r="R73" s="191"/>
      <c r="S73" s="190">
        <f>+(S68*S79)*(Q73/Q78)</f>
        <v>84.00882567885742</v>
      </c>
      <c r="T73" s="190">
        <f>+(T68*T79)*(S73/S78)</f>
        <v>63.861933520843507</v>
      </c>
      <c r="U73" s="190">
        <f t="shared" ref="U73:V73" si="244">+(U68*U79)*(T73/T78)</f>
        <v>65.580517157905817</v>
      </c>
      <c r="V73" s="190">
        <f t="shared" si="244"/>
        <v>86.695286115577687</v>
      </c>
      <c r="W73" s="191"/>
      <c r="X73" s="190">
        <f>+(X68*X79)*(V73/V78)</f>
        <v>90.010067531649639</v>
      </c>
      <c r="Y73" s="190">
        <f>+(Y68*Y79)*(X73/X78)</f>
        <v>67.323886589756938</v>
      </c>
      <c r="Z73" s="190">
        <f t="shared" ref="Z73:AA73" si="245">+(Z68*Z79)*(Y73/Y78)</f>
        <v>69.166228689559617</v>
      </c>
      <c r="AA73" s="190">
        <f t="shared" si="245"/>
        <v>89.825191537440546</v>
      </c>
      <c r="AB73" s="191"/>
      <c r="AC73" s="190">
        <f>+(AC68*AC79)*(AA73/AA78)</f>
        <v>96.307952548191182</v>
      </c>
      <c r="AD73" s="190">
        <f>+(AD68*AD79)*(AC73/AC78)</f>
        <v>70.851094890266012</v>
      </c>
      <c r="AE73" s="190">
        <f t="shared" ref="AE73" si="246">+(AE68*AE79)*(AD73/AD78)</f>
        <v>72.938436324893004</v>
      </c>
      <c r="AF73" s="190">
        <f t="shared" ref="AF73" si="247">+(AF68*AF79)*(AE73/AE78)</f>
        <v>94.224961746344661</v>
      </c>
      <c r="AG73" s="191"/>
      <c r="AH73" s="190">
        <f>+(AH68*AH79)*(AF73/AF78)</f>
        <v>102.94327306705688</v>
      </c>
      <c r="AI73" s="190">
        <f>+(AI68*AI79)*(AH73/AH78)</f>
        <v>75.075302677418406</v>
      </c>
      <c r="AJ73" s="190">
        <f t="shared" ref="AJ73" si="248">+(AJ68*AJ79)*(AI73/AI78)</f>
        <v>77.339759182055957</v>
      </c>
      <c r="AK73" s="190">
        <f t="shared" ref="AK73" si="249">+(AK68*AK79)*(AJ73/AJ78)</f>
        <v>99.989189299735088</v>
      </c>
      <c r="AL73" s="191"/>
    </row>
    <row r="74" spans="1:38" ht="17.25" outlineLevel="1">
      <c r="A74" s="297"/>
      <c r="B74" s="51" t="s">
        <v>169</v>
      </c>
      <c r="C74" s="40"/>
      <c r="D74" s="333">
        <v>22.9</v>
      </c>
      <c r="E74" s="333">
        <v>18.2</v>
      </c>
      <c r="F74" s="333">
        <v>15.1</v>
      </c>
      <c r="G74" s="333">
        <v>0.7</v>
      </c>
      <c r="H74" s="381"/>
      <c r="I74" s="333">
        <v>5.2</v>
      </c>
      <c r="J74" s="333">
        <v>0.5</v>
      </c>
      <c r="K74" s="333">
        <v>56.2</v>
      </c>
      <c r="L74" s="228">
        <f>+(L68*L79)*3.49231296649216%</f>
        <v>123.88110317990693</v>
      </c>
      <c r="M74" s="469"/>
      <c r="N74" s="228">
        <f>+(N68*N79)*(3.49231296649216%-1.86148189857905%)</f>
        <v>58.375653390583714</v>
      </c>
      <c r="O74" s="228">
        <f>+(O68*O79)*(N74/N78)</f>
        <v>47.712291704780732</v>
      </c>
      <c r="P74" s="228">
        <f t="shared" ref="P74" si="250">+(P68*P79)*(O74/O78)</f>
        <v>47.792880591662097</v>
      </c>
      <c r="Q74" s="228">
        <f>+(Q68*Q79)*(P74/P78)</f>
        <v>65.283263485826026</v>
      </c>
      <c r="R74" s="238"/>
      <c r="S74" s="228">
        <f>+(S68*S79)*(Q74/Q78)</f>
        <v>66.499901762579626</v>
      </c>
      <c r="T74" s="228">
        <f>+(T68*T79)*(S74/S78)</f>
        <v>50.55197797596739</v>
      </c>
      <c r="U74" s="228">
        <f t="shared" ref="U74" si="251">+(U68*U79)*(T74/T78)</f>
        <v>51.912378411420484</v>
      </c>
      <c r="V74" s="228">
        <f>+(V68*V79)*(U74/U78)</f>
        <v>68.626456367852683</v>
      </c>
      <c r="W74" s="238"/>
      <c r="X74" s="228">
        <f>+(X68*X79)*(V74/V78)</f>
        <v>71.250378756386752</v>
      </c>
      <c r="Y74" s="228">
        <f>+(Y68*Y79)*(X74/X78)</f>
        <v>53.292398844001788</v>
      </c>
      <c r="Z74" s="228">
        <f t="shared" ref="Z74" si="252">+(Z68*Z79)*(Y74/Y78)</f>
        <v>54.750764291440447</v>
      </c>
      <c r="AA74" s="228">
        <f>+(AA68*AA79)*(Z74/Z78)</f>
        <v>71.10403418658926</v>
      </c>
      <c r="AB74" s="238"/>
      <c r="AC74" s="228">
        <f>+(AC68*AC79)*(AA74/AA78)</f>
        <v>76.235673236195623</v>
      </c>
      <c r="AD74" s="228">
        <f>+(AD68*AD79)*(AC74/AC78)</f>
        <v>56.084474600145114</v>
      </c>
      <c r="AE74" s="228">
        <f t="shared" ref="AE74" si="253">+(AE68*AE79)*(AD74/AD78)</f>
        <v>57.736777191283359</v>
      </c>
      <c r="AF74" s="228">
        <f>+(AF68*AF79)*(AE74/AE78)</f>
        <v>74.586814529079902</v>
      </c>
      <c r="AG74" s="238"/>
      <c r="AH74" s="228">
        <f>+(AH68*AH79)*(AF74/AF78)</f>
        <v>81.488075696320081</v>
      </c>
      <c r="AI74" s="228">
        <f>+(AI68*AI79)*(AH74/AH78)</f>
        <v>59.42828283220156</v>
      </c>
      <c r="AJ74" s="228">
        <f t="shared" ref="AJ74" si="254">+(AJ68*AJ79)*(AI74/AI78)</f>
        <v>61.22078658269654</v>
      </c>
      <c r="AK74" s="228">
        <f>+(AK68*AK79)*(AJ74/AJ78)</f>
        <v>79.149675192112454</v>
      </c>
      <c r="AL74" s="238"/>
    </row>
    <row r="75" spans="1:38" outlineLevel="1">
      <c r="A75" s="297"/>
      <c r="B75" s="188" t="s">
        <v>258</v>
      </c>
      <c r="C75" s="43"/>
      <c r="D75" s="302">
        <f t="shared" ref="D75" si="255">SUM(D69:D74)</f>
        <v>3643.7999999999997</v>
      </c>
      <c r="E75" s="302">
        <f t="shared" ref="E75" si="256">SUM(E69:E74)</f>
        <v>3457.7</v>
      </c>
      <c r="F75" s="302">
        <f t="shared" ref="F75" si="257">SUM(F69:F74)</f>
        <v>3662.3999999999996</v>
      </c>
      <c r="G75" s="302">
        <f t="shared" ref="G75" si="258">SUM(G69:G74)</f>
        <v>3712.4999999999995</v>
      </c>
      <c r="H75" s="380"/>
      <c r="I75" s="302">
        <f t="shared" ref="I75" si="259">SUM(I69:I74)</f>
        <v>3912.1</v>
      </c>
      <c r="J75" s="302">
        <f t="shared" ref="J75" si="260">SUM(J69:J74)</f>
        <v>3708.8</v>
      </c>
      <c r="K75" s="302">
        <f t="shared" ref="K75" si="261">SUM(K69:K74)</f>
        <v>3210.3999999999996</v>
      </c>
      <c r="L75" s="192">
        <f t="shared" ref="L75" si="262">SUM(L69:L74)</f>
        <v>3742.5227507051941</v>
      </c>
      <c r="M75" s="18"/>
      <c r="N75" s="192">
        <f t="shared" ref="N75" si="263">SUM(N69:N74)</f>
        <v>3775.0930305347583</v>
      </c>
      <c r="O75" s="192">
        <f t="shared" ref="O75" si="264">SUM(O69:O74)</f>
        <v>3123.0994320979344</v>
      </c>
      <c r="P75" s="192">
        <f t="shared" ref="P75" si="265">SUM(P69:P74)</f>
        <v>3126.8464961106993</v>
      </c>
      <c r="Q75" s="192">
        <f t="shared" ref="Q75" si="266">SUM(Q69:Q74)</f>
        <v>4198.4978256990316</v>
      </c>
      <c r="R75" s="18"/>
      <c r="S75" s="192">
        <f t="shared" ref="S75" si="267">SUM(S69:S74)</f>
        <v>4276.2957004529726</v>
      </c>
      <c r="T75" s="192">
        <f t="shared" ref="T75" si="268">SUM(T69:T74)</f>
        <v>3301.210440763417</v>
      </c>
      <c r="U75" s="192">
        <f t="shared" ref="U75" si="269">SUM(U69:U74)</f>
        <v>3383.7754653547199</v>
      </c>
      <c r="V75" s="192">
        <f t="shared" ref="V75" si="270">SUM(V69:V74)</f>
        <v>4408.3011272347239</v>
      </c>
      <c r="W75" s="18"/>
      <c r="X75" s="192">
        <f t="shared" ref="X75" si="271">SUM(X69:X74)</f>
        <v>4572.336777712394</v>
      </c>
      <c r="Y75" s="192">
        <f t="shared" ref="Y75" si="272">SUM(Y69:Y74)</f>
        <v>3472.0468431300501</v>
      </c>
      <c r="Z75" s="192">
        <f t="shared" ref="Z75" si="273">SUM(Z69:Z74)</f>
        <v>3559.181293473117</v>
      </c>
      <c r="AA75" s="192">
        <f t="shared" ref="AA75" si="274">SUM(AA69:AA74)</f>
        <v>4560.1824913904966</v>
      </c>
      <c r="AB75" s="18"/>
      <c r="AC75" s="192">
        <f t="shared" ref="AC75:AF75" si="275">SUM(AC69:AC74)</f>
        <v>4876.0135546506099</v>
      </c>
      <c r="AD75" s="192">
        <f t="shared" si="275"/>
        <v>3642.245245365727</v>
      </c>
      <c r="AE75" s="192">
        <f t="shared" si="275"/>
        <v>3741.9009370531944</v>
      </c>
      <c r="AF75" s="192">
        <f t="shared" si="275"/>
        <v>4773.9890750324048</v>
      </c>
      <c r="AG75" s="18"/>
      <c r="AH75" s="192">
        <f t="shared" ref="AH75:AK75" si="276">SUM(AH69:AH74)</f>
        <v>5199.0274912129607</v>
      </c>
      <c r="AI75" s="192">
        <f t="shared" si="276"/>
        <v>3849.1308360647413</v>
      </c>
      <c r="AJ75" s="192">
        <f t="shared" si="276"/>
        <v>3957.9255113674103</v>
      </c>
      <c r="AK75" s="192">
        <f t="shared" si="276"/>
        <v>5056.7209611692406</v>
      </c>
      <c r="AL75" s="18"/>
    </row>
    <row r="76" spans="1:38" outlineLevel="1">
      <c r="A76" s="297"/>
      <c r="B76" s="188" t="s">
        <v>259</v>
      </c>
      <c r="C76" s="163"/>
      <c r="D76" s="445">
        <f t="shared" ref="D76" si="277">+D68-D75</f>
        <v>968.70000000000027</v>
      </c>
      <c r="E76" s="445">
        <f t="shared" ref="E76" si="278">+E68-E75</f>
        <v>856.40000000000055</v>
      </c>
      <c r="F76" s="445">
        <f t="shared" ref="F76" si="279">+F68-F75</f>
        <v>1018.6999999999998</v>
      </c>
      <c r="G76" s="445">
        <f t="shared" ref="G76" si="280">+G68-G75</f>
        <v>938.90000000000009</v>
      </c>
      <c r="H76" s="382">
        <f>SUM(D76:G76)</f>
        <v>3782.7000000000007</v>
      </c>
      <c r="I76" s="445">
        <f t="shared" ref="I76" si="281">+I68-I75</f>
        <v>1098.7999999999997</v>
      </c>
      <c r="J76" s="445">
        <f t="shared" ref="J76" si="282">+J68-J75</f>
        <v>621.19999999999982</v>
      </c>
      <c r="K76" s="445">
        <f t="shared" ref="K76" si="283">+K68-K75</f>
        <v>-404.89999999999964</v>
      </c>
      <c r="L76" s="229">
        <f t="shared" ref="L76" si="284">+L68-L75</f>
        <v>480.39498893074415</v>
      </c>
      <c r="M76" s="269">
        <f>SUM(I76:L76)</f>
        <v>1795.4949889307441</v>
      </c>
      <c r="N76" s="229">
        <f t="shared" ref="N76" si="285">+N68-N75</f>
        <v>651.87782277582573</v>
      </c>
      <c r="O76" s="229">
        <f t="shared" ref="O76" si="286">+O68-O75</f>
        <v>512.17369312389292</v>
      </c>
      <c r="P76" s="229">
        <f t="shared" ref="P76" si="287">+P68-P75</f>
        <v>651.7248738837834</v>
      </c>
      <c r="Q76" s="229">
        <f t="shared" ref="Q76" si="288">+Q68-Q75</f>
        <v>1049.9022929734401</v>
      </c>
      <c r="R76" s="269">
        <f>SUM(N76:Q76)</f>
        <v>2865.6786827569422</v>
      </c>
      <c r="S76" s="229">
        <f t="shared" ref="S76" si="289">+S68-S75</f>
        <v>1053.9912845424797</v>
      </c>
      <c r="T76" s="229">
        <f t="shared" ref="T76" si="290">+T68-T75</f>
        <v>698.49007770518074</v>
      </c>
      <c r="U76" s="229">
        <f t="shared" ref="U76" si="291">+U68-U75</f>
        <v>723.56068963819689</v>
      </c>
      <c r="V76" s="229">
        <f t="shared" ref="V76" si="292">+V68-V75</f>
        <v>1159.5172047755186</v>
      </c>
      <c r="W76" s="269">
        <f>SUM(S76:V76)</f>
        <v>3635.5592566613759</v>
      </c>
      <c r="X76" s="229">
        <f t="shared" ref="X76" si="293">+X68-X75</f>
        <v>1138.7237877165107</v>
      </c>
      <c r="Y76" s="229">
        <f t="shared" ref="Y76" si="294">+Y68-Y75</f>
        <v>744.47729343535275</v>
      </c>
      <c r="Z76" s="229">
        <f t="shared" ref="Z76" si="295">+Z68-Z75</f>
        <v>772.72952566700314</v>
      </c>
      <c r="AA76" s="229">
        <f t="shared" ref="AA76" si="296">+AA68-AA75</f>
        <v>1208.64728617947</v>
      </c>
      <c r="AB76" s="269">
        <f>SUM(X76:AA76)</f>
        <v>3864.5778929983367</v>
      </c>
      <c r="AC76" s="229">
        <f t="shared" ref="AC76:AF76" si="297">+AC68-AC75</f>
        <v>1234.6423421664058</v>
      </c>
      <c r="AD76" s="229">
        <f t="shared" si="297"/>
        <v>795.1894726760147</v>
      </c>
      <c r="AE76" s="229">
        <f t="shared" si="297"/>
        <v>826.26487787232281</v>
      </c>
      <c r="AF76" s="229">
        <f t="shared" si="297"/>
        <v>1277.4064834856799</v>
      </c>
      <c r="AG76" s="269">
        <f>SUM(AC76:AF76)</f>
        <v>4133.5031762004237</v>
      </c>
      <c r="AH76" s="229">
        <f t="shared" ref="AH76:AK76" si="298">+AH68-AH75</f>
        <v>1332.633726380539</v>
      </c>
      <c r="AI76" s="229">
        <f t="shared" si="298"/>
        <v>852.86784277342804</v>
      </c>
      <c r="AJ76" s="229">
        <f t="shared" si="298"/>
        <v>885.89705779647784</v>
      </c>
      <c r="AK76" s="229">
        <f t="shared" si="298"/>
        <v>1364.8697172871953</v>
      </c>
      <c r="AL76" s="269">
        <f>SUM(AH76:AK76)</f>
        <v>4436.2683442376401</v>
      </c>
    </row>
    <row r="77" spans="1:38" outlineLevel="1">
      <c r="A77" s="297"/>
      <c r="B77" s="188" t="s">
        <v>260</v>
      </c>
      <c r="C77" s="163"/>
      <c r="D77" s="446">
        <f t="shared" ref="D77" si="299">+D76/D68</f>
        <v>0.21001626016260169</v>
      </c>
      <c r="E77" s="446">
        <f t="shared" ref="E77" si="300">+E76/E68</f>
        <v>0.19851185647064287</v>
      </c>
      <c r="F77" s="446">
        <f t="shared" ref="F77" si="301">+F76/F68</f>
        <v>0.21761979022024736</v>
      </c>
      <c r="G77" s="446">
        <f t="shared" ref="G77" si="302">+G76/G68</f>
        <v>0.20185320548652022</v>
      </c>
      <c r="H77" s="383">
        <f>H76/H68</f>
        <v>0.20716793270205</v>
      </c>
      <c r="I77" s="446">
        <f t="shared" ref="I77" si="303">+I76/I68</f>
        <v>0.21928196531561192</v>
      </c>
      <c r="J77" s="446">
        <f t="shared" ref="J77" si="304">+J76/J68</f>
        <v>0.14346420323325632</v>
      </c>
      <c r="K77" s="446">
        <f t="shared" ref="K77" si="305">+K76/K68</f>
        <v>-0.14432364997326666</v>
      </c>
      <c r="L77" s="230">
        <f t="shared" ref="L77" si="306">+L76/L68</f>
        <v>0.11375902126195796</v>
      </c>
      <c r="M77" s="270">
        <f>M76/M68</f>
        <v>0.10968661110311349</v>
      </c>
      <c r="N77" s="230">
        <f t="shared" ref="N77" si="307">+N76/N68</f>
        <v>0.14725143769318866</v>
      </c>
      <c r="O77" s="230">
        <f t="shared" ref="O77" si="308">+O76/O68</f>
        <v>0.140890017195789</v>
      </c>
      <c r="P77" s="230">
        <f t="shared" ref="P77" si="309">+P76/P68</f>
        <v>0.17247917534629895</v>
      </c>
      <c r="Q77" s="230">
        <f t="shared" ref="Q77" si="310">+Q76/Q68</f>
        <v>0.20004234990357442</v>
      </c>
      <c r="R77" s="270">
        <f>R76/R68</f>
        <v>0.16768930605721824</v>
      </c>
      <c r="S77" s="230">
        <f t="shared" ref="S77" si="311">+S76/S68</f>
        <v>0.19773631091710889</v>
      </c>
      <c r="T77" s="230">
        <f t="shared" ref="T77" si="312">+T76/T68</f>
        <v>0.17463559446011176</v>
      </c>
      <c r="U77" s="230">
        <f t="shared" ref="U77" si="313">+U76/U68</f>
        <v>0.17616300744185004</v>
      </c>
      <c r="V77" s="230">
        <f t="shared" ref="V77" si="314">+V76/V68</f>
        <v>0.20825341913712883</v>
      </c>
      <c r="W77" s="270">
        <f>W76/W68</f>
        <v>0.1912934540812658</v>
      </c>
      <c r="X77" s="230">
        <f t="shared" ref="X77" si="315">+X76/X68</f>
        <v>0.19938919832327007</v>
      </c>
      <c r="Y77" s="230">
        <f t="shared" ref="Y77" si="316">+Y76/Y68</f>
        <v>0.17656184793994126</v>
      </c>
      <c r="Z77" s="230">
        <f t="shared" ref="Z77" si="317">+Z76/Z68</f>
        <v>0.17838075572857456</v>
      </c>
      <c r="AA77" s="230">
        <f t="shared" ref="AA77" si="318">+AA76/AA68</f>
        <v>0.20951342521473995</v>
      </c>
      <c r="AB77" s="270">
        <f>AB76/AB68</f>
        <v>0.19295561837356071</v>
      </c>
      <c r="AC77" s="230">
        <f t="shared" ref="AC77:AF77" si="319">+AC76/AC68</f>
        <v>0.20204743369848718</v>
      </c>
      <c r="AD77" s="230">
        <f t="shared" si="319"/>
        <v>0.17920026393693858</v>
      </c>
      <c r="AE77" s="230">
        <f t="shared" si="319"/>
        <v>0.18087453725359023</v>
      </c>
      <c r="AF77" s="230">
        <f t="shared" si="319"/>
        <v>0.21109287454983386</v>
      </c>
      <c r="AG77" s="270">
        <f>AG76/AG68</f>
        <v>0.1952745244718061</v>
      </c>
      <c r="AH77" s="230">
        <f t="shared" ref="AH77:AK77" si="320">+AH76/AH68</f>
        <v>0.20402676776789863</v>
      </c>
      <c r="AI77" s="230">
        <f t="shared" si="320"/>
        <v>0.18138410940263505</v>
      </c>
      <c r="AJ77" s="230">
        <f t="shared" si="320"/>
        <v>0.18289213635448998</v>
      </c>
      <c r="AK77" s="230">
        <f t="shared" si="320"/>
        <v>0.21254386734211317</v>
      </c>
      <c r="AL77" s="270">
        <f>AL76/AL68</f>
        <v>0.1971756043386366</v>
      </c>
    </row>
    <row r="78" spans="1:38" s="231" customFormat="1" outlineLevel="1">
      <c r="A78" s="313"/>
      <c r="B78" s="234" t="s">
        <v>190</v>
      </c>
      <c r="C78" s="232"/>
      <c r="D78" s="335">
        <f t="shared" ref="D78:G78" si="321">+D75-D72</f>
        <v>3476.8999999999996</v>
      </c>
      <c r="E78" s="335">
        <f t="shared" si="321"/>
        <v>3284.7</v>
      </c>
      <c r="F78" s="335">
        <f t="shared" si="321"/>
        <v>3486.7999999999997</v>
      </c>
      <c r="G78" s="335">
        <f t="shared" si="321"/>
        <v>3531.8999999999996</v>
      </c>
      <c r="H78" s="376"/>
      <c r="I78" s="335">
        <f t="shared" ref="I78" si="322">+I75-I72</f>
        <v>3722.9</v>
      </c>
      <c r="J78" s="335">
        <f t="shared" ref="J78:L78" si="323">+J75-J72</f>
        <v>3517.3</v>
      </c>
      <c r="K78" s="335">
        <f t="shared" si="323"/>
        <v>3019.0999999999995</v>
      </c>
      <c r="L78" s="210">
        <f t="shared" si="323"/>
        <v>3547.2509012941887</v>
      </c>
      <c r="M78" s="233"/>
      <c r="N78" s="210">
        <f>+N75-N72</f>
        <v>3579.5033918064883</v>
      </c>
      <c r="O78" s="210">
        <f t="shared" ref="O78:Q78" si="324">+O75-O72</f>
        <v>2925.642799154894</v>
      </c>
      <c r="P78" s="210">
        <f t="shared" si="324"/>
        <v>2930.5843831403208</v>
      </c>
      <c r="Q78" s="210">
        <f t="shared" si="324"/>
        <v>4003.067195020124</v>
      </c>
      <c r="R78" s="233"/>
      <c r="S78" s="210">
        <f t="shared" ref="S78:V78" si="325">+S75-S72</f>
        <v>4077.6695435215211</v>
      </c>
      <c r="T78" s="210">
        <f t="shared" si="325"/>
        <v>3099.767901813163</v>
      </c>
      <c r="U78" s="210">
        <f t="shared" si="325"/>
        <v>3183.1855201195103</v>
      </c>
      <c r="V78" s="210">
        <f t="shared" si="325"/>
        <v>4208.0665323398835</v>
      </c>
      <c r="W78" s="233"/>
      <c r="X78" s="210">
        <f t="shared" ref="X78:AA78" si="326">+X75-X72</f>
        <v>4368.9613325531118</v>
      </c>
      <c r="Y78" s="210">
        <f t="shared" si="326"/>
        <v>3267.806205838187</v>
      </c>
      <c r="Z78" s="210">
        <f t="shared" si="326"/>
        <v>3357.2308848335938</v>
      </c>
      <c r="AA78" s="210">
        <f t="shared" si="326"/>
        <v>4359.9877133550935</v>
      </c>
      <c r="AB78" s="233"/>
      <c r="AC78" s="210">
        <f t="shared" ref="AC78:AF78" si="327">+AC75-AC72</f>
        <v>4674.6517610650171</v>
      </c>
      <c r="AD78" s="210">
        <f t="shared" si="327"/>
        <v>3439.0119064823502</v>
      </c>
      <c r="AE78" s="210">
        <f t="shared" si="327"/>
        <v>3540.3285065672753</v>
      </c>
      <c r="AF78" s="210">
        <f t="shared" si="327"/>
        <v>4573.5463345400194</v>
      </c>
      <c r="AG78" s="233"/>
      <c r="AH78" s="210">
        <f t="shared" ref="AH78:AK78" si="328">+AH75-AH72</f>
        <v>4996.7208314590271</v>
      </c>
      <c r="AI78" s="210">
        <f t="shared" si="328"/>
        <v>3644.048976099582</v>
      </c>
      <c r="AJ78" s="210">
        <f t="shared" si="328"/>
        <v>3753.9624911020137</v>
      </c>
      <c r="AK78" s="210">
        <f t="shared" si="328"/>
        <v>4853.3337848043466</v>
      </c>
      <c r="AL78" s="233"/>
    </row>
    <row r="79" spans="1:38" s="231" customFormat="1" outlineLevel="1">
      <c r="A79" s="313"/>
      <c r="B79" s="234" t="s">
        <v>191</v>
      </c>
      <c r="C79" s="232"/>
      <c r="D79" s="235">
        <f t="shared" ref="D79:J79" si="329">+D78/D68</f>
        <v>0.75379945799457981</v>
      </c>
      <c r="E79" s="235">
        <f t="shared" si="329"/>
        <v>0.76138707957627305</v>
      </c>
      <c r="F79" s="326">
        <f t="shared" si="329"/>
        <v>0.74486765931084575</v>
      </c>
      <c r="G79" s="326">
        <f t="shared" si="329"/>
        <v>0.7593197746914907</v>
      </c>
      <c r="H79" s="233"/>
      <c r="I79" s="326">
        <f t="shared" si="329"/>
        <v>0.74296034644475051</v>
      </c>
      <c r="J79" s="326">
        <f t="shared" si="329"/>
        <v>0.81230946882217092</v>
      </c>
      <c r="K79" s="326">
        <f>+K78/K68</f>
        <v>1.076136161112101</v>
      </c>
      <c r="L79" s="236">
        <v>0.84</v>
      </c>
      <c r="M79" s="233"/>
      <c r="N79" s="480">
        <v>0.80856719197273597</v>
      </c>
      <c r="O79" s="480">
        <v>0.80479311963014299</v>
      </c>
      <c r="P79" s="480">
        <v>0.77558000000000005</v>
      </c>
      <c r="Q79" s="236">
        <v>0.76272142071985516</v>
      </c>
      <c r="R79" s="233"/>
      <c r="S79" s="236">
        <v>0.76500000000000001</v>
      </c>
      <c r="T79" s="236">
        <v>0.77500000000000002</v>
      </c>
      <c r="U79" s="236">
        <v>0.77500000000000002</v>
      </c>
      <c r="V79" s="236">
        <v>0.75578373456387093</v>
      </c>
      <c r="W79" s="233"/>
      <c r="X79" s="236">
        <f>+S79</f>
        <v>0.76500000000000001</v>
      </c>
      <c r="Y79" s="236">
        <f>+T79</f>
        <v>0.77500000000000002</v>
      </c>
      <c r="Z79" s="236">
        <f>+U79</f>
        <v>0.77500000000000002</v>
      </c>
      <c r="AA79" s="236">
        <f>+V79</f>
        <v>0.75578373456387093</v>
      </c>
      <c r="AB79" s="233"/>
      <c r="AC79" s="236">
        <f>+X79</f>
        <v>0.76500000000000001</v>
      </c>
      <c r="AD79" s="236">
        <f>+Y79</f>
        <v>0.77500000000000002</v>
      </c>
      <c r="AE79" s="236">
        <f>+Z79</f>
        <v>0.77500000000000002</v>
      </c>
      <c r="AF79" s="236">
        <f>+AA79</f>
        <v>0.75578373456387093</v>
      </c>
      <c r="AG79" s="233"/>
      <c r="AH79" s="236">
        <f>+AC79</f>
        <v>0.76500000000000001</v>
      </c>
      <c r="AI79" s="236">
        <f>+AD79</f>
        <v>0.77500000000000002</v>
      </c>
      <c r="AJ79" s="236">
        <f>+AE79</f>
        <v>0.77500000000000002</v>
      </c>
      <c r="AK79" s="236">
        <f>+AF79</f>
        <v>0.75578373456387093</v>
      </c>
      <c r="AL79" s="233"/>
    </row>
    <row r="80" spans="1:38" ht="18">
      <c r="A80" s="297"/>
      <c r="B80" s="524" t="s">
        <v>330</v>
      </c>
      <c r="C80" s="525"/>
      <c r="D80" s="36" t="s">
        <v>123</v>
      </c>
      <c r="E80" s="36" t="s">
        <v>281</v>
      </c>
      <c r="F80" s="36" t="s">
        <v>285</v>
      </c>
      <c r="G80" s="36" t="s">
        <v>295</v>
      </c>
      <c r="H80" s="103" t="s">
        <v>296</v>
      </c>
      <c r="I80" s="36" t="s">
        <v>297</v>
      </c>
      <c r="J80" s="36" t="s">
        <v>298</v>
      </c>
      <c r="K80" s="36" t="s">
        <v>299</v>
      </c>
      <c r="L80" s="34" t="s">
        <v>141</v>
      </c>
      <c r="M80" s="106" t="s">
        <v>142</v>
      </c>
      <c r="N80" s="34" t="s">
        <v>143</v>
      </c>
      <c r="O80" s="34" t="s">
        <v>144</v>
      </c>
      <c r="P80" s="34" t="s">
        <v>145</v>
      </c>
      <c r="Q80" s="34" t="s">
        <v>146</v>
      </c>
      <c r="R80" s="106" t="s">
        <v>147</v>
      </c>
      <c r="S80" s="34" t="s">
        <v>148</v>
      </c>
      <c r="T80" s="34" t="s">
        <v>149</v>
      </c>
      <c r="U80" s="34" t="s">
        <v>150</v>
      </c>
      <c r="V80" s="34" t="s">
        <v>151</v>
      </c>
      <c r="W80" s="106" t="s">
        <v>152</v>
      </c>
      <c r="X80" s="34" t="s">
        <v>153</v>
      </c>
      <c r="Y80" s="34" t="s">
        <v>154</v>
      </c>
      <c r="Z80" s="34" t="s">
        <v>155</v>
      </c>
      <c r="AA80" s="34" t="s">
        <v>156</v>
      </c>
      <c r="AB80" s="106" t="s">
        <v>157</v>
      </c>
      <c r="AC80" s="34" t="s">
        <v>290</v>
      </c>
      <c r="AD80" s="34" t="s">
        <v>291</v>
      </c>
      <c r="AE80" s="34" t="s">
        <v>292</v>
      </c>
      <c r="AF80" s="34" t="s">
        <v>293</v>
      </c>
      <c r="AG80" s="106" t="s">
        <v>294</v>
      </c>
      <c r="AH80" s="34" t="s">
        <v>323</v>
      </c>
      <c r="AI80" s="34" t="s">
        <v>324</v>
      </c>
      <c r="AJ80" s="34" t="s">
        <v>325</v>
      </c>
      <c r="AK80" s="34" t="s">
        <v>326</v>
      </c>
      <c r="AL80" s="106" t="s">
        <v>327</v>
      </c>
    </row>
    <row r="81" spans="1:38" s="20" customFormat="1" outlineLevel="1">
      <c r="A81" s="312"/>
      <c r="B81" s="534" t="s">
        <v>331</v>
      </c>
      <c r="C81" s="535"/>
      <c r="D81" s="45">
        <v>5839</v>
      </c>
      <c r="E81" s="45">
        <v>5879</v>
      </c>
      <c r="F81" s="328">
        <v>5646</v>
      </c>
      <c r="G81" s="45">
        <v>5860</v>
      </c>
      <c r="H81" s="199"/>
      <c r="I81" s="45">
        <v>6059</v>
      </c>
      <c r="J81" s="45">
        <v>6137</v>
      </c>
      <c r="K81" s="45">
        <v>6254</v>
      </c>
      <c r="L81" s="45">
        <f t="shared" ref="L81" si="330">+K81+L82</f>
        <v>6429</v>
      </c>
      <c r="M81" s="199"/>
      <c r="N81" s="45">
        <f>+L81+N82</f>
        <v>6529</v>
      </c>
      <c r="O81" s="45">
        <f>+N81+O82</f>
        <v>6629</v>
      </c>
      <c r="P81" s="45">
        <f t="shared" ref="P81" si="331">+O81+P82</f>
        <v>6729</v>
      </c>
      <c r="Q81" s="45">
        <f t="shared" ref="Q81" si="332">+P81+Q82</f>
        <v>6829</v>
      </c>
      <c r="R81" s="199"/>
      <c r="S81" s="45">
        <f>+Q81+S82</f>
        <v>6904</v>
      </c>
      <c r="T81" s="45">
        <f>+S81+T82</f>
        <v>6979</v>
      </c>
      <c r="U81" s="45">
        <f t="shared" ref="U81" si="333">+T81+U82</f>
        <v>7054</v>
      </c>
      <c r="V81" s="45">
        <f t="shared" ref="V81" si="334">+U81+V82</f>
        <v>7129</v>
      </c>
      <c r="W81" s="199"/>
      <c r="X81" s="45">
        <f>+V81+X82</f>
        <v>7204</v>
      </c>
      <c r="Y81" s="45">
        <f>+X81+Y82</f>
        <v>7279</v>
      </c>
      <c r="Z81" s="45">
        <f t="shared" ref="Z81" si="335">+Y81+Z82</f>
        <v>7354</v>
      </c>
      <c r="AA81" s="45">
        <f t="shared" ref="AA81" si="336">+Z81+AA82</f>
        <v>7429</v>
      </c>
      <c r="AB81" s="199"/>
      <c r="AC81" s="45">
        <f>+AA81+AC82</f>
        <v>7529</v>
      </c>
      <c r="AD81" s="45">
        <f>+AC81+AD82</f>
        <v>7629</v>
      </c>
      <c r="AE81" s="45">
        <f t="shared" ref="AE81" si="337">+AD81+AE82</f>
        <v>7729</v>
      </c>
      <c r="AF81" s="45">
        <f t="shared" ref="AF81" si="338">+AE81+AF82</f>
        <v>7829</v>
      </c>
      <c r="AG81" s="199"/>
      <c r="AH81" s="45">
        <f>+AF81+AH82</f>
        <v>7929</v>
      </c>
      <c r="AI81" s="45">
        <f>+AH81+AI82</f>
        <v>8029</v>
      </c>
      <c r="AJ81" s="45">
        <f t="shared" ref="AJ81" si="339">+AI81+AJ82</f>
        <v>8129</v>
      </c>
      <c r="AK81" s="45">
        <f t="shared" ref="AK81" si="340">+AJ81+AK82</f>
        <v>8229</v>
      </c>
      <c r="AL81" s="199"/>
    </row>
    <row r="82" spans="1:38" outlineLevel="1">
      <c r="A82" s="297"/>
      <c r="B82" s="51" t="s">
        <v>175</v>
      </c>
      <c r="C82" s="85"/>
      <c r="D82" s="38">
        <f>+D81-5651</f>
        <v>188</v>
      </c>
      <c r="E82" s="299">
        <f>+E81-D81</f>
        <v>40</v>
      </c>
      <c r="F82" s="299">
        <f t="shared" ref="F82:G82" si="341">+F81-E81</f>
        <v>-233</v>
      </c>
      <c r="G82" s="299">
        <f t="shared" si="341"/>
        <v>214</v>
      </c>
      <c r="H82" s="336">
        <f>+SUM(D82:G82)</f>
        <v>209</v>
      </c>
      <c r="I82" s="299">
        <f>+I81-G81</f>
        <v>199</v>
      </c>
      <c r="J82" s="299">
        <f t="shared" ref="J82:K82" si="342">+J81-I81</f>
        <v>78</v>
      </c>
      <c r="K82" s="299">
        <f t="shared" si="342"/>
        <v>117</v>
      </c>
      <c r="L82" s="71">
        <v>175</v>
      </c>
      <c r="M82" s="56">
        <f>+SUM(I82:L82)</f>
        <v>569</v>
      </c>
      <c r="N82" s="71">
        <v>100</v>
      </c>
      <c r="O82" s="71">
        <v>100</v>
      </c>
      <c r="P82" s="71">
        <v>100</v>
      </c>
      <c r="Q82" s="71">
        <v>100</v>
      </c>
      <c r="R82" s="56">
        <f>+SUM(N82:Q82)</f>
        <v>400</v>
      </c>
      <c r="S82" s="71">
        <v>75</v>
      </c>
      <c r="T82" s="71">
        <v>75</v>
      </c>
      <c r="U82" s="71">
        <v>75</v>
      </c>
      <c r="V82" s="71">
        <v>75</v>
      </c>
      <c r="W82" s="56">
        <f>+SUM(S82:V82)</f>
        <v>300</v>
      </c>
      <c r="X82" s="71">
        <v>75</v>
      </c>
      <c r="Y82" s="71">
        <v>75</v>
      </c>
      <c r="Z82" s="71">
        <v>75</v>
      </c>
      <c r="AA82" s="71">
        <v>75</v>
      </c>
      <c r="AB82" s="56">
        <f>+SUM(X82:AA82)</f>
        <v>300</v>
      </c>
      <c r="AC82" s="71">
        <v>100</v>
      </c>
      <c r="AD82" s="71">
        <v>100</v>
      </c>
      <c r="AE82" s="71">
        <v>100</v>
      </c>
      <c r="AF82" s="71">
        <v>100</v>
      </c>
      <c r="AG82" s="56">
        <f>+SUM(AC82:AF82)</f>
        <v>400</v>
      </c>
      <c r="AH82" s="71">
        <f>AVERAGE(AC82,AD82,AE82,AF82)</f>
        <v>100</v>
      </c>
      <c r="AI82" s="71">
        <f>AVERAGE(AD82,AE82,AF82,AH82)</f>
        <v>100</v>
      </c>
      <c r="AJ82" s="71">
        <f>AVERAGE(AE82,AF82,AH82,AI82)</f>
        <v>100</v>
      </c>
      <c r="AK82" s="71">
        <f>AVERAGE(AF82,AH82,AI82,AJ82)</f>
        <v>100</v>
      </c>
      <c r="AL82" s="56">
        <f>+SUM(AH82:AK82)</f>
        <v>400</v>
      </c>
    </row>
    <row r="83" spans="1:38" s="207" customFormat="1" outlineLevel="1">
      <c r="A83" s="316"/>
      <c r="B83" s="208" t="s">
        <v>176</v>
      </c>
      <c r="C83" s="209"/>
      <c r="D83" s="335">
        <v>5186</v>
      </c>
      <c r="E83" s="335">
        <v>5313</v>
      </c>
      <c r="F83" s="335">
        <v>5476</v>
      </c>
      <c r="G83" s="335">
        <v>5651</v>
      </c>
      <c r="H83" s="376"/>
      <c r="I83" s="335">
        <f>D81</f>
        <v>5839</v>
      </c>
      <c r="J83" s="335">
        <f>E81</f>
        <v>5879</v>
      </c>
      <c r="K83" s="335">
        <f>F81</f>
        <v>5646</v>
      </c>
      <c r="L83" s="211">
        <f>G81</f>
        <v>5860</v>
      </c>
      <c r="M83" s="212"/>
      <c r="N83" s="211">
        <f>I81</f>
        <v>6059</v>
      </c>
      <c r="O83" s="211">
        <f>J81</f>
        <v>6137</v>
      </c>
      <c r="P83" s="211">
        <f>K81</f>
        <v>6254</v>
      </c>
      <c r="Q83" s="211">
        <f>L81</f>
        <v>6429</v>
      </c>
      <c r="R83" s="212"/>
      <c r="S83" s="211">
        <f>N81</f>
        <v>6529</v>
      </c>
      <c r="T83" s="211">
        <f>O81</f>
        <v>6629</v>
      </c>
      <c r="U83" s="211">
        <f>P81</f>
        <v>6729</v>
      </c>
      <c r="V83" s="211">
        <f>Q81</f>
        <v>6829</v>
      </c>
      <c r="W83" s="212"/>
      <c r="X83" s="211">
        <f>S81</f>
        <v>6904</v>
      </c>
      <c r="Y83" s="211">
        <f>T81</f>
        <v>6979</v>
      </c>
      <c r="Z83" s="211">
        <f>U81</f>
        <v>7054</v>
      </c>
      <c r="AA83" s="211">
        <f>V81</f>
        <v>7129</v>
      </c>
      <c r="AB83" s="212"/>
      <c r="AC83" s="211">
        <f>X81</f>
        <v>7204</v>
      </c>
      <c r="AD83" s="211">
        <f>Y81</f>
        <v>7279</v>
      </c>
      <c r="AE83" s="211">
        <f>Z81</f>
        <v>7354</v>
      </c>
      <c r="AF83" s="211">
        <f>AA81</f>
        <v>7429</v>
      </c>
      <c r="AG83" s="212"/>
      <c r="AH83" s="211">
        <f>AC81</f>
        <v>7529</v>
      </c>
      <c r="AI83" s="211">
        <f>AD81</f>
        <v>7629</v>
      </c>
      <c r="AJ83" s="211">
        <f>AE81</f>
        <v>7729</v>
      </c>
      <c r="AK83" s="211">
        <f>AF81</f>
        <v>7829</v>
      </c>
      <c r="AL83" s="212"/>
    </row>
    <row r="84" spans="1:38" s="207" customFormat="1" outlineLevel="1">
      <c r="A84" s="316"/>
      <c r="B84" s="208" t="s">
        <v>177</v>
      </c>
      <c r="C84" s="209"/>
      <c r="D84" s="213">
        <v>0.17928494231648628</v>
      </c>
      <c r="E84" s="213">
        <v>0.15524456521739133</v>
      </c>
      <c r="F84" s="213">
        <v>0.16818750000000002</v>
      </c>
      <c r="G84" s="213">
        <f>AVERAGE(D84,E84,F84)</f>
        <v>0.16757233584462586</v>
      </c>
      <c r="H84" s="212"/>
      <c r="I84" s="213">
        <f>+D84*(1+I87)</f>
        <v>0.18107779173965116</v>
      </c>
      <c r="J84" s="213">
        <f>+E84*(1+J87)</f>
        <v>0.10711875000000001</v>
      </c>
      <c r="K84" s="213">
        <f t="shared" ref="K84" si="343">+F84*(1+K87)</f>
        <v>0.10595812500000001</v>
      </c>
      <c r="L84" s="213">
        <f>+G84*(1+L87)</f>
        <v>0.14913937890171702</v>
      </c>
      <c r="M84" s="212"/>
      <c r="N84" s="213">
        <f>+I84*(1+N87)</f>
        <v>0.17202390215266861</v>
      </c>
      <c r="O84" s="213">
        <f>+J84*(1+O87)</f>
        <v>0.11247468750000002</v>
      </c>
      <c r="P84" s="213">
        <f t="shared" ref="P84" si="344">+K84*(1+P87)</f>
        <v>0.13244765625000002</v>
      </c>
      <c r="Q84" s="213">
        <f t="shared" ref="Q84" si="345">+L84*(1+Q87)</f>
        <v>0.17896725468206043</v>
      </c>
      <c r="R84" s="212"/>
      <c r="S84" s="213">
        <f>+N84*(1+S87)</f>
        <v>0.18062509726030204</v>
      </c>
      <c r="T84" s="213">
        <f>+O84*(1+T87)</f>
        <v>0.11584892812500001</v>
      </c>
      <c r="U84" s="213">
        <f t="shared" ref="U84" si="346">+P84*(1+U87)</f>
        <v>0.13642108593750002</v>
      </c>
      <c r="V84" s="213">
        <f t="shared" ref="V84" si="347">+Q84*(1+V87)</f>
        <v>0.18433627232252225</v>
      </c>
      <c r="W84" s="212"/>
      <c r="X84" s="213">
        <f>+S84*(1+X87)</f>
        <v>0.18604385017811112</v>
      </c>
      <c r="Y84" s="213">
        <f>+T84*(1+Y87)</f>
        <v>0.11932439596875002</v>
      </c>
      <c r="Z84" s="213">
        <f t="shared" ref="Z84" si="348">+U84*(1+Z87)</f>
        <v>0.14051371851562502</v>
      </c>
      <c r="AA84" s="213">
        <f t="shared" ref="AA84" si="349">+V84*(1+AA87)</f>
        <v>0.18986636049219793</v>
      </c>
      <c r="AB84" s="212"/>
      <c r="AC84" s="213">
        <f>+X84*(1+AC87)</f>
        <v>0.19348560418523558</v>
      </c>
      <c r="AD84" s="213">
        <f>+Y84*(1+AD87)</f>
        <v>0.12409737180750002</v>
      </c>
      <c r="AE84" s="213">
        <f t="shared" ref="AE84" si="350">+Z84*(1+AE87)</f>
        <v>0.14613426725625003</v>
      </c>
      <c r="AF84" s="213">
        <f t="shared" ref="AF84" si="351">+AA84*(1+AF87)</f>
        <v>0.19746101491188586</v>
      </c>
      <c r="AG84" s="212"/>
      <c r="AH84" s="213">
        <f>+AC84*(1+AH87)</f>
        <v>0.20122502835264502</v>
      </c>
      <c r="AI84" s="213">
        <f>+AD84*(1+AI87)</f>
        <v>0.12906126667980003</v>
      </c>
      <c r="AJ84" s="213">
        <f t="shared" ref="AJ84" si="352">+AE84*(1+AJ87)</f>
        <v>0.15197963794650005</v>
      </c>
      <c r="AK84" s="213">
        <f t="shared" ref="AK84" si="353">+AF84*(1+AK87)</f>
        <v>0.20535945550836129</v>
      </c>
      <c r="AL84" s="212"/>
    </row>
    <row r="85" spans="1:38" outlineLevel="1">
      <c r="A85" s="297"/>
      <c r="B85" s="51" t="s">
        <v>173</v>
      </c>
      <c r="C85" s="186"/>
      <c r="D85" s="330">
        <v>0.01</v>
      </c>
      <c r="E85" s="330">
        <v>0</v>
      </c>
      <c r="F85" s="330">
        <v>0.01</v>
      </c>
      <c r="G85" s="330">
        <v>0.01</v>
      </c>
      <c r="H85" s="366"/>
      <c r="I85" s="330">
        <v>-0.01</v>
      </c>
      <c r="J85" s="330">
        <v>-0.32</v>
      </c>
      <c r="K85" s="330">
        <v>-0.44</v>
      </c>
      <c r="L85" s="64"/>
      <c r="M85" s="62"/>
      <c r="N85" s="64"/>
      <c r="O85" s="64"/>
      <c r="P85" s="64"/>
      <c r="Q85" s="64"/>
      <c r="R85" s="62"/>
      <c r="S85" s="64"/>
      <c r="T85" s="64"/>
      <c r="U85" s="64"/>
      <c r="V85" s="64"/>
      <c r="W85" s="62"/>
      <c r="X85" s="64"/>
      <c r="Y85" s="64"/>
      <c r="Z85" s="64"/>
      <c r="AA85" s="64"/>
      <c r="AB85" s="62"/>
      <c r="AC85" s="64"/>
      <c r="AD85" s="64"/>
      <c r="AE85" s="64"/>
      <c r="AF85" s="64"/>
      <c r="AG85" s="62"/>
      <c r="AH85" s="64"/>
      <c r="AI85" s="64"/>
      <c r="AJ85" s="64"/>
      <c r="AK85" s="64"/>
      <c r="AL85" s="62"/>
    </row>
    <row r="86" spans="1:38" outlineLevel="1">
      <c r="A86" s="297"/>
      <c r="B86" s="51" t="s">
        <v>172</v>
      </c>
      <c r="C86" s="186"/>
      <c r="D86" s="439">
        <v>0.01</v>
      </c>
      <c r="E86" s="439">
        <v>0.02</v>
      </c>
      <c r="F86" s="439">
        <v>0.03</v>
      </c>
      <c r="G86" s="439">
        <v>0.03</v>
      </c>
      <c r="H86" s="416"/>
      <c r="I86" s="439">
        <v>0.02</v>
      </c>
      <c r="J86" s="439">
        <v>0.01</v>
      </c>
      <c r="K86" s="439">
        <v>0.13</v>
      </c>
      <c r="L86" s="201"/>
      <c r="M86" s="202"/>
      <c r="N86" s="201"/>
      <c r="O86" s="201"/>
      <c r="P86" s="201"/>
      <c r="Q86" s="201"/>
      <c r="R86" s="202"/>
      <c r="S86" s="201"/>
      <c r="T86" s="201"/>
      <c r="U86" s="201"/>
      <c r="V86" s="201"/>
      <c r="W86" s="202"/>
      <c r="X86" s="201"/>
      <c r="Y86" s="201"/>
      <c r="Z86" s="201"/>
      <c r="AA86" s="201"/>
      <c r="AB86" s="202"/>
      <c r="AC86" s="201"/>
      <c r="AD86" s="201"/>
      <c r="AE86" s="201"/>
      <c r="AF86" s="201"/>
      <c r="AG86" s="202"/>
      <c r="AH86" s="201"/>
      <c r="AI86" s="201"/>
      <c r="AJ86" s="201"/>
      <c r="AK86" s="201"/>
      <c r="AL86" s="202"/>
    </row>
    <row r="87" spans="1:38" s="20" customFormat="1" outlineLevel="1">
      <c r="A87" s="312"/>
      <c r="B87" s="475" t="s">
        <v>174</v>
      </c>
      <c r="C87" s="87"/>
      <c r="D87" s="440">
        <v>0.02</v>
      </c>
      <c r="E87" s="440">
        <v>0.02</v>
      </c>
      <c r="F87" s="441">
        <v>0.05</v>
      </c>
      <c r="G87" s="440">
        <v>0.03</v>
      </c>
      <c r="H87" s="384"/>
      <c r="I87" s="440">
        <v>0.01</v>
      </c>
      <c r="J87" s="440">
        <v>-0.31</v>
      </c>
      <c r="K87" s="440">
        <v>-0.37</v>
      </c>
      <c r="L87" s="413">
        <v>-0.11</v>
      </c>
      <c r="M87" s="203"/>
      <c r="N87" s="479">
        <v>-0.05</v>
      </c>
      <c r="O87" s="479">
        <v>0.05</v>
      </c>
      <c r="P87" s="479">
        <v>0.25</v>
      </c>
      <c r="Q87" s="479">
        <v>0.2</v>
      </c>
      <c r="R87" s="203"/>
      <c r="S87" s="205">
        <v>0.05</v>
      </c>
      <c r="T87" s="205">
        <v>0.03</v>
      </c>
      <c r="U87" s="205">
        <v>0.03</v>
      </c>
      <c r="V87" s="205">
        <v>0.03</v>
      </c>
      <c r="W87" s="203"/>
      <c r="X87" s="205">
        <v>0.03</v>
      </c>
      <c r="Y87" s="205">
        <f>AVERAGE(X87,V87,U87,T87)</f>
        <v>0.03</v>
      </c>
      <c r="Z87" s="205">
        <f>AVERAGE(Y87,X87,V87,U87)</f>
        <v>0.03</v>
      </c>
      <c r="AA87" s="205">
        <f>AVERAGE(Z87,Y87,X87,V87)</f>
        <v>0.03</v>
      </c>
      <c r="AB87" s="203"/>
      <c r="AC87" s="205">
        <v>0.04</v>
      </c>
      <c r="AD87" s="205">
        <v>0.04</v>
      </c>
      <c r="AE87" s="205">
        <v>0.04</v>
      </c>
      <c r="AF87" s="205">
        <v>0.04</v>
      </c>
      <c r="AG87" s="203"/>
      <c r="AH87" s="205">
        <v>0.04</v>
      </c>
      <c r="AI87" s="205">
        <v>0.04</v>
      </c>
      <c r="AJ87" s="205">
        <v>0.04</v>
      </c>
      <c r="AK87" s="205">
        <v>0.04</v>
      </c>
      <c r="AL87" s="203"/>
    </row>
    <row r="88" spans="1:38" ht="17.25" outlineLevel="1">
      <c r="A88" s="297"/>
      <c r="B88" s="187" t="s">
        <v>206</v>
      </c>
      <c r="C88" s="186"/>
      <c r="D88" s="69">
        <v>348</v>
      </c>
      <c r="E88" s="69">
        <v>485</v>
      </c>
      <c r="F88" s="69">
        <v>432</v>
      </c>
      <c r="G88" s="69">
        <v>369</v>
      </c>
      <c r="H88" s="18"/>
      <c r="I88" s="69">
        <v>252</v>
      </c>
      <c r="J88" s="69">
        <v>272.5</v>
      </c>
      <c r="K88" s="69">
        <v>277.625</v>
      </c>
      <c r="L88" s="69">
        <f>AVERAGE(K88,J88,I88)</f>
        <v>267.375</v>
      </c>
      <c r="M88" s="18"/>
      <c r="N88" s="69">
        <f>AVERAGE(L88,K88,J88,I88)</f>
        <v>267.375</v>
      </c>
      <c r="O88" s="69">
        <f>AVERAGE(N88,L88,K88,J88)</f>
        <v>271.21875</v>
      </c>
      <c r="P88" s="69">
        <f>AVERAGE(O88,N88,L88,K88)</f>
        <v>270.8984375</v>
      </c>
      <c r="Q88" s="69">
        <f>AVERAGE(P88,O88,N88,L88)</f>
        <v>269.216796875</v>
      </c>
      <c r="R88" s="18"/>
      <c r="S88" s="69">
        <f>AVERAGE(Q88,P88,O88,N88)</f>
        <v>269.67724609375</v>
      </c>
      <c r="T88" s="69">
        <f>AVERAGE(S88,Q88,P88,O88)</f>
        <v>270.2528076171875</v>
      </c>
      <c r="U88" s="69">
        <f>AVERAGE(T88,S88,Q88,P88)</f>
        <v>270.01132202148438</v>
      </c>
      <c r="V88" s="69">
        <f>AVERAGE(U88,T88,S88,Q88)</f>
        <v>269.78954315185547</v>
      </c>
      <c r="W88" s="18"/>
      <c r="X88" s="69">
        <f>AVERAGE(V88,U88,T88,S88)</f>
        <v>269.93272972106934</v>
      </c>
      <c r="Y88" s="69">
        <f>AVERAGE(X88,V88,U88,T88)</f>
        <v>269.99660062789917</v>
      </c>
      <c r="Z88" s="69">
        <f>AVERAGE(Y88,X88,V88,U88)</f>
        <v>269.93254888057709</v>
      </c>
      <c r="AA88" s="69">
        <f>AVERAGE(Z88,Y88,X88,V88)</f>
        <v>269.91285559535027</v>
      </c>
      <c r="AB88" s="18"/>
      <c r="AC88" s="69">
        <f>AVERAGE(AA88,Z88,Y88,X88)</f>
        <v>269.94368370622396</v>
      </c>
      <c r="AD88" s="69">
        <f>AVERAGE(AC88,AA88,Z88,Y88)</f>
        <v>269.94642220251262</v>
      </c>
      <c r="AE88" s="69">
        <f>AVERAGE(AD88,AC88,AA88,Z88)</f>
        <v>269.93387759616598</v>
      </c>
      <c r="AF88" s="69">
        <f>AVERAGE(AE88,AD88,AC88,AA88)</f>
        <v>269.93420977506321</v>
      </c>
      <c r="AG88" s="18"/>
      <c r="AH88" s="69">
        <f>AVERAGE(AF88,AE88,AD88,AC88)</f>
        <v>269.93954831999145</v>
      </c>
      <c r="AI88" s="69">
        <f>AVERAGE(AH88,AF88,AE88,AD88)</f>
        <v>269.93851447343332</v>
      </c>
      <c r="AJ88" s="69">
        <f>AVERAGE(AI88,AH88,AF88,AE88)</f>
        <v>269.93653754116349</v>
      </c>
      <c r="AK88" s="69">
        <f>AVERAGE(AJ88,AI88,AH88,AF88)</f>
        <v>269.93720252741286</v>
      </c>
      <c r="AL88" s="18"/>
    </row>
    <row r="89" spans="1:38" s="20" customFormat="1" outlineLevel="1">
      <c r="A89" s="312"/>
      <c r="B89" s="530" t="s">
        <v>332</v>
      </c>
      <c r="C89" s="531"/>
      <c r="D89" s="192">
        <v>1278.0999999999999</v>
      </c>
      <c r="E89" s="192">
        <v>1309.4000000000001</v>
      </c>
      <c r="F89" s="302">
        <v>1352.8</v>
      </c>
      <c r="G89" s="192">
        <v>1315.9</v>
      </c>
      <c r="H89" s="204"/>
      <c r="I89" s="192">
        <v>1309.7</v>
      </c>
      <c r="J89" s="192">
        <v>902.4</v>
      </c>
      <c r="K89" s="302">
        <v>875.5</v>
      </c>
      <c r="L89" s="192">
        <f t="shared" ref="L89" si="354">+L83*L84+L88</f>
        <v>1141.3317603640617</v>
      </c>
      <c r="M89" s="204"/>
      <c r="N89" s="192">
        <f>+N83*N84+N88</f>
        <v>1309.6678231430192</v>
      </c>
      <c r="O89" s="192">
        <f>+O83*O84+O88</f>
        <v>961.47590718750007</v>
      </c>
      <c r="P89" s="192">
        <f t="shared" ref="P89" si="355">+P83*P84+P88</f>
        <v>1099.2260796875003</v>
      </c>
      <c r="Q89" s="192">
        <f t="shared" ref="Q89" si="356">+Q83*Q84+Q88</f>
        <v>1419.7972772259666</v>
      </c>
      <c r="R89" s="204"/>
      <c r="S89" s="192">
        <f>+S83*S84+S88</f>
        <v>1448.9785061062621</v>
      </c>
      <c r="T89" s="192">
        <f>+T83*T84+T88</f>
        <v>1038.2153521578125</v>
      </c>
      <c r="U89" s="192">
        <f t="shared" ref="U89" si="357">+U83*U84+U88</f>
        <v>1187.988809294922</v>
      </c>
      <c r="V89" s="192">
        <f t="shared" ref="V89" si="358">+V83*V84+V88</f>
        <v>1528.6219468423599</v>
      </c>
      <c r="W89" s="204"/>
      <c r="X89" s="192">
        <f>+X83*X84+X88</f>
        <v>1554.3794713507484</v>
      </c>
      <c r="Y89" s="192">
        <f>+Y83*Y84+Y88</f>
        <v>1102.7615600938057</v>
      </c>
      <c r="Z89" s="192">
        <f t="shared" ref="Z89" si="359">+Z83*Z84+Z88</f>
        <v>1261.1163192897961</v>
      </c>
      <c r="AA89" s="192">
        <f t="shared" ref="AA89" si="360">+AA83*AA84+AA88</f>
        <v>1623.4701395442294</v>
      </c>
      <c r="AB89" s="204"/>
      <c r="AC89" s="192">
        <f>+AC83*AC84+AC88</f>
        <v>1663.8139762566611</v>
      </c>
      <c r="AD89" s="192">
        <f>+AD83*AD84+AD88</f>
        <v>1173.2511915893053</v>
      </c>
      <c r="AE89" s="192">
        <f t="shared" ref="AE89:AF89" si="361">+AE83*AE84+AE88</f>
        <v>1344.6052789986288</v>
      </c>
      <c r="AF89" s="192">
        <f t="shared" si="361"/>
        <v>1736.8720895554634</v>
      </c>
      <c r="AG89" s="204"/>
      <c r="AH89" s="192">
        <f>+AH83*AH84+AH88</f>
        <v>1784.9627867870558</v>
      </c>
      <c r="AI89" s="192">
        <f>+AI83*AI84+AI88</f>
        <v>1254.5469179736278</v>
      </c>
      <c r="AJ89" s="192">
        <f t="shared" ref="AJ89:AK89" si="362">+AJ83*AJ84+AJ88</f>
        <v>1444.5871592296623</v>
      </c>
      <c r="AK89" s="192">
        <f t="shared" si="362"/>
        <v>1877.6963797023734</v>
      </c>
      <c r="AL89" s="204"/>
    </row>
    <row r="90" spans="1:38" s="20" customFormat="1" outlineLevel="1">
      <c r="A90" s="312"/>
      <c r="B90" s="214" t="s">
        <v>180</v>
      </c>
      <c r="C90" s="87"/>
      <c r="D90" s="218">
        <f t="shared" ref="D90" si="363">+D89/D81</f>
        <v>0.21889022092824112</v>
      </c>
      <c r="E90" s="218">
        <f t="shared" ref="E90" si="364">+E89/E81</f>
        <v>0.22272495322333732</v>
      </c>
      <c r="F90" s="331">
        <f t="shared" ref="F90" si="365">+F89/F81</f>
        <v>0.23960325894438539</v>
      </c>
      <c r="G90" s="218">
        <f t="shared" ref="G90" si="366">+G89/G81</f>
        <v>0.22455631399317408</v>
      </c>
      <c r="H90" s="204"/>
      <c r="I90" s="218">
        <f t="shared" ref="I90" si="367">+I89/I81</f>
        <v>0.21615778181218023</v>
      </c>
      <c r="J90" s="218">
        <f t="shared" ref="J90" si="368">+J89/J81</f>
        <v>0.14704252892292652</v>
      </c>
      <c r="K90" s="218">
        <f t="shared" ref="K90" si="369">+K89/K81</f>
        <v>0.13999040614007036</v>
      </c>
      <c r="L90" s="218">
        <f t="shared" ref="L90" si="370">+L89/L81</f>
        <v>0.17752866081257765</v>
      </c>
      <c r="M90" s="204"/>
      <c r="N90" s="218">
        <f t="shared" ref="N90" si="371">+N89/N81</f>
        <v>0.20059240666917127</v>
      </c>
      <c r="O90" s="218">
        <f t="shared" ref="O90" si="372">+O89/O81</f>
        <v>0.14504086697654248</v>
      </c>
      <c r="P90" s="218">
        <f t="shared" ref="P90" si="373">+P89/P81</f>
        <v>0.16335652841246845</v>
      </c>
      <c r="Q90" s="218">
        <f t="shared" ref="Q90" si="374">+Q89/Q81</f>
        <v>0.20790705479952651</v>
      </c>
      <c r="R90" s="204"/>
      <c r="S90" s="218">
        <f t="shared" ref="S90" si="375">+S89/S81</f>
        <v>0.20987521814980623</v>
      </c>
      <c r="T90" s="218">
        <f t="shared" ref="T90" si="376">+T89/T81</f>
        <v>0.14876276718123119</v>
      </c>
      <c r="U90" s="218">
        <f t="shared" ref="U90" si="377">+U89/U81</f>
        <v>0.16841349720653842</v>
      </c>
      <c r="V90" s="218">
        <f t="shared" ref="V90" si="378">+V89/V81</f>
        <v>0.2144230532812961</v>
      </c>
      <c r="W90" s="204"/>
      <c r="X90" s="218">
        <f t="shared" ref="X90" si="379">+X89/X81</f>
        <v>0.21576616759449591</v>
      </c>
      <c r="Y90" s="218">
        <f t="shared" ref="Y90" si="380">+Y89/Y81</f>
        <v>0.15149904658521854</v>
      </c>
      <c r="Z90" s="218">
        <f t="shared" ref="Z90" si="381">+Z89/Z81</f>
        <v>0.17148712527737234</v>
      </c>
      <c r="AA90" s="218">
        <f t="shared" ref="AA90" si="382">+AA89/AA81</f>
        <v>0.21853144966270419</v>
      </c>
      <c r="AB90" s="204"/>
      <c r="AC90" s="218">
        <f t="shared" ref="AC90:AF90" si="383">+AC89/AC81</f>
        <v>0.22098737896887516</v>
      </c>
      <c r="AD90" s="218">
        <f t="shared" si="383"/>
        <v>0.15378833288626365</v>
      </c>
      <c r="AE90" s="218">
        <f t="shared" si="383"/>
        <v>0.17396885483227181</v>
      </c>
      <c r="AF90" s="218">
        <f t="shared" si="383"/>
        <v>0.22185107798639206</v>
      </c>
      <c r="AG90" s="204"/>
      <c r="AH90" s="218">
        <f t="shared" ref="AH90:AK90" si="384">+AH89/AH81</f>
        <v>0.22511827302144732</v>
      </c>
      <c r="AI90" s="218">
        <f t="shared" si="384"/>
        <v>0.15625195142279585</v>
      </c>
      <c r="AJ90" s="218">
        <f t="shared" si="384"/>
        <v>0.17770785573006057</v>
      </c>
      <c r="AK90" s="218">
        <f t="shared" si="384"/>
        <v>0.22818038397160936</v>
      </c>
      <c r="AL90" s="204"/>
    </row>
    <row r="91" spans="1:38" s="207" customFormat="1" outlineLevel="1">
      <c r="A91" s="316"/>
      <c r="B91" s="214" t="s">
        <v>178</v>
      </c>
      <c r="C91" s="215"/>
      <c r="D91" s="210">
        <f>ROUND((+D89-D88-(D83*D84)),0)</f>
        <v>0</v>
      </c>
      <c r="E91" s="216">
        <f>ROUND((+E89-E88-(E83*E84)),0)</f>
        <v>0</v>
      </c>
      <c r="F91" s="319">
        <f>ROUND((+F89-F88-(F83*F84)),0)</f>
        <v>0</v>
      </c>
      <c r="G91" s="216">
        <f>ROUND((+G89-G88-(G83*G84)),0)</f>
        <v>0</v>
      </c>
      <c r="H91" s="217"/>
      <c r="I91" s="216">
        <f>ROUND((+I89-I88-(I83*I84)),0)</f>
        <v>0</v>
      </c>
      <c r="J91" s="216">
        <f>ROUND((+J89-J88-(J83*J84)),0)</f>
        <v>0</v>
      </c>
      <c r="K91" s="216">
        <f>ROUND((+K89-K88-(K83*K84)),0)</f>
        <v>0</v>
      </c>
      <c r="L91" s="216">
        <f>ROUND((+L89-L88-(L83*L84)),0)</f>
        <v>0</v>
      </c>
      <c r="M91" s="217"/>
      <c r="N91" s="216">
        <f>ROUND((+N89-N88-(N83*N84)),0)</f>
        <v>0</v>
      </c>
      <c r="O91" s="216">
        <f>ROUND((+O89-O88-(O83*O84)),0)</f>
        <v>0</v>
      </c>
      <c r="P91" s="216">
        <f>ROUND((+P89-P88-(P83*P84)),0)</f>
        <v>0</v>
      </c>
      <c r="Q91" s="216">
        <f>ROUND((+Q89-Q88-(Q83*Q84)),0)</f>
        <v>0</v>
      </c>
      <c r="R91" s="217"/>
      <c r="S91" s="216">
        <f>ROUND((+S89-S88-(S83*S84)),0)</f>
        <v>0</v>
      </c>
      <c r="T91" s="216">
        <f>ROUND((+T89-T88-(T83*T84)),0)</f>
        <v>0</v>
      </c>
      <c r="U91" s="216">
        <f>ROUND((+U89-U88-(U83*U84)),0)</f>
        <v>0</v>
      </c>
      <c r="V91" s="216">
        <f>ROUND((+V89-V88-(V83*V84)),0)</f>
        <v>0</v>
      </c>
      <c r="W91" s="217"/>
      <c r="X91" s="216">
        <f>ROUND((+X89-X88-(X83*X84)),0)</f>
        <v>0</v>
      </c>
      <c r="Y91" s="216">
        <f>ROUND((+Y89-Y88-(Y83*Y84)),0)</f>
        <v>0</v>
      </c>
      <c r="Z91" s="216">
        <f>ROUND((+Z89-Z88-(Z83*Z84)),0)</f>
        <v>0</v>
      </c>
      <c r="AA91" s="216">
        <f>ROUND((+AA89-AA88-(AA83*AA84)),0)</f>
        <v>0</v>
      </c>
      <c r="AB91" s="217"/>
      <c r="AC91" s="216">
        <f>ROUND((+AC89-AC88-(AC83*AC84)),0)</f>
        <v>0</v>
      </c>
      <c r="AD91" s="216">
        <f>ROUND((+AD89-AD88-(AD83*AD84)),0)</f>
        <v>0</v>
      </c>
      <c r="AE91" s="216">
        <f>ROUND((+AE89-AE88-(AE83*AE84)),0)</f>
        <v>0</v>
      </c>
      <c r="AF91" s="216">
        <f>ROUND((+AF89-AF88-(AF83*AF84)),0)</f>
        <v>0</v>
      </c>
      <c r="AG91" s="217"/>
      <c r="AH91" s="216">
        <f>ROUND((+AH89-AH88-(AH83*AH84)),0)</f>
        <v>0</v>
      </c>
      <c r="AI91" s="216">
        <f>ROUND((+AI89-AI88-(AI83*AI84)),0)</f>
        <v>0</v>
      </c>
      <c r="AJ91" s="216">
        <f>ROUND((+AJ89-AJ88-(AJ83*AJ84)),0)</f>
        <v>0</v>
      </c>
      <c r="AK91" s="216">
        <f>ROUND((+AK89-AK88-(AK83*AK84)),0)</f>
        <v>0</v>
      </c>
      <c r="AL91" s="217"/>
    </row>
    <row r="92" spans="1:38" s="20" customFormat="1" outlineLevel="1">
      <c r="A92" s="312"/>
      <c r="B92" s="536" t="s">
        <v>333</v>
      </c>
      <c r="C92" s="537"/>
      <c r="D92" s="219">
        <v>6373</v>
      </c>
      <c r="E92" s="219">
        <v>6586</v>
      </c>
      <c r="F92" s="329">
        <v>7127</v>
      </c>
      <c r="G92" s="219">
        <v>7329</v>
      </c>
      <c r="H92" s="220"/>
      <c r="I92" s="219">
        <v>7533</v>
      </c>
      <c r="J92" s="219">
        <v>7642</v>
      </c>
      <c r="K92" s="219">
        <v>7691</v>
      </c>
      <c r="L92" s="219">
        <f t="shared" ref="L92" si="385">+K92+L93</f>
        <v>7854</v>
      </c>
      <c r="M92" s="220"/>
      <c r="N92" s="219">
        <f>+L92+N93</f>
        <v>7954</v>
      </c>
      <c r="O92" s="219">
        <f>+N92+O93</f>
        <v>8054</v>
      </c>
      <c r="P92" s="219">
        <f t="shared" ref="P92" si="386">+O92+P93</f>
        <v>8154</v>
      </c>
      <c r="Q92" s="219">
        <f t="shared" ref="Q92" si="387">+P92+Q93</f>
        <v>8254</v>
      </c>
      <c r="R92" s="220"/>
      <c r="S92" s="219">
        <f>+Q92+S93</f>
        <v>8329</v>
      </c>
      <c r="T92" s="219">
        <f>+S92+T93</f>
        <v>8404</v>
      </c>
      <c r="U92" s="219">
        <f t="shared" ref="U92" si="388">+T92+U93</f>
        <v>8479</v>
      </c>
      <c r="V92" s="219">
        <f t="shared" ref="V92" si="389">+U92+V93</f>
        <v>8554</v>
      </c>
      <c r="W92" s="220"/>
      <c r="X92" s="219">
        <f>+V92+X93</f>
        <v>8654</v>
      </c>
      <c r="Y92" s="219">
        <f>+X92+Y93</f>
        <v>8754</v>
      </c>
      <c r="Z92" s="219">
        <f t="shared" ref="Z92" si="390">+Y92+Z93</f>
        <v>8854</v>
      </c>
      <c r="AA92" s="219">
        <f t="shared" ref="AA92" si="391">+Z92+AA93</f>
        <v>8954</v>
      </c>
      <c r="AB92" s="220"/>
      <c r="AC92" s="219">
        <f>+AA92+AC93</f>
        <v>9054</v>
      </c>
      <c r="AD92" s="219">
        <f>+AC92+AD93</f>
        <v>9154</v>
      </c>
      <c r="AE92" s="219">
        <f t="shared" ref="AE92" si="392">+AD92+AE93</f>
        <v>9254</v>
      </c>
      <c r="AF92" s="219">
        <f t="shared" ref="AF92" si="393">+AE92+AF93</f>
        <v>9354</v>
      </c>
      <c r="AG92" s="220"/>
      <c r="AH92" s="219">
        <f>+AF92+AH93</f>
        <v>9454</v>
      </c>
      <c r="AI92" s="219">
        <f>+AH92+AI93</f>
        <v>9554</v>
      </c>
      <c r="AJ92" s="219">
        <f t="shared" ref="AJ92" si="394">+AI92+AJ93</f>
        <v>9654</v>
      </c>
      <c r="AK92" s="219">
        <f t="shared" ref="AK92" si="395">+AJ92+AK93</f>
        <v>9754</v>
      </c>
      <c r="AL92" s="220"/>
    </row>
    <row r="93" spans="1:38" outlineLevel="1">
      <c r="A93" s="297"/>
      <c r="B93" s="51" t="s">
        <v>179</v>
      </c>
      <c r="C93" s="85"/>
      <c r="D93" s="38">
        <f>+D92-6201</f>
        <v>172</v>
      </c>
      <c r="E93" s="38">
        <f>+E92-D92</f>
        <v>213</v>
      </c>
      <c r="F93" s="299">
        <f t="shared" ref="F93:G93" si="396">+F92-E92</f>
        <v>541</v>
      </c>
      <c r="G93" s="299">
        <f t="shared" si="396"/>
        <v>202</v>
      </c>
      <c r="H93" s="336">
        <f>+SUM(D93:G93)</f>
        <v>1128</v>
      </c>
      <c r="I93" s="299">
        <f>+I92-G92</f>
        <v>204</v>
      </c>
      <c r="J93" s="299">
        <f t="shared" ref="J93:K93" si="397">+J92-I92</f>
        <v>109</v>
      </c>
      <c r="K93" s="299">
        <f t="shared" si="397"/>
        <v>49</v>
      </c>
      <c r="L93" s="71">
        <v>163</v>
      </c>
      <c r="M93" s="418">
        <f>+SUM(I93:L93)</f>
        <v>525</v>
      </c>
      <c r="N93" s="71">
        <v>100</v>
      </c>
      <c r="O93" s="71">
        <v>100</v>
      </c>
      <c r="P93" s="71">
        <v>100</v>
      </c>
      <c r="Q93" s="71">
        <v>100</v>
      </c>
      <c r="R93" s="56">
        <f>+SUM(N93:Q93)</f>
        <v>400</v>
      </c>
      <c r="S93" s="71">
        <v>75</v>
      </c>
      <c r="T93" s="71">
        <v>75</v>
      </c>
      <c r="U93" s="71">
        <v>75</v>
      </c>
      <c r="V93" s="71">
        <v>75</v>
      </c>
      <c r="W93" s="56">
        <f>+SUM(S93:V93)</f>
        <v>300</v>
      </c>
      <c r="X93" s="71">
        <v>100</v>
      </c>
      <c r="Y93" s="71">
        <v>100</v>
      </c>
      <c r="Z93" s="71">
        <v>100</v>
      </c>
      <c r="AA93" s="71">
        <v>100</v>
      </c>
      <c r="AB93" s="56">
        <f>+SUM(X93:AA93)</f>
        <v>400</v>
      </c>
      <c r="AC93" s="71">
        <f>AVERAGE(X93,Y93,Z93,AA93)</f>
        <v>100</v>
      </c>
      <c r="AD93" s="71">
        <f>AVERAGE(Y93,Z93,AA93,AC93)</f>
        <v>100</v>
      </c>
      <c r="AE93" s="71">
        <f>AVERAGE(Z93,AA93,AC93,AD93)</f>
        <v>100</v>
      </c>
      <c r="AF93" s="71">
        <f>AVERAGE(AA93,AC93,AD93,AE93)</f>
        <v>100</v>
      </c>
      <c r="AG93" s="56">
        <f>+SUM(AC93:AF93)</f>
        <v>400</v>
      </c>
      <c r="AH93" s="71">
        <f>AVERAGE(AC93,AD93,AE93,AF93)</f>
        <v>100</v>
      </c>
      <c r="AI93" s="71">
        <f>AVERAGE(AD93,AE93,AF93,AH93)</f>
        <v>100</v>
      </c>
      <c r="AJ93" s="71">
        <f>AVERAGE(AE93,AF93,AH93,AI93)</f>
        <v>100</v>
      </c>
      <c r="AK93" s="71">
        <f>AVERAGE(AF93,AH93,AI93,AJ93)</f>
        <v>100</v>
      </c>
      <c r="AL93" s="56">
        <f>+SUM(AH93:AK93)</f>
        <v>400</v>
      </c>
    </row>
    <row r="94" spans="1:38" outlineLevel="1">
      <c r="A94" s="297"/>
      <c r="B94" s="51" t="s">
        <v>182</v>
      </c>
      <c r="C94" s="85"/>
      <c r="D94" s="38">
        <f>AVERAGE(D92,6201)</f>
        <v>6287</v>
      </c>
      <c r="E94" s="38">
        <f>AVERAGE(E92,D92)</f>
        <v>6479.5</v>
      </c>
      <c r="F94" s="38">
        <f t="shared" ref="F94:G94" si="398">AVERAGE(F92,E92)</f>
        <v>6856.5</v>
      </c>
      <c r="G94" s="38">
        <f t="shared" si="398"/>
        <v>7228</v>
      </c>
      <c r="H94" s="56"/>
      <c r="I94" s="38">
        <f>AVERAGE(I92,G92)</f>
        <v>7431</v>
      </c>
      <c r="J94" s="38">
        <f>AVERAGE(J92,I92)</f>
        <v>7587.5</v>
      </c>
      <c r="K94" s="38">
        <f t="shared" ref="K94:L94" si="399">AVERAGE(K92,J92)</f>
        <v>7666.5</v>
      </c>
      <c r="L94" s="38">
        <f t="shared" si="399"/>
        <v>7772.5</v>
      </c>
      <c r="M94" s="18"/>
      <c r="N94" s="38">
        <f>AVERAGE(N92,L92)</f>
        <v>7904</v>
      </c>
      <c r="O94" s="38">
        <f>AVERAGE(O92,N92)</f>
        <v>8004</v>
      </c>
      <c r="P94" s="38">
        <f t="shared" ref="P94:Q94" si="400">AVERAGE(P92,O92)</f>
        <v>8104</v>
      </c>
      <c r="Q94" s="38">
        <f t="shared" si="400"/>
        <v>8204</v>
      </c>
      <c r="R94" s="18"/>
      <c r="S94" s="38">
        <f>AVERAGE(S92,Q92)</f>
        <v>8291.5</v>
      </c>
      <c r="T94" s="38">
        <f>AVERAGE(T92,S92)</f>
        <v>8366.5</v>
      </c>
      <c r="U94" s="38">
        <f t="shared" ref="U94:V94" si="401">AVERAGE(U92,T92)</f>
        <v>8441.5</v>
      </c>
      <c r="V94" s="38">
        <f t="shared" si="401"/>
        <v>8516.5</v>
      </c>
      <c r="W94" s="18"/>
      <c r="X94" s="38">
        <f>AVERAGE(X92,V92)</f>
        <v>8604</v>
      </c>
      <c r="Y94" s="38">
        <f>AVERAGE(Y92,X92)</f>
        <v>8704</v>
      </c>
      <c r="Z94" s="38">
        <f t="shared" ref="Z94:AA94" si="402">AVERAGE(Z92,Y92)</f>
        <v>8804</v>
      </c>
      <c r="AA94" s="38">
        <f t="shared" si="402"/>
        <v>8904</v>
      </c>
      <c r="AB94" s="18"/>
      <c r="AC94" s="38">
        <f>AVERAGE(AC92,AA92)</f>
        <v>9004</v>
      </c>
      <c r="AD94" s="38">
        <f>AVERAGE(AD92,AC92)</f>
        <v>9104</v>
      </c>
      <c r="AE94" s="38">
        <f t="shared" ref="AE94" si="403">AVERAGE(AE92,AD92)</f>
        <v>9204</v>
      </c>
      <c r="AF94" s="38">
        <f t="shared" ref="AF94" si="404">AVERAGE(AF92,AE92)</f>
        <v>9304</v>
      </c>
      <c r="AG94" s="18"/>
      <c r="AH94" s="38">
        <f>AVERAGE(AH92,AF92)</f>
        <v>9404</v>
      </c>
      <c r="AI94" s="38">
        <f>AVERAGE(AI92,AH92)</f>
        <v>9504</v>
      </c>
      <c r="AJ94" s="38">
        <f t="shared" ref="AJ94" si="405">AVERAGE(AJ92,AI92)</f>
        <v>9604</v>
      </c>
      <c r="AK94" s="38">
        <f t="shared" ref="AK94" si="406">AVERAGE(AK92,AJ92)</f>
        <v>9704</v>
      </c>
      <c r="AL94" s="18"/>
    </row>
    <row r="95" spans="1:38" outlineLevel="1">
      <c r="A95" s="297"/>
      <c r="B95" s="51" t="s">
        <v>181</v>
      </c>
      <c r="C95" s="85"/>
      <c r="D95" s="122">
        <f>+D96/D94</f>
        <v>3.5390488309209482E-2</v>
      </c>
      <c r="E95" s="322">
        <f>+E96/E94</f>
        <v>3.3197005941816495E-2</v>
      </c>
      <c r="F95" s="322">
        <f>+F96/F94</f>
        <v>3.335521038430686E-2</v>
      </c>
      <c r="G95" s="322">
        <f>+G96/G94</f>
        <v>3.468456004427227E-2</v>
      </c>
      <c r="H95" s="56"/>
      <c r="I95" s="322">
        <f t="shared" ref="I95:K95" si="407">+I96/I94</f>
        <v>3.4275333064190554E-2</v>
      </c>
      <c r="J95" s="322">
        <f t="shared" si="407"/>
        <v>2.97331136738056E-2</v>
      </c>
      <c r="K95" s="322">
        <f t="shared" si="407"/>
        <v>8.4784451835909474E-3</v>
      </c>
      <c r="L95" s="206">
        <v>2.5000000000000001E-2</v>
      </c>
      <c r="M95" s="18"/>
      <c r="N95" s="481">
        <v>2.1999999999999999E-2</v>
      </c>
      <c r="O95" s="481">
        <v>2.3E-2</v>
      </c>
      <c r="P95" s="481">
        <v>2.4E-2</v>
      </c>
      <c r="Q95" s="206">
        <v>3.5000000000000003E-2</v>
      </c>
      <c r="R95" s="18"/>
      <c r="S95" s="206">
        <v>3.5000000000000003E-2</v>
      </c>
      <c r="T95" s="206">
        <v>3.2000000000000001E-2</v>
      </c>
      <c r="U95" s="206">
        <v>3.2000000000000001E-2</v>
      </c>
      <c r="V95" s="206">
        <f>+Q95*(1+2%)</f>
        <v>3.5700000000000003E-2</v>
      </c>
      <c r="W95" s="18"/>
      <c r="X95" s="206">
        <f>+S95*(1+2%)</f>
        <v>3.5700000000000003E-2</v>
      </c>
      <c r="Y95" s="206">
        <f>+T95*(1+2%)</f>
        <v>3.2640000000000002E-2</v>
      </c>
      <c r="Z95" s="206">
        <f>+U95*(1+2%)</f>
        <v>3.2640000000000002E-2</v>
      </c>
      <c r="AA95" s="206">
        <f>+V95*(1+2%)</f>
        <v>3.6414000000000002E-2</v>
      </c>
      <c r="AB95" s="18"/>
      <c r="AC95" s="206">
        <f>+X95*(1+5%)</f>
        <v>3.7485000000000004E-2</v>
      </c>
      <c r="AD95" s="206">
        <f>+Y95*(1+5%)</f>
        <v>3.4272000000000004E-2</v>
      </c>
      <c r="AE95" s="206">
        <f>+Z95*(1+5%)</f>
        <v>3.4272000000000004E-2</v>
      </c>
      <c r="AF95" s="206">
        <f>+AA95*(1+5%)</f>
        <v>3.8234700000000003E-2</v>
      </c>
      <c r="AG95" s="18"/>
      <c r="AH95" s="206">
        <f>+AC95*(1+5%)</f>
        <v>3.9359250000000005E-2</v>
      </c>
      <c r="AI95" s="206">
        <f>+AD95*(1+5%)</f>
        <v>3.5985600000000006E-2</v>
      </c>
      <c r="AJ95" s="206">
        <f>+AE95*(1+5%)</f>
        <v>3.5985600000000006E-2</v>
      </c>
      <c r="AK95" s="206">
        <f>+AF95*(1+5%)</f>
        <v>4.0146435000000008E-2</v>
      </c>
      <c r="AL95" s="18"/>
    </row>
    <row r="96" spans="1:38" s="20" customFormat="1" outlineLevel="1">
      <c r="A96" s="312"/>
      <c r="B96" s="538" t="s">
        <v>334</v>
      </c>
      <c r="C96" s="539"/>
      <c r="D96" s="323">
        <v>222.5</v>
      </c>
      <c r="E96" s="323">
        <v>215.1</v>
      </c>
      <c r="F96" s="323">
        <v>228.7</v>
      </c>
      <c r="G96" s="323">
        <v>250.7</v>
      </c>
      <c r="H96" s="442"/>
      <c r="I96" s="323">
        <v>254.7</v>
      </c>
      <c r="J96" s="323">
        <v>225.6</v>
      </c>
      <c r="K96" s="323">
        <v>65</v>
      </c>
      <c r="L96" s="224">
        <f t="shared" ref="L96" si="408">+L94*L95</f>
        <v>194.3125</v>
      </c>
      <c r="M96" s="225"/>
      <c r="N96" s="224">
        <f>+N94*N95</f>
        <v>173.88799999999998</v>
      </c>
      <c r="O96" s="224">
        <f>+O94*O95</f>
        <v>184.09199999999998</v>
      </c>
      <c r="P96" s="224">
        <f t="shared" ref="P96" si="409">+P94*P95</f>
        <v>194.49600000000001</v>
      </c>
      <c r="Q96" s="224">
        <f t="shared" ref="Q96" si="410">+Q94*Q95</f>
        <v>287.14000000000004</v>
      </c>
      <c r="R96" s="225"/>
      <c r="S96" s="224">
        <f>+S94*S95</f>
        <v>290.20250000000004</v>
      </c>
      <c r="T96" s="224">
        <f>+T94*T95</f>
        <v>267.72800000000001</v>
      </c>
      <c r="U96" s="224">
        <f t="shared" ref="U96" si="411">+U94*U95</f>
        <v>270.12799999999999</v>
      </c>
      <c r="V96" s="224">
        <f t="shared" ref="V96" si="412">+V94*V95</f>
        <v>304.03905000000003</v>
      </c>
      <c r="W96" s="225"/>
      <c r="X96" s="224">
        <f>+X94*X95</f>
        <v>307.1628</v>
      </c>
      <c r="Y96" s="224">
        <f>+Y94*Y95</f>
        <v>284.09856000000002</v>
      </c>
      <c r="Z96" s="224">
        <f t="shared" ref="Z96" si="413">+Z94*Z95</f>
        <v>287.36256000000003</v>
      </c>
      <c r="AA96" s="224">
        <f t="shared" ref="AA96" si="414">+AA94*AA95</f>
        <v>324.230256</v>
      </c>
      <c r="AB96" s="225"/>
      <c r="AC96" s="224">
        <f>+AC94*AC95</f>
        <v>337.51494000000002</v>
      </c>
      <c r="AD96" s="224">
        <f>+AD94*AD95</f>
        <v>312.01228800000001</v>
      </c>
      <c r="AE96" s="224">
        <f t="shared" ref="AE96:AF96" si="415">+AE94*AE95</f>
        <v>315.43948800000004</v>
      </c>
      <c r="AF96" s="224">
        <f t="shared" si="415"/>
        <v>355.73564880000004</v>
      </c>
      <c r="AG96" s="225"/>
      <c r="AH96" s="224">
        <f>+AH94*AH95</f>
        <v>370.13438700000006</v>
      </c>
      <c r="AI96" s="224">
        <f>+AI94*AI95</f>
        <v>342.00714240000008</v>
      </c>
      <c r="AJ96" s="224">
        <f t="shared" ref="AJ96:AK96" si="416">+AJ94*AJ95</f>
        <v>345.60570240000004</v>
      </c>
      <c r="AK96" s="224">
        <f t="shared" si="416"/>
        <v>389.58100524000008</v>
      </c>
      <c r="AL96" s="225"/>
    </row>
    <row r="97" spans="1:38" s="20" customFormat="1" outlineLevel="1">
      <c r="A97" s="312"/>
      <c r="B97" s="530" t="s">
        <v>335</v>
      </c>
      <c r="C97" s="531"/>
      <c r="D97" s="302">
        <v>3.4</v>
      </c>
      <c r="E97" s="302">
        <v>4.9000000000000004</v>
      </c>
      <c r="F97" s="302">
        <v>3.8</v>
      </c>
      <c r="G97" s="302">
        <v>5.5</v>
      </c>
      <c r="H97" s="443"/>
      <c r="I97" s="302">
        <v>6.7</v>
      </c>
      <c r="J97" s="302">
        <v>6.6</v>
      </c>
      <c r="K97" s="302">
        <v>9.1</v>
      </c>
      <c r="L97" s="192">
        <f t="shared" ref="L97" si="417">+G97*(1+L98)</f>
        <v>9.625</v>
      </c>
      <c r="M97" s="199"/>
      <c r="N97" s="192">
        <f>+I97*(1+N98)</f>
        <v>11.725</v>
      </c>
      <c r="O97" s="192">
        <f>+J97*(1+O98)</f>
        <v>11.549999999999999</v>
      </c>
      <c r="P97" s="192">
        <f>+K97*(1+P98)</f>
        <v>15.924999999999999</v>
      </c>
      <c r="Q97" s="192">
        <f t="shared" ref="Q97" si="418">+L97*(1+Q98)</f>
        <v>14.4375</v>
      </c>
      <c r="R97" s="199"/>
      <c r="S97" s="192">
        <f>+N97*(1+S98)</f>
        <v>17.587499999999999</v>
      </c>
      <c r="T97" s="192">
        <f>+O97*(1+T98)</f>
        <v>17.324999999999999</v>
      </c>
      <c r="U97" s="192">
        <f>+P97*(1+U98)</f>
        <v>19.90625</v>
      </c>
      <c r="V97" s="192">
        <f t="shared" ref="V97" si="419">+Q97*(1+V98)</f>
        <v>18.046875</v>
      </c>
      <c r="W97" s="199"/>
      <c r="X97" s="192">
        <f>+S97*(1+X98)</f>
        <v>21.984375</v>
      </c>
      <c r="Y97" s="192">
        <f>+T97*(1+Y98)</f>
        <v>21.65625</v>
      </c>
      <c r="Z97" s="192">
        <f>+U97*(1+Z98)</f>
        <v>24.8828125</v>
      </c>
      <c r="AA97" s="192">
        <f t="shared" ref="AA97" si="420">+V97*(1+AA98)</f>
        <v>22.55859375</v>
      </c>
      <c r="AB97" s="199"/>
      <c r="AC97" s="192">
        <f>+X97*(1+AC98)</f>
        <v>27.48046875</v>
      </c>
      <c r="AD97" s="192">
        <f>+Y97*(1+AD98)</f>
        <v>27.0703125</v>
      </c>
      <c r="AE97" s="192">
        <f>+Z97*(1+AE98)</f>
        <v>31.103515625</v>
      </c>
      <c r="AF97" s="192">
        <f t="shared" ref="AF97" si="421">+AA97*(1+AF98)</f>
        <v>28.1982421875</v>
      </c>
      <c r="AG97" s="199"/>
      <c r="AH97" s="192">
        <f>+AC97*(1+AH98)</f>
        <v>34.3505859375</v>
      </c>
      <c r="AI97" s="192">
        <f>+AD97*(1+AI98)</f>
        <v>33.837890625</v>
      </c>
      <c r="AJ97" s="192">
        <f>+AE97*(1+AJ98)</f>
        <v>38.87939453125</v>
      </c>
      <c r="AK97" s="192">
        <f t="shared" ref="AK97" si="422">+AF97*(1+AK98)</f>
        <v>35.247802734375</v>
      </c>
      <c r="AL97" s="199"/>
    </row>
    <row r="98" spans="1:38" outlineLevel="1">
      <c r="A98" s="297"/>
      <c r="B98" s="221" t="s">
        <v>186</v>
      </c>
      <c r="C98" s="222"/>
      <c r="D98" s="334"/>
      <c r="E98" s="334"/>
      <c r="F98" s="334"/>
      <c r="G98" s="334"/>
      <c r="H98" s="444"/>
      <c r="I98" s="334">
        <f>I97/D97-1</f>
        <v>0.97058823529411775</v>
      </c>
      <c r="J98" s="334">
        <f t="shared" ref="J98:K98" si="423">J97/E97-1</f>
        <v>0.3469387755102038</v>
      </c>
      <c r="K98" s="334">
        <f t="shared" si="423"/>
        <v>1.3947368421052633</v>
      </c>
      <c r="L98" s="223">
        <v>0.75</v>
      </c>
      <c r="M98" s="200"/>
      <c r="N98" s="223">
        <v>0.75</v>
      </c>
      <c r="O98" s="223">
        <v>0.75</v>
      </c>
      <c r="P98" s="223">
        <v>0.75</v>
      </c>
      <c r="Q98" s="223">
        <v>0.5</v>
      </c>
      <c r="R98" s="200"/>
      <c r="S98" s="223">
        <v>0.5</v>
      </c>
      <c r="T98" s="223">
        <v>0.5</v>
      </c>
      <c r="U98" s="223">
        <v>0.25</v>
      </c>
      <c r="V98" s="223">
        <v>0.25</v>
      </c>
      <c r="W98" s="200"/>
      <c r="X98" s="223">
        <v>0.25</v>
      </c>
      <c r="Y98" s="223">
        <v>0.25</v>
      </c>
      <c r="Z98" s="223">
        <v>0.25</v>
      </c>
      <c r="AA98" s="223">
        <v>0.25</v>
      </c>
      <c r="AB98" s="200"/>
      <c r="AC98" s="223">
        <v>0.25</v>
      </c>
      <c r="AD98" s="223">
        <v>0.25</v>
      </c>
      <c r="AE98" s="223">
        <v>0.25</v>
      </c>
      <c r="AF98" s="223">
        <v>0.25</v>
      </c>
      <c r="AG98" s="200"/>
      <c r="AH98" s="223">
        <v>0.25</v>
      </c>
      <c r="AI98" s="223">
        <v>0.25</v>
      </c>
      <c r="AJ98" s="223">
        <v>0.25</v>
      </c>
      <c r="AK98" s="223">
        <v>0.25</v>
      </c>
      <c r="AL98" s="200"/>
    </row>
    <row r="99" spans="1:38" outlineLevel="1">
      <c r="A99" s="297"/>
      <c r="B99" s="51" t="s">
        <v>336</v>
      </c>
      <c r="C99" s="186"/>
      <c r="D99" s="299">
        <f t="shared" ref="D99:G99" si="424">+D92+D81</f>
        <v>12212</v>
      </c>
      <c r="E99" s="299">
        <f t="shared" si="424"/>
        <v>12465</v>
      </c>
      <c r="F99" s="299">
        <f t="shared" si="424"/>
        <v>12773</v>
      </c>
      <c r="G99" s="299">
        <f t="shared" si="424"/>
        <v>13189</v>
      </c>
      <c r="H99" s="336"/>
      <c r="I99" s="299">
        <f>+I92+I81</f>
        <v>13592</v>
      </c>
      <c r="J99" s="299">
        <f t="shared" ref="J99:L99" si="425">+J92+J81</f>
        <v>13779</v>
      </c>
      <c r="K99" s="299">
        <f t="shared" si="425"/>
        <v>13945</v>
      </c>
      <c r="L99" s="38">
        <f t="shared" si="425"/>
        <v>14283</v>
      </c>
      <c r="M99" s="18"/>
      <c r="N99" s="38">
        <f>+N92+N81</f>
        <v>14483</v>
      </c>
      <c r="O99" s="38">
        <f t="shared" ref="O99:Q99" si="426">+O92+O81</f>
        <v>14683</v>
      </c>
      <c r="P99" s="38">
        <f t="shared" si="426"/>
        <v>14883</v>
      </c>
      <c r="Q99" s="38">
        <f t="shared" si="426"/>
        <v>15083</v>
      </c>
      <c r="R99" s="18"/>
      <c r="S99" s="38">
        <f>+S92+S81</f>
        <v>15233</v>
      </c>
      <c r="T99" s="38">
        <f t="shared" ref="T99:V99" si="427">+T92+T81</f>
        <v>15383</v>
      </c>
      <c r="U99" s="38">
        <f t="shared" si="427"/>
        <v>15533</v>
      </c>
      <c r="V99" s="38">
        <f t="shared" si="427"/>
        <v>15683</v>
      </c>
      <c r="W99" s="18"/>
      <c r="X99" s="38">
        <f>+X92+X81</f>
        <v>15858</v>
      </c>
      <c r="Y99" s="38">
        <f t="shared" ref="Y99:AA99" si="428">+Y92+Y81</f>
        <v>16033</v>
      </c>
      <c r="Z99" s="38">
        <f t="shared" si="428"/>
        <v>16208</v>
      </c>
      <c r="AA99" s="38">
        <f t="shared" si="428"/>
        <v>16383</v>
      </c>
      <c r="AB99" s="18"/>
      <c r="AC99" s="38">
        <f>+AC92+AC81</f>
        <v>16583</v>
      </c>
      <c r="AD99" s="38">
        <f t="shared" ref="AD99:AF99" si="429">+AD92+AD81</f>
        <v>16783</v>
      </c>
      <c r="AE99" s="38">
        <f t="shared" si="429"/>
        <v>16983</v>
      </c>
      <c r="AF99" s="38">
        <f t="shared" si="429"/>
        <v>17183</v>
      </c>
      <c r="AG99" s="18"/>
      <c r="AH99" s="38">
        <f>+AH92+AH81</f>
        <v>17383</v>
      </c>
      <c r="AI99" s="38">
        <f t="shared" ref="AI99:AK99" si="430">+AI92+AI81</f>
        <v>17583</v>
      </c>
      <c r="AJ99" s="38">
        <f t="shared" si="430"/>
        <v>17783</v>
      </c>
      <c r="AK99" s="38">
        <f t="shared" si="430"/>
        <v>17983</v>
      </c>
      <c r="AL99" s="18"/>
    </row>
    <row r="100" spans="1:38" outlineLevel="1">
      <c r="A100" s="297"/>
      <c r="B100" s="51" t="s">
        <v>337</v>
      </c>
      <c r="C100" s="186"/>
      <c r="D100" s="299">
        <f t="shared" ref="D100:G100" si="431">+D93+D82</f>
        <v>360</v>
      </c>
      <c r="E100" s="299">
        <f t="shared" si="431"/>
        <v>253</v>
      </c>
      <c r="F100" s="299">
        <f t="shared" si="431"/>
        <v>308</v>
      </c>
      <c r="G100" s="299">
        <f t="shared" si="431"/>
        <v>416</v>
      </c>
      <c r="H100" s="336">
        <f>+H93+H82</f>
        <v>1337</v>
      </c>
      <c r="I100" s="299">
        <f>+I93+I82</f>
        <v>403</v>
      </c>
      <c r="J100" s="299">
        <f t="shared" ref="J100:L100" si="432">+J93+J82</f>
        <v>187</v>
      </c>
      <c r="K100" s="299">
        <f t="shared" si="432"/>
        <v>166</v>
      </c>
      <c r="L100" s="38">
        <f t="shared" si="432"/>
        <v>338</v>
      </c>
      <c r="M100" s="56">
        <f>+M93+M82</f>
        <v>1094</v>
      </c>
      <c r="N100" s="38">
        <f>+N93+N82</f>
        <v>200</v>
      </c>
      <c r="O100" s="38">
        <f t="shared" ref="O100:Q100" si="433">+O93+O82</f>
        <v>200</v>
      </c>
      <c r="P100" s="38">
        <f t="shared" si="433"/>
        <v>200</v>
      </c>
      <c r="Q100" s="38">
        <f t="shared" si="433"/>
        <v>200</v>
      </c>
      <c r="R100" s="56">
        <f>+R93+R82</f>
        <v>800</v>
      </c>
      <c r="S100" s="38">
        <f>+S93+S82</f>
        <v>150</v>
      </c>
      <c r="T100" s="38">
        <f t="shared" ref="T100:V100" si="434">+T93+T82</f>
        <v>150</v>
      </c>
      <c r="U100" s="38">
        <f t="shared" si="434"/>
        <v>150</v>
      </c>
      <c r="V100" s="38">
        <f t="shared" si="434"/>
        <v>150</v>
      </c>
      <c r="W100" s="56">
        <f>+W93+W82</f>
        <v>600</v>
      </c>
      <c r="X100" s="38">
        <f>+X93+X82</f>
        <v>175</v>
      </c>
      <c r="Y100" s="38">
        <f t="shared" ref="Y100:AA100" si="435">+Y93+Y82</f>
        <v>175</v>
      </c>
      <c r="Z100" s="38">
        <f t="shared" si="435"/>
        <v>175</v>
      </c>
      <c r="AA100" s="38">
        <f t="shared" si="435"/>
        <v>175</v>
      </c>
      <c r="AB100" s="56">
        <f>+AB93+AB82</f>
        <v>700</v>
      </c>
      <c r="AC100" s="38">
        <f>+AC93+AC82</f>
        <v>200</v>
      </c>
      <c r="AD100" s="38">
        <f t="shared" ref="AD100:AF100" si="436">+AD93+AD82</f>
        <v>200</v>
      </c>
      <c r="AE100" s="38">
        <f t="shared" si="436"/>
        <v>200</v>
      </c>
      <c r="AF100" s="38">
        <f t="shared" si="436"/>
        <v>200</v>
      </c>
      <c r="AG100" s="56">
        <f>+AG93+AG82</f>
        <v>800</v>
      </c>
      <c r="AH100" s="38">
        <f>+AH93+AH82</f>
        <v>200</v>
      </c>
      <c r="AI100" s="38">
        <f t="shared" ref="AI100:AK100" si="437">+AI93+AI82</f>
        <v>200</v>
      </c>
      <c r="AJ100" s="38">
        <f t="shared" si="437"/>
        <v>200</v>
      </c>
      <c r="AK100" s="38">
        <f t="shared" si="437"/>
        <v>200</v>
      </c>
      <c r="AL100" s="56">
        <f>+AL93+AL82</f>
        <v>800</v>
      </c>
    </row>
    <row r="101" spans="1:38" outlineLevel="1">
      <c r="A101" s="297"/>
      <c r="B101" s="532" t="s">
        <v>338</v>
      </c>
      <c r="C101" s="533"/>
      <c r="D101" s="323">
        <f t="shared" ref="D101:G101" si="438">+D97+D96+D89</f>
        <v>1504</v>
      </c>
      <c r="E101" s="323">
        <f>+E97+E96+E89</f>
        <v>1529.4</v>
      </c>
      <c r="F101" s="323">
        <f t="shared" si="438"/>
        <v>1585.3</v>
      </c>
      <c r="G101" s="323">
        <f t="shared" si="438"/>
        <v>1572.1000000000001</v>
      </c>
      <c r="H101" s="378">
        <f>SUM(D101:G101)</f>
        <v>6190.8</v>
      </c>
      <c r="I101" s="323">
        <f>+I97+I96+I89</f>
        <v>1571.1</v>
      </c>
      <c r="J101" s="323">
        <f t="shared" ref="J101:L101" si="439">+J97+J96+J89</f>
        <v>1134.5999999999999</v>
      </c>
      <c r="K101" s="323">
        <f t="shared" si="439"/>
        <v>949.6</v>
      </c>
      <c r="L101" s="224">
        <f t="shared" si="439"/>
        <v>1345.2692603640617</v>
      </c>
      <c r="M101" s="226">
        <f>SUM(I101:L101)</f>
        <v>5000.5692603640618</v>
      </c>
      <c r="N101" s="224">
        <f>+N97+N96+N89</f>
        <v>1495.2808231430192</v>
      </c>
      <c r="O101" s="224">
        <f t="shared" ref="O101:Q101" si="440">+O97+O96+O89</f>
        <v>1157.1179071875001</v>
      </c>
      <c r="P101" s="224">
        <f t="shared" si="440"/>
        <v>1309.6470796875003</v>
      </c>
      <c r="Q101" s="224">
        <f t="shared" si="440"/>
        <v>1721.3747772259667</v>
      </c>
      <c r="R101" s="226">
        <f>SUM(N101:Q101)</f>
        <v>5683.4205872439861</v>
      </c>
      <c r="S101" s="224">
        <f>+S97+S96+S89</f>
        <v>1756.7685061062621</v>
      </c>
      <c r="T101" s="224">
        <f t="shared" ref="T101:V101" si="441">+T97+T96+T89</f>
        <v>1323.2683521578124</v>
      </c>
      <c r="U101" s="224">
        <f t="shared" si="441"/>
        <v>1478.0230592949219</v>
      </c>
      <c r="V101" s="224">
        <f t="shared" si="441"/>
        <v>1850.70787184236</v>
      </c>
      <c r="W101" s="226">
        <f>SUM(S101:V101)</f>
        <v>6408.7677894013559</v>
      </c>
      <c r="X101" s="224">
        <f>+X97+X96+X89</f>
        <v>1883.5266463507485</v>
      </c>
      <c r="Y101" s="224">
        <f t="shared" ref="Y101:AA101" si="442">+Y97+Y96+Y89</f>
        <v>1408.5163700938056</v>
      </c>
      <c r="Z101" s="224">
        <f t="shared" si="442"/>
        <v>1573.3616917897962</v>
      </c>
      <c r="AA101" s="224">
        <f t="shared" si="442"/>
        <v>1970.2589892942294</v>
      </c>
      <c r="AB101" s="226">
        <f>SUM(X101:AA101)</f>
        <v>6835.6636975285801</v>
      </c>
      <c r="AC101" s="224">
        <f>+AC97+AC96+AC89</f>
        <v>2028.8093850066612</v>
      </c>
      <c r="AD101" s="224">
        <f t="shared" ref="AD101:AF101" si="443">+AD97+AD96+AD89</f>
        <v>1512.3337920893055</v>
      </c>
      <c r="AE101" s="224">
        <f t="shared" si="443"/>
        <v>1691.1482826236288</v>
      </c>
      <c r="AF101" s="224">
        <f t="shared" si="443"/>
        <v>2120.8059805429634</v>
      </c>
      <c r="AG101" s="226">
        <f>SUM(AC101:AF101)</f>
        <v>7353.0974402625598</v>
      </c>
      <c r="AH101" s="224">
        <f>+AH97+AH96+AH89</f>
        <v>2189.4477597245559</v>
      </c>
      <c r="AI101" s="224">
        <f t="shared" ref="AI101:AK101" si="444">+AI97+AI96+AI89</f>
        <v>1630.3919509986279</v>
      </c>
      <c r="AJ101" s="224">
        <f t="shared" si="444"/>
        <v>1829.0722561609123</v>
      </c>
      <c r="AK101" s="224">
        <f t="shared" si="444"/>
        <v>2302.5251876767484</v>
      </c>
      <c r="AL101" s="226">
        <f>SUM(AH101:AK101)</f>
        <v>7951.4371545608446</v>
      </c>
    </row>
    <row r="102" spans="1:38" outlineLevel="1">
      <c r="A102" s="297"/>
      <c r="B102" s="526" t="s">
        <v>300</v>
      </c>
      <c r="C102" s="527"/>
      <c r="D102" s="304">
        <v>462.7</v>
      </c>
      <c r="E102" s="304">
        <v>470.2</v>
      </c>
      <c r="F102" s="304">
        <v>476.1</v>
      </c>
      <c r="G102" s="304">
        <v>486.1</v>
      </c>
      <c r="H102" s="379"/>
      <c r="I102" s="304">
        <v>488.5</v>
      </c>
      <c r="J102" s="304">
        <v>387.7</v>
      </c>
      <c r="K102" s="304">
        <v>337.7</v>
      </c>
      <c r="L102" s="190">
        <f>+(L101*L113)*(K102/K112)</f>
        <v>412.77430021520036</v>
      </c>
      <c r="M102" s="237"/>
      <c r="N102" s="190">
        <f>+(N101*N113)*(L102/L112)</f>
        <v>426.03130394895624</v>
      </c>
      <c r="O102" s="190">
        <f>+(O101*O113)*(N102/N112)</f>
        <v>325.03348141784886</v>
      </c>
      <c r="P102" s="190">
        <f>+(P101*P113)*(O102/O112)</f>
        <v>367.87880223391085</v>
      </c>
      <c r="Q102" s="190">
        <f>+(Q101*Q113)*(P102/P112)</f>
        <v>483.53277845864972</v>
      </c>
      <c r="R102" s="237"/>
      <c r="S102" s="190">
        <f>+(S101*S113)*(Q102/Q112)</f>
        <v>500.53365615946569</v>
      </c>
      <c r="T102" s="190">
        <f>+(T101*T113)*(S102/S112)</f>
        <v>381.85559847887254</v>
      </c>
      <c r="U102" s="190">
        <f>+(U101*U113)*(T102/T112)</f>
        <v>415.7153683995665</v>
      </c>
      <c r="V102" s="190">
        <f>+(V101*V113)*(U102/U112)</f>
        <v>513.77812517478139</v>
      </c>
      <c r="W102" s="237"/>
      <c r="X102" s="190">
        <f>+(X101*X113)*(V102/V112)</f>
        <v>522.88900036691439</v>
      </c>
      <c r="Y102" s="190">
        <f>+(Y101*Y113)*(X102/X112)</f>
        <v>401.31061436552613</v>
      </c>
      <c r="Z102" s="190">
        <f>+(Z101*Z113)*(Y102/Y112)</f>
        <v>442.53073807940387</v>
      </c>
      <c r="AA102" s="190">
        <f>+(AA101*AA113)*(Z102/Z112)</f>
        <v>546.96691197441066</v>
      </c>
      <c r="AB102" s="237"/>
      <c r="AC102" s="190">
        <f>+(AC101*AC113)*(AA102/AA112)</f>
        <v>563.22118580933454</v>
      </c>
      <c r="AD102" s="190">
        <f>+(AD101*AD113)*(AC102/AC112)</f>
        <v>430.88998900927595</v>
      </c>
      <c r="AE102" s="190">
        <f>+(AE101*AE113)*(AD102/AD112)</f>
        <v>475.65992080296331</v>
      </c>
      <c r="AF102" s="190">
        <f>+(AF101*AF113)*(AE102/AE112)</f>
        <v>588.76051543354538</v>
      </c>
      <c r="AG102" s="237"/>
      <c r="AH102" s="190">
        <f>+(AH101*AH113)*(AF102/AF112)</f>
        <v>607.81627520695156</v>
      </c>
      <c r="AI102" s="190">
        <f>+(AI101*AI113)*(AH102/AH112)</f>
        <v>464.52679528906936</v>
      </c>
      <c r="AJ102" s="190">
        <f>+(AJ101*AJ113)*(AI102/AI112)</f>
        <v>514.45303374501441</v>
      </c>
      <c r="AK102" s="190">
        <f>+(AK101*AK113)*(AJ102/AJ112)</f>
        <v>639.20789017589277</v>
      </c>
      <c r="AL102" s="237"/>
    </row>
    <row r="103" spans="1:38" outlineLevel="1">
      <c r="A103" s="297"/>
      <c r="B103" s="51" t="s">
        <v>158</v>
      </c>
      <c r="C103" s="40"/>
      <c r="D103" s="304">
        <v>603.70000000000005</v>
      </c>
      <c r="E103" s="304">
        <v>618.4</v>
      </c>
      <c r="F103" s="304">
        <v>609.20000000000005</v>
      </c>
      <c r="G103" s="304">
        <v>597.29999999999995</v>
      </c>
      <c r="H103" s="317"/>
      <c r="I103" s="304">
        <v>607.1</v>
      </c>
      <c r="J103" s="304">
        <v>562.79999999999995</v>
      </c>
      <c r="K103" s="304">
        <v>483.4</v>
      </c>
      <c r="L103" s="190">
        <f>+(L101*L113)*(K103/K112)</f>
        <v>590.86495920647872</v>
      </c>
      <c r="M103" s="191"/>
      <c r="N103" s="190">
        <f>+(N101*N113)*(L103/L112)</f>
        <v>609.84167109542625</v>
      </c>
      <c r="O103" s="190">
        <f>+(O101*O113)*(N103/N112)</f>
        <v>465.26853691853171</v>
      </c>
      <c r="P103" s="190">
        <f>+(P101*P113)*(O103/O112)</f>
        <v>526.5993870295307</v>
      </c>
      <c r="Q103" s="190">
        <f>+(Q101*Q113)*(P103/P112)</f>
        <v>692.15204355022593</v>
      </c>
      <c r="R103" s="191"/>
      <c r="S103" s="190">
        <f>+(S101*S113)*(Q103/Q112)</f>
        <v>716.4879164568722</v>
      </c>
      <c r="T103" s="190">
        <f>+(T101*T113)*(S103/S112)</f>
        <v>546.60644449122594</v>
      </c>
      <c r="U103" s="190">
        <f>+(U101*U113)*(T103/T112)</f>
        <v>595.07494546742805</v>
      </c>
      <c r="V103" s="190">
        <f>+(V101*V113)*(U103/U112)</f>
        <v>735.44668554779196</v>
      </c>
      <c r="W103" s="191"/>
      <c r="X103" s="190">
        <f>+(X101*X113)*(V103/V112)</f>
        <v>748.48842990040407</v>
      </c>
      <c r="Y103" s="190">
        <f>+(Y101*Y113)*(X103/X112)</f>
        <v>574.45528867129212</v>
      </c>
      <c r="Z103" s="190">
        <f>+(Z101*Z113)*(Y103/Y112)</f>
        <v>633.45975359071315</v>
      </c>
      <c r="AA103" s="190">
        <f>+(AA101*AA113)*(Z103/Z112)</f>
        <v>782.9547090566482</v>
      </c>
      <c r="AB103" s="191"/>
      <c r="AC103" s="190">
        <f>+(AC101*AC113)*(AA103/AA112)</f>
        <v>806.22185732967807</v>
      </c>
      <c r="AD103" s="190">
        <f>+(AD101*AD113)*(AC103/AC112)</f>
        <v>616.79662625728156</v>
      </c>
      <c r="AE103" s="190">
        <f>+(AE101*AE113)*(AD103/AD112)</f>
        <v>680.88245696225192</v>
      </c>
      <c r="AF103" s="190">
        <f>+(AF101*AF113)*(AE103/AE112)</f>
        <v>842.78008042811916</v>
      </c>
      <c r="AG103" s="191"/>
      <c r="AH103" s="190">
        <f>+(AH101*AH113)*(AF103/AF112)</f>
        <v>870.05741023109385</v>
      </c>
      <c r="AI103" s="190">
        <f>+(AI101*AI113)*(AH103/AH112)</f>
        <v>664.94596636877748</v>
      </c>
      <c r="AJ103" s="190">
        <f>+(AJ101*AJ113)*(AI103/AI112)</f>
        <v>736.41278209161976</v>
      </c>
      <c r="AK103" s="190">
        <f>+(AK101*AK113)*(AJ103/AJ112)</f>
        <v>914.99287566190867</v>
      </c>
      <c r="AL103" s="191"/>
    </row>
    <row r="104" spans="1:38" outlineLevel="1">
      <c r="A104" s="297"/>
      <c r="B104" s="51" t="s">
        <v>159</v>
      </c>
      <c r="C104" s="40"/>
      <c r="D104" s="304">
        <v>31.3</v>
      </c>
      <c r="E104" s="304">
        <v>26.3</v>
      </c>
      <c r="F104" s="304">
        <v>26.7</v>
      </c>
      <c r="G104" s="304">
        <v>31.9</v>
      </c>
      <c r="H104" s="317"/>
      <c r="I104" s="304">
        <v>35.9</v>
      </c>
      <c r="J104" s="304">
        <v>31.8</v>
      </c>
      <c r="K104" s="304">
        <v>37.5</v>
      </c>
      <c r="L104" s="190">
        <f>+(L101*L113)*(K104/K112)</f>
        <v>45.836648676547277</v>
      </c>
      <c r="M104" s="191"/>
      <c r="N104" s="190">
        <f>+(N101*N113)*(L104/L112)</f>
        <v>47.308776719235595</v>
      </c>
      <c r="O104" s="190">
        <f>+(O101*O113)*(N104/N112)</f>
        <v>36.09344256194651</v>
      </c>
      <c r="P104" s="190">
        <f>+(P101*P113)*(O104/O112)</f>
        <v>40.851214343416231</v>
      </c>
      <c r="Q104" s="190">
        <f>+(Q101*Q113)*(P104/P112)</f>
        <v>53.694045579506579</v>
      </c>
      <c r="R104" s="191"/>
      <c r="S104" s="190">
        <f>+(S101*S113)*(Q104/Q112)</f>
        <v>55.581913254308468</v>
      </c>
      <c r="T104" s="190">
        <f>+(T101*T113)*(S104/S112)</f>
        <v>42.403271966117039</v>
      </c>
      <c r="U104" s="190">
        <f>+(U101*U113)*(T104/T112)</f>
        <v>46.163240494473648</v>
      </c>
      <c r="V104" s="190">
        <f>+(V101*V113)*(U104/U112)</f>
        <v>57.052649375345908</v>
      </c>
      <c r="W104" s="191"/>
      <c r="X104" s="190">
        <f>+(X101*X113)*(V104/V112)</f>
        <v>58.064369303403318</v>
      </c>
      <c r="Y104" s="190">
        <f>+(Y101*Y113)*(X104/X112)</f>
        <v>44.563660167921938</v>
      </c>
      <c r="Z104" s="190">
        <f>+(Z101*Z113)*(Y104/Y112)</f>
        <v>49.140961439081003</v>
      </c>
      <c r="AA104" s="190">
        <f>+(AA101*AA113)*(Z104/Z112)</f>
        <v>60.738108377377579</v>
      </c>
      <c r="AB104" s="191"/>
      <c r="AC104" s="190">
        <f>+(AC101*AC113)*(AA104/AA112)</f>
        <v>62.543069197068561</v>
      </c>
      <c r="AD104" s="190">
        <f>+(AD101*AD113)*(AC104/AC112)</f>
        <v>47.848310890873123</v>
      </c>
      <c r="AE104" s="190">
        <f>+(AE101*AE113)*(AD104/AD112)</f>
        <v>52.819801688217737</v>
      </c>
      <c r="AF104" s="190">
        <f>+(AF101*AF113)*(AE104/AE112)</f>
        <v>65.379091882611661</v>
      </c>
      <c r="AG104" s="191"/>
      <c r="AH104" s="190">
        <f>+(AH101*AH113)*(AF104/AF112)</f>
        <v>67.495144566954963</v>
      </c>
      <c r="AI104" s="190">
        <f>+(AI101*AI113)*(AH104/AH112)</f>
        <v>51.583520353390902</v>
      </c>
      <c r="AJ104" s="190">
        <f>+(AJ101*AJ113)*(AI104/AI112)</f>
        <v>57.127594804376805</v>
      </c>
      <c r="AK104" s="190">
        <f>+(AK101*AK113)*(AJ104/AJ112)</f>
        <v>70.981036072241594</v>
      </c>
      <c r="AL104" s="191"/>
    </row>
    <row r="105" spans="1:38" outlineLevel="1">
      <c r="A105" s="297"/>
      <c r="B105" s="51" t="s">
        <v>160</v>
      </c>
      <c r="C105" s="40"/>
      <c r="D105" s="332">
        <v>127</v>
      </c>
      <c r="E105" s="332">
        <v>130.4</v>
      </c>
      <c r="F105" s="332">
        <v>127.7</v>
      </c>
      <c r="G105" s="332">
        <v>126.5</v>
      </c>
      <c r="H105" s="380"/>
      <c r="I105" s="332">
        <v>126.6</v>
      </c>
      <c r="J105" s="332">
        <v>130</v>
      </c>
      <c r="K105" s="332">
        <v>128.5</v>
      </c>
      <c r="L105" s="227">
        <f>(K105/(K72+K105+K119+K133))*L242</f>
        <v>131.16796993891367</v>
      </c>
      <c r="M105" s="18"/>
      <c r="N105" s="227">
        <f>(L105/(L72+L105+L119+L133))*N242</f>
        <v>131.38143531930305</v>
      </c>
      <c r="O105" s="227">
        <f>(N105/(N72+N105+N119+N133))*O242</f>
        <v>132.63553232190625</v>
      </c>
      <c r="P105" s="227">
        <f>(O105/(O72+O105+O119+O133))*P242</f>
        <v>131.83314959066198</v>
      </c>
      <c r="Q105" s="227">
        <f>(P105/(P72+P105+P119+P133))*Q242</f>
        <v>131.27462646230842</v>
      </c>
      <c r="R105" s="18"/>
      <c r="S105" s="227">
        <f>(Q105/(Q72+Q105+Q119+Q133))*S242</f>
        <v>133.42112475531374</v>
      </c>
      <c r="T105" s="227">
        <f>(S105/(S72+S105+S119+S133))*T242</f>
        <v>135.31294435497963</v>
      </c>
      <c r="U105" s="227">
        <f>(T105/(T72+T105+T119+T133))*U242</f>
        <v>134.74024026515627</v>
      </c>
      <c r="V105" s="227">
        <f>(U105/(U72+U105+U119+U133))*V242</f>
        <v>134.50154440139556</v>
      </c>
      <c r="W105" s="18"/>
      <c r="X105" s="227">
        <f>(V105/(V72+V105+V119+V133))*X242</f>
        <v>136.61131574996222</v>
      </c>
      <c r="Y105" s="227">
        <f>(X105/(X72+X105+X119+X133))*Y242</f>
        <v>137.19248244644231</v>
      </c>
      <c r="Z105" s="227">
        <f>(Y105/(Y72+Y105+Y119+Y133))*Z242</f>
        <v>135.65409048708153</v>
      </c>
      <c r="AA105" s="227">
        <f>(Z105/(Z72+Z105+Z119+Z133))*AA242</f>
        <v>134.4747986280673</v>
      </c>
      <c r="AB105" s="18"/>
      <c r="AC105" s="227">
        <f>(AA105/(AA72+AA105+AA119+AA133))*AC242</f>
        <v>135.25870609382469</v>
      </c>
      <c r="AD105" s="227">
        <f>(AC105/(AC72+AC105+AC119+AC133))*AD242</f>
        <v>136.51586014905317</v>
      </c>
      <c r="AE105" s="227">
        <f>(AD105/(AD72+AD105+AD119+AD133))*AE242</f>
        <v>135.40019507287298</v>
      </c>
      <c r="AF105" s="227">
        <f>(AE105/(AE72+AE105+AE119+AE133))*AF242</f>
        <v>134.64135992300865</v>
      </c>
      <c r="AG105" s="18"/>
      <c r="AH105" s="227">
        <f>(AF105/(AF72+AF105+AF119+AF133))*AH242</f>
        <v>135.8933914186118</v>
      </c>
      <c r="AI105" s="227">
        <f>(AH105/(AH72+AH105+AH119+AH133))*AI242</f>
        <v>137.75754838224228</v>
      </c>
      <c r="AJ105" s="227">
        <f>(AI105/(AI72+AI105+AI119+AI133))*AJ242</f>
        <v>137.00600158966782</v>
      </c>
      <c r="AK105" s="227">
        <f>(AJ105/(AJ72+AJ105+AJ119+AJ133))*AK242</f>
        <v>136.6191958331882</v>
      </c>
      <c r="AL105" s="18"/>
    </row>
    <row r="106" spans="1:38" outlineLevel="1">
      <c r="A106" s="297"/>
      <c r="B106" s="51" t="s">
        <v>161</v>
      </c>
      <c r="C106" s="40"/>
      <c r="D106" s="304">
        <v>69.3</v>
      </c>
      <c r="E106" s="304">
        <v>80.2</v>
      </c>
      <c r="F106" s="304">
        <v>86</v>
      </c>
      <c r="G106" s="304">
        <v>82.4</v>
      </c>
      <c r="H106" s="317"/>
      <c r="I106" s="304">
        <v>67.2</v>
      </c>
      <c r="J106" s="304">
        <v>63.7</v>
      </c>
      <c r="K106" s="304">
        <v>66.099999999999994</v>
      </c>
      <c r="L106" s="190">
        <f t="shared" ref="L106" si="445">+(L101*L113)*(K106/K112)</f>
        <v>80.794732733860656</v>
      </c>
      <c r="M106" s="191"/>
      <c r="N106" s="190">
        <f>+(N101*N113)*(L106/L112)</f>
        <v>83.389603763772598</v>
      </c>
      <c r="O106" s="190">
        <f>+(O101*O113)*(N106/N112)</f>
        <v>63.620708089191041</v>
      </c>
      <c r="P106" s="190">
        <f t="shared" ref="P106:Q106" si="446">+(P101*P113)*(O106/O112)</f>
        <v>72.007073815995</v>
      </c>
      <c r="Q106" s="190">
        <f t="shared" si="446"/>
        <v>94.64470434147691</v>
      </c>
      <c r="R106" s="191"/>
      <c r="S106" s="190">
        <f>+(S101*S113)*(Q106/Q112)</f>
        <v>97.972385762927701</v>
      </c>
      <c r="T106" s="190">
        <f>+(T101*T113)*(S106/S112)</f>
        <v>74.742834052275626</v>
      </c>
      <c r="U106" s="190">
        <f t="shared" ref="U106:V106" si="447">+(U101*U113)*(T106/T112)</f>
        <v>81.370405244925522</v>
      </c>
      <c r="V106" s="190">
        <f t="shared" si="447"/>
        <v>100.56480329894302</v>
      </c>
      <c r="W106" s="191"/>
      <c r="X106" s="190">
        <f>+(X101*X113)*(V106/V112)</f>
        <v>102.34812829213222</v>
      </c>
      <c r="Y106" s="190">
        <f>+(Y101*Y113)*(X106/X112)</f>
        <v>78.550878322657042</v>
      </c>
      <c r="Z106" s="190">
        <f t="shared" ref="Z106:AA106" si="448">+(Z101*Z113)*(Y106/Y112)</f>
        <v>86.61913469662008</v>
      </c>
      <c r="AA106" s="190">
        <f t="shared" si="448"/>
        <v>107.06103903319084</v>
      </c>
      <c r="AB106" s="191"/>
      <c r="AC106" s="190">
        <f>+(AC101*AC113)*(AA106/AA112)</f>
        <v>110.24258330469947</v>
      </c>
      <c r="AD106" s="190">
        <f>+(AD101*AD113)*(AC106/AC112)</f>
        <v>84.340622663645647</v>
      </c>
      <c r="AE106" s="190">
        <f t="shared" ref="AE106" si="449">+(AE101*AE113)*(AD106/AD112)</f>
        <v>93.103703775765098</v>
      </c>
      <c r="AF106" s="190">
        <f t="shared" ref="AF106" si="450">+(AF101*AF113)*(AE106/AE112)</f>
        <v>115.24154595841678</v>
      </c>
      <c r="AG106" s="191"/>
      <c r="AH106" s="190">
        <f>+(AH101*AH113)*(AF106/AF112)</f>
        <v>118.97144149001923</v>
      </c>
      <c r="AI106" s="190">
        <f>+(AI101*AI113)*(AH106/AH112)</f>
        <v>90.924551876243655</v>
      </c>
      <c r="AJ106" s="190">
        <f t="shared" ref="AJ106" si="451">+(AJ101*AJ113)*(AI106/AI112)</f>
        <v>100.69690710851481</v>
      </c>
      <c r="AK106" s="190">
        <f t="shared" ref="AK106" si="452">+(AK101*AK113)*(AJ106/AJ112)</f>
        <v>125.11590625000446</v>
      </c>
      <c r="AL106" s="191"/>
    </row>
    <row r="107" spans="1:38" ht="17.25" outlineLevel="1">
      <c r="A107" s="297"/>
      <c r="B107" s="51" t="s">
        <v>169</v>
      </c>
      <c r="C107" s="40"/>
      <c r="D107" s="333">
        <v>6.4</v>
      </c>
      <c r="E107" s="333">
        <v>24.2</v>
      </c>
      <c r="F107" s="333">
        <v>16.600000000000001</v>
      </c>
      <c r="G107" s="333">
        <v>12</v>
      </c>
      <c r="H107" s="381"/>
      <c r="I107" s="333">
        <v>0.8</v>
      </c>
      <c r="J107" s="333">
        <v>-1.2</v>
      </c>
      <c r="K107" s="333">
        <v>-0.2</v>
      </c>
      <c r="L107" s="228">
        <f>+(L101*L113)*(K107/K112)</f>
        <v>-0.24446212627491881</v>
      </c>
      <c r="M107" s="238"/>
      <c r="N107" s="228">
        <f>+(N101*N113)*(L107/L112)</f>
        <v>-0.25231347583592317</v>
      </c>
      <c r="O107" s="228">
        <f>+(O101*O113)*(N107/N112)</f>
        <v>-0.19249836033038137</v>
      </c>
      <c r="P107" s="228">
        <f t="shared" ref="P107" si="453">+(P101*P113)*(O107/O112)</f>
        <v>-0.21787314316488654</v>
      </c>
      <c r="Q107" s="228">
        <f>+(Q101*Q113)*(P107/P112)</f>
        <v>-0.28636824309070169</v>
      </c>
      <c r="R107" s="238"/>
      <c r="S107" s="228">
        <f>+(S101*S113)*(Q107/Q112)</f>
        <v>-0.29643687068964514</v>
      </c>
      <c r="T107" s="228">
        <f>+(T101*T113)*(S107/S112)</f>
        <v>-0.22615078381929088</v>
      </c>
      <c r="U107" s="228">
        <f t="shared" ref="U107" si="454">+(U101*U113)*(T107/T112)</f>
        <v>-0.24620394930385942</v>
      </c>
      <c r="V107" s="228">
        <f>+(V101*V113)*(U107/U112)</f>
        <v>-0.30428079666851143</v>
      </c>
      <c r="W107" s="238"/>
      <c r="X107" s="228">
        <f>+(X101*X113)*(V107/V112)</f>
        <v>-0.30967663628481762</v>
      </c>
      <c r="Y107" s="228">
        <f>+(Y101*Y113)*(X107/X112)</f>
        <v>-0.23767285422891696</v>
      </c>
      <c r="Z107" s="228">
        <f t="shared" ref="Z107" si="455">+(Z101*Z113)*(Y107/Y112)</f>
        <v>-0.26208512767509862</v>
      </c>
      <c r="AA107" s="228">
        <f>+(AA101*AA113)*(Z107/Z112)</f>
        <v>-0.32393657801268039</v>
      </c>
      <c r="AB107" s="238"/>
      <c r="AC107" s="228">
        <f>+(AC101*AC113)*(AA107/AA112)</f>
        <v>-0.33356303571769896</v>
      </c>
      <c r="AD107" s="228">
        <f>+(AD101*AD113)*(AC107/AC112)</f>
        <v>-0.25519099141798995</v>
      </c>
      <c r="AE107" s="228">
        <f t="shared" ref="AE107" si="456">+(AE101*AE113)*(AD107/AD112)</f>
        <v>-0.28170560900382791</v>
      </c>
      <c r="AF107" s="228">
        <f>+(AF101*AF113)*(AE107/AE112)</f>
        <v>-0.34868849004059549</v>
      </c>
      <c r="AG107" s="238"/>
      <c r="AH107" s="228">
        <f>+(AH101*AH113)*(AF107/AF112)</f>
        <v>-0.35997410435709315</v>
      </c>
      <c r="AI107" s="228">
        <f>+(AI101*AI113)*(AH107/AH112)</f>
        <v>-0.27511210855141816</v>
      </c>
      <c r="AJ107" s="228">
        <f t="shared" ref="AJ107" si="457">+(AJ101*AJ113)*(AI107/AI112)</f>
        <v>-0.30468050562334298</v>
      </c>
      <c r="AK107" s="228">
        <f>+(AK101*AK113)*(AJ107/AJ112)</f>
        <v>-0.37856552571862184</v>
      </c>
      <c r="AL107" s="238"/>
    </row>
    <row r="108" spans="1:38" outlineLevel="1">
      <c r="A108" s="297"/>
      <c r="B108" s="188" t="s">
        <v>339</v>
      </c>
      <c r="C108" s="43"/>
      <c r="D108" s="302">
        <f t="shared" ref="D108:E108" si="458">SUM(D102:D107)</f>
        <v>1300.4000000000001</v>
      </c>
      <c r="E108" s="302">
        <f t="shared" si="458"/>
        <v>1349.7</v>
      </c>
      <c r="F108" s="302">
        <f t="shared" ref="F108" si="459">SUM(F102:F107)</f>
        <v>1342.3000000000002</v>
      </c>
      <c r="G108" s="302">
        <f t="shared" ref="G108" si="460">SUM(G102:G107)</f>
        <v>1336.2000000000003</v>
      </c>
      <c r="H108" s="380"/>
      <c r="I108" s="302">
        <f t="shared" ref="I108" si="461">SUM(I102:I107)</f>
        <v>1326.1</v>
      </c>
      <c r="J108" s="302">
        <f t="shared" ref="J108" si="462">SUM(J102:J107)</f>
        <v>1174.8</v>
      </c>
      <c r="K108" s="302">
        <f t="shared" ref="K108" si="463">SUM(K102:K107)</f>
        <v>1052.9999999999998</v>
      </c>
      <c r="L108" s="192">
        <f t="shared" ref="L108" si="464">SUM(L102:L107)</f>
        <v>1261.1941486447261</v>
      </c>
      <c r="M108" s="18"/>
      <c r="N108" s="192">
        <f t="shared" ref="N108" si="465">SUM(N102:N107)</f>
        <v>1297.7004773708577</v>
      </c>
      <c r="O108" s="192">
        <f t="shared" ref="O108" si="466">SUM(O102:O107)</f>
        <v>1022.4592029490939</v>
      </c>
      <c r="P108" s="192">
        <f t="shared" ref="P108" si="467">SUM(P102:P107)</f>
        <v>1138.9517538703499</v>
      </c>
      <c r="Q108" s="192">
        <f t="shared" ref="Q108" si="468">SUM(Q102:Q107)</f>
        <v>1455.0118301490768</v>
      </c>
      <c r="R108" s="18"/>
      <c r="S108" s="192">
        <f t="shared" ref="S108" si="469">SUM(S102:S107)</f>
        <v>1503.7005595181981</v>
      </c>
      <c r="T108" s="192">
        <f t="shared" ref="T108" si="470">SUM(T102:T107)</f>
        <v>1180.6949425596515</v>
      </c>
      <c r="U108" s="192">
        <f t="shared" ref="U108" si="471">SUM(U102:U107)</f>
        <v>1272.8179959222459</v>
      </c>
      <c r="V108" s="192">
        <f t="shared" ref="V108" si="472">SUM(V102:V107)</f>
        <v>1541.0395270015892</v>
      </c>
      <c r="W108" s="18"/>
      <c r="X108" s="192">
        <f t="shared" ref="X108" si="473">SUM(X102:X107)</f>
        <v>1568.0915669765313</v>
      </c>
      <c r="Y108" s="192">
        <f t="shared" ref="Y108" si="474">SUM(Y102:Y107)</f>
        <v>1235.8352511196106</v>
      </c>
      <c r="Z108" s="192">
        <f t="shared" ref="Z108" si="475">SUM(Z102:Z107)</f>
        <v>1347.1425931652243</v>
      </c>
      <c r="AA108" s="192">
        <f t="shared" ref="AA108" si="476">SUM(AA102:AA107)</f>
        <v>1631.8716304916816</v>
      </c>
      <c r="AB108" s="18"/>
      <c r="AC108" s="192">
        <f t="shared" ref="AC108:AF108" si="477">SUM(AC102:AC107)</f>
        <v>1677.1538386988877</v>
      </c>
      <c r="AD108" s="192">
        <f t="shared" si="477"/>
        <v>1316.1362179787116</v>
      </c>
      <c r="AE108" s="192">
        <f t="shared" si="477"/>
        <v>1437.5843726930671</v>
      </c>
      <c r="AF108" s="192">
        <f t="shared" si="477"/>
        <v>1746.453905135661</v>
      </c>
      <c r="AG108" s="18"/>
      <c r="AH108" s="192">
        <f t="shared" ref="AH108:AK108" si="478">SUM(AH102:AH107)</f>
        <v>1799.8736888092742</v>
      </c>
      <c r="AI108" s="192">
        <f t="shared" si="478"/>
        <v>1409.4632701611722</v>
      </c>
      <c r="AJ108" s="192">
        <f t="shared" si="478"/>
        <v>1545.3916388335704</v>
      </c>
      <c r="AK108" s="192">
        <f t="shared" si="478"/>
        <v>1886.538338467517</v>
      </c>
      <c r="AL108" s="18"/>
    </row>
    <row r="109" spans="1:38" ht="17.25" outlineLevel="1">
      <c r="A109" s="297"/>
      <c r="B109" s="51" t="s">
        <v>162</v>
      </c>
      <c r="C109" s="40"/>
      <c r="D109" s="333">
        <v>26.4</v>
      </c>
      <c r="E109" s="303">
        <v>22.1</v>
      </c>
      <c r="F109" s="303">
        <v>27.2</v>
      </c>
      <c r="G109" s="303">
        <v>26.8</v>
      </c>
      <c r="H109" s="377"/>
      <c r="I109" s="303">
        <v>30.9</v>
      </c>
      <c r="J109" s="303">
        <v>24.8</v>
      </c>
      <c r="K109" s="303">
        <v>17.399999999999999</v>
      </c>
      <c r="L109" s="198">
        <f>AVERAGE(K109,J109,I109,G109)</f>
        <v>24.974999999999998</v>
      </c>
      <c r="M109" s="164"/>
      <c r="N109" s="198">
        <f>AVERAGE(L109,K109,J109,I109)</f>
        <v>24.518749999999997</v>
      </c>
      <c r="O109" s="198">
        <f>AVERAGE(N109,L109,K109,J109)</f>
        <v>22.923437499999995</v>
      </c>
      <c r="P109" s="198">
        <f>AVERAGE(O109,N109,L109,K109)</f>
        <v>22.454296874999997</v>
      </c>
      <c r="Q109" s="198">
        <f>AVERAGE(P109,O109,N109,L109)</f>
        <v>23.717871093749995</v>
      </c>
      <c r="R109" s="164"/>
      <c r="S109" s="198">
        <f>AVERAGE(Q109,P109,O109,N109)</f>
        <v>23.403588867187494</v>
      </c>
      <c r="T109" s="198">
        <f>AVERAGE(S109,Q109,P109,O109)</f>
        <v>23.124798583984369</v>
      </c>
      <c r="U109" s="198">
        <f>AVERAGE(T109,S109,Q109,P109)</f>
        <v>23.175138854980464</v>
      </c>
      <c r="V109" s="198">
        <f>AVERAGE(U109,T109,S109,Q109)</f>
        <v>23.35534934997558</v>
      </c>
      <c r="W109" s="164"/>
      <c r="X109" s="198">
        <f>AVERAGE(V109,U109,T109,S109)</f>
        <v>23.264718914031977</v>
      </c>
      <c r="Y109" s="198">
        <f>AVERAGE(X109,V109,U109,T109)</f>
        <v>23.230001425743097</v>
      </c>
      <c r="Z109" s="198">
        <f>AVERAGE(Y109,X109,V109,U109)</f>
        <v>23.256302136182779</v>
      </c>
      <c r="AA109" s="198">
        <f>AVERAGE(Z109,Y109,X109,V109)</f>
        <v>23.276592956483359</v>
      </c>
      <c r="AB109" s="164"/>
      <c r="AC109" s="198">
        <f>AVERAGE(AA109,Z109,Y109,X109)</f>
        <v>23.256903858110302</v>
      </c>
      <c r="AD109" s="198">
        <f>AVERAGE(AC109,AA109,Z109,Y109)</f>
        <v>23.254950094129885</v>
      </c>
      <c r="AE109" s="198">
        <f>AVERAGE(AD109,AC109,AA109,Z109)</f>
        <v>23.261187261226581</v>
      </c>
      <c r="AF109" s="198">
        <f>AVERAGE(AE109,AD109,AC109,AA109)</f>
        <v>23.262408542487531</v>
      </c>
      <c r="AG109" s="164"/>
      <c r="AH109" s="198">
        <f>AVERAGE(AF109,AE109,AD109,AC109)</f>
        <v>23.258862438988576</v>
      </c>
      <c r="AI109" s="198">
        <f>AVERAGE(AH109,AF109,AE109,AD109)</f>
        <v>23.259352084208142</v>
      </c>
      <c r="AJ109" s="198">
        <f>AVERAGE(AI109,AH109,AF109,AE109)</f>
        <v>23.260452581727709</v>
      </c>
      <c r="AK109" s="198">
        <f>AVERAGE(AJ109,AI109,AH109,AF109)</f>
        <v>23.26026891185299</v>
      </c>
      <c r="AL109" s="164"/>
    </row>
    <row r="110" spans="1:38" outlineLevel="1">
      <c r="A110" s="297"/>
      <c r="B110" s="188" t="s">
        <v>340</v>
      </c>
      <c r="C110" s="163"/>
      <c r="D110" s="445">
        <f t="shared" ref="D110:AA110" si="479">+D101-D108+D109</f>
        <v>229.99999999999991</v>
      </c>
      <c r="E110" s="445">
        <f t="shared" si="479"/>
        <v>201.80000000000004</v>
      </c>
      <c r="F110" s="445">
        <f t="shared" si="479"/>
        <v>270.19999999999976</v>
      </c>
      <c r="G110" s="445">
        <f t="shared" si="479"/>
        <v>262.69999999999987</v>
      </c>
      <c r="H110" s="382">
        <f>SUM(D110:G110)</f>
        <v>964.69999999999959</v>
      </c>
      <c r="I110" s="445">
        <f t="shared" si="479"/>
        <v>275.89999999999998</v>
      </c>
      <c r="J110" s="445">
        <f t="shared" si="479"/>
        <v>-15.400000000000045</v>
      </c>
      <c r="K110" s="445">
        <f>+K101-K108+K109</f>
        <v>-85.999999999999744</v>
      </c>
      <c r="L110" s="229">
        <f t="shared" si="479"/>
        <v>109.0501117193356</v>
      </c>
      <c r="M110" s="269">
        <f>SUM(I110:L110)</f>
        <v>283.5501117193358</v>
      </c>
      <c r="N110" s="229">
        <f t="shared" si="479"/>
        <v>222.09909577216155</v>
      </c>
      <c r="O110" s="229">
        <f t="shared" si="479"/>
        <v>157.58214173840625</v>
      </c>
      <c r="P110" s="229">
        <f t="shared" si="479"/>
        <v>193.14962269215044</v>
      </c>
      <c r="Q110" s="229">
        <f t="shared" si="479"/>
        <v>290.08081817063987</v>
      </c>
      <c r="R110" s="269">
        <f>SUM(N110:Q110)</f>
        <v>862.91167837335809</v>
      </c>
      <c r="S110" s="229">
        <f t="shared" si="479"/>
        <v>276.47153545525146</v>
      </c>
      <c r="T110" s="229">
        <f t="shared" si="479"/>
        <v>165.69820818214524</v>
      </c>
      <c r="U110" s="229">
        <f t="shared" si="479"/>
        <v>228.3802022276565</v>
      </c>
      <c r="V110" s="229">
        <f t="shared" si="479"/>
        <v>333.02369419074631</v>
      </c>
      <c r="W110" s="269">
        <f>SUM(S110:V110)</f>
        <v>1003.5736400557994</v>
      </c>
      <c r="X110" s="229">
        <f t="shared" si="479"/>
        <v>338.6997982882491</v>
      </c>
      <c r="Y110" s="229">
        <f t="shared" si="479"/>
        <v>195.91112039993808</v>
      </c>
      <c r="Z110" s="229">
        <f t="shared" si="479"/>
        <v>249.47540076075464</v>
      </c>
      <c r="AA110" s="229">
        <f t="shared" si="479"/>
        <v>361.66395175903119</v>
      </c>
      <c r="AB110" s="269">
        <f>SUM(X110:AA110)</f>
        <v>1145.7502712079731</v>
      </c>
      <c r="AC110" s="229">
        <f t="shared" ref="AC110:AF110" si="480">+AC101-AC108+AC109</f>
        <v>374.91245016588374</v>
      </c>
      <c r="AD110" s="229">
        <f t="shared" si="480"/>
        <v>219.4525242047238</v>
      </c>
      <c r="AE110" s="229">
        <f t="shared" si="480"/>
        <v>276.82509719178836</v>
      </c>
      <c r="AF110" s="229">
        <f t="shared" si="480"/>
        <v>397.61448394978999</v>
      </c>
      <c r="AG110" s="269">
        <f>SUM(AC110:AF110)</f>
        <v>1268.804555512186</v>
      </c>
      <c r="AH110" s="229">
        <f t="shared" ref="AH110:AK110" si="481">+AH101-AH108+AH109</f>
        <v>412.83293335427027</v>
      </c>
      <c r="AI110" s="229">
        <f t="shared" si="481"/>
        <v>244.18803292166379</v>
      </c>
      <c r="AJ110" s="229">
        <f t="shared" si="481"/>
        <v>306.9410699090696</v>
      </c>
      <c r="AK110" s="229">
        <f t="shared" si="481"/>
        <v>439.24711812108444</v>
      </c>
      <c r="AL110" s="269">
        <f>SUM(AH110:AK110)</f>
        <v>1403.2091543060881</v>
      </c>
    </row>
    <row r="111" spans="1:38" outlineLevel="1">
      <c r="A111" s="297"/>
      <c r="B111" s="188" t="s">
        <v>341</v>
      </c>
      <c r="C111" s="163"/>
      <c r="D111" s="446">
        <f t="shared" ref="D111" si="482">+D110/D101</f>
        <v>0.15292553191489355</v>
      </c>
      <c r="E111" s="446">
        <f t="shared" ref="E111" si="483">+E110/E101</f>
        <v>0.1319471688243756</v>
      </c>
      <c r="F111" s="446">
        <f t="shared" ref="F111" si="484">+F110/F101</f>
        <v>0.17044092600769556</v>
      </c>
      <c r="G111" s="446">
        <f t="shared" ref="G111" si="485">+G110/G101</f>
        <v>0.16710132943196987</v>
      </c>
      <c r="H111" s="383">
        <f>H110/H101</f>
        <v>0.15582800284292814</v>
      </c>
      <c r="I111" s="446">
        <f t="shared" ref="I111" si="486">+I110/I101</f>
        <v>0.17560944561135511</v>
      </c>
      <c r="J111" s="446">
        <f t="shared" ref="J111" si="487">+J110/J101</f>
        <v>-1.3573065397496956E-2</v>
      </c>
      <c r="K111" s="446">
        <f t="shared" ref="K111" si="488">+K110/K101</f>
        <v>-9.0564448188710761E-2</v>
      </c>
      <c r="L111" s="230">
        <f t="shared" ref="L111" si="489">+L110/L101</f>
        <v>8.1061921900916753E-2</v>
      </c>
      <c r="M111" s="270">
        <f>M110/M101</f>
        <v>5.6703566525282405E-2</v>
      </c>
      <c r="N111" s="230">
        <f t="shared" ref="N111" si="490">+N110/N101</f>
        <v>0.14853336733451736</v>
      </c>
      <c r="O111" s="230">
        <f t="shared" ref="O111" si="491">+O110/O101</f>
        <v>0.13618503417808703</v>
      </c>
      <c r="P111" s="230">
        <f t="shared" ref="P111" si="492">+P110/P101</f>
        <v>0.1474821924836717</v>
      </c>
      <c r="Q111" s="230">
        <f t="shared" ref="Q111" si="493">+Q110/Q101</f>
        <v>0.16851694471677545</v>
      </c>
      <c r="R111" s="270">
        <f>R110/R101</f>
        <v>0.15182963589041765</v>
      </c>
      <c r="S111" s="230">
        <f t="shared" ref="S111" si="494">+S110/S101</f>
        <v>0.15737505225889362</v>
      </c>
      <c r="T111" s="230">
        <f t="shared" ref="T111" si="495">+T110/T101</f>
        <v>0.12521890054420659</v>
      </c>
      <c r="U111" s="230">
        <f t="shared" ref="U111" si="496">+U110/U101</f>
        <v>0.15451734720336724</v>
      </c>
      <c r="V111" s="230">
        <f t="shared" ref="V111" si="497">+V110/V101</f>
        <v>0.17994395509823211</v>
      </c>
      <c r="W111" s="270">
        <f>W110/W101</f>
        <v>0.15659385283322044</v>
      </c>
      <c r="X111" s="230">
        <f t="shared" ref="X111" si="498">+X110/X101</f>
        <v>0.17982214318255882</v>
      </c>
      <c r="Y111" s="230">
        <f t="shared" ref="Y111" si="499">+Y110/Y101</f>
        <v>0.13909041070420122</v>
      </c>
      <c r="Z111" s="230">
        <f t="shared" ref="Z111" si="500">+Z110/Z101</f>
        <v>0.15856201537293116</v>
      </c>
      <c r="AA111" s="230">
        <f t="shared" ref="AA111" si="501">+AA110/AA101</f>
        <v>0.18356163008223786</v>
      </c>
      <c r="AB111" s="270">
        <f>AB110/AB101</f>
        <v>0.16761361031002983</v>
      </c>
      <c r="AC111" s="230">
        <f t="shared" ref="AC111:AF111" si="502">+AC110/AC101</f>
        <v>0.18479431973085672</v>
      </c>
      <c r="AD111" s="230">
        <f t="shared" si="502"/>
        <v>0.14510852389375481</v>
      </c>
      <c r="AE111" s="230">
        <f t="shared" si="502"/>
        <v>0.16369061189733461</v>
      </c>
      <c r="AF111" s="230">
        <f t="shared" si="502"/>
        <v>0.1874827247742831</v>
      </c>
      <c r="AG111" s="270">
        <f>AG110/AG101</f>
        <v>0.17255375245875706</v>
      </c>
      <c r="AH111" s="230">
        <f t="shared" ref="AH111:AK111" si="503">+AH110/AH101</f>
        <v>0.1885557358108452</v>
      </c>
      <c r="AI111" s="230">
        <f t="shared" si="503"/>
        <v>0.14977259472613116</v>
      </c>
      <c r="AJ111" s="230">
        <f t="shared" si="503"/>
        <v>0.16781243544381141</v>
      </c>
      <c r="AK111" s="230">
        <f t="shared" si="503"/>
        <v>0.19076756270548575</v>
      </c>
      <c r="AL111" s="270">
        <f>AL110/AL101</f>
        <v>0.17647239449050098</v>
      </c>
    </row>
    <row r="112" spans="1:38" s="231" customFormat="1" outlineLevel="1">
      <c r="A112" s="313"/>
      <c r="B112" s="234" t="s">
        <v>190</v>
      </c>
      <c r="C112" s="232"/>
      <c r="D112" s="210">
        <f t="shared" ref="D112:G112" si="504">+D108-D105</f>
        <v>1173.4000000000001</v>
      </c>
      <c r="E112" s="210">
        <f t="shared" si="504"/>
        <v>1219.3</v>
      </c>
      <c r="F112" s="210">
        <f t="shared" si="504"/>
        <v>1214.6000000000001</v>
      </c>
      <c r="G112" s="210">
        <f t="shared" si="504"/>
        <v>1209.7000000000003</v>
      </c>
      <c r="H112" s="212"/>
      <c r="I112" s="210">
        <f t="shared" ref="I112:L112" si="505">+I108-I105</f>
        <v>1199.5</v>
      </c>
      <c r="J112" s="210">
        <f t="shared" si="505"/>
        <v>1044.8</v>
      </c>
      <c r="K112" s="210">
        <f t="shared" si="505"/>
        <v>924.49999999999977</v>
      </c>
      <c r="L112" s="210">
        <f t="shared" si="505"/>
        <v>1130.0261787058123</v>
      </c>
      <c r="M112" s="233"/>
      <c r="N112" s="210">
        <f t="shared" ref="N112:Q112" si="506">+N108-N105</f>
        <v>1166.3190420515546</v>
      </c>
      <c r="O112" s="210">
        <f t="shared" si="506"/>
        <v>889.82367062718765</v>
      </c>
      <c r="P112" s="210">
        <f t="shared" si="506"/>
        <v>1007.1186042796879</v>
      </c>
      <c r="Q112" s="210">
        <f t="shared" si="506"/>
        <v>1323.7372036867685</v>
      </c>
      <c r="R112" s="233"/>
      <c r="S112" s="210">
        <f t="shared" ref="S112:V112" si="507">+S108-S105</f>
        <v>1370.2794347628844</v>
      </c>
      <c r="T112" s="210">
        <f t="shared" si="507"/>
        <v>1045.3819982046718</v>
      </c>
      <c r="U112" s="210">
        <f t="shared" si="507"/>
        <v>1138.0777556570897</v>
      </c>
      <c r="V112" s="210">
        <f t="shared" si="507"/>
        <v>1406.5379826001936</v>
      </c>
      <c r="W112" s="233"/>
      <c r="X112" s="210">
        <f t="shared" ref="X112:AA112" si="508">+X108-X105</f>
        <v>1431.4802512265692</v>
      </c>
      <c r="Y112" s="210">
        <f t="shared" si="508"/>
        <v>1098.6427686731683</v>
      </c>
      <c r="Z112" s="210">
        <f t="shared" si="508"/>
        <v>1211.4885026781428</v>
      </c>
      <c r="AA112" s="210">
        <f t="shared" si="508"/>
        <v>1497.3968318636144</v>
      </c>
      <c r="AB112" s="233"/>
      <c r="AC112" s="210">
        <f t="shared" ref="AC112:AF112" si="509">+AC108-AC105</f>
        <v>1541.8951326050631</v>
      </c>
      <c r="AD112" s="210">
        <f t="shared" si="509"/>
        <v>1179.6203578296584</v>
      </c>
      <c r="AE112" s="210">
        <f t="shared" si="509"/>
        <v>1302.1841776201941</v>
      </c>
      <c r="AF112" s="210">
        <f t="shared" si="509"/>
        <v>1611.8125452126524</v>
      </c>
      <c r="AG112" s="233"/>
      <c r="AH112" s="210">
        <f t="shared" ref="AH112:AK112" si="510">+AH108-AH105</f>
        <v>1663.9802973906624</v>
      </c>
      <c r="AI112" s="210">
        <f t="shared" si="510"/>
        <v>1271.70572177893</v>
      </c>
      <c r="AJ112" s="210">
        <f t="shared" si="510"/>
        <v>1408.3856372439025</v>
      </c>
      <c r="AK112" s="210">
        <f t="shared" si="510"/>
        <v>1749.9191426343286</v>
      </c>
      <c r="AL112" s="233"/>
    </row>
    <row r="113" spans="1:38" s="231" customFormat="1" outlineLevel="1">
      <c r="A113" s="313"/>
      <c r="B113" s="234" t="s">
        <v>191</v>
      </c>
      <c r="C113" s="232"/>
      <c r="D113" s="235">
        <f t="shared" ref="D113:K113" si="511">+D112/D101</f>
        <v>0.78018617021276604</v>
      </c>
      <c r="E113" s="235">
        <f t="shared" si="511"/>
        <v>0.79724074800575384</v>
      </c>
      <c r="F113" s="326">
        <f t="shared" si="511"/>
        <v>0.7661641329716774</v>
      </c>
      <c r="G113" s="326">
        <f t="shared" si="511"/>
        <v>0.7694803129571911</v>
      </c>
      <c r="H113" s="385"/>
      <c r="I113" s="326">
        <f t="shared" si="511"/>
        <v>0.76347781808923687</v>
      </c>
      <c r="J113" s="326">
        <f t="shared" si="511"/>
        <v>0.92085316411069984</v>
      </c>
      <c r="K113" s="326">
        <f t="shared" si="511"/>
        <v>0.97356781802864334</v>
      </c>
      <c r="L113" s="480">
        <v>0.84</v>
      </c>
      <c r="M113" s="233"/>
      <c r="N113" s="480">
        <v>0.78</v>
      </c>
      <c r="O113" s="480">
        <v>0.76900000000000002</v>
      </c>
      <c r="P113" s="236">
        <v>0.76900000000000002</v>
      </c>
      <c r="Q113" s="236">
        <v>0.76900000000000002</v>
      </c>
      <c r="R113" s="233"/>
      <c r="S113" s="236">
        <v>0.78</v>
      </c>
      <c r="T113" s="236">
        <v>0.79</v>
      </c>
      <c r="U113" s="236">
        <v>0.77</v>
      </c>
      <c r="V113" s="236">
        <v>0.76</v>
      </c>
      <c r="W113" s="233"/>
      <c r="X113" s="236">
        <v>0.76</v>
      </c>
      <c r="Y113" s="236">
        <v>0.78</v>
      </c>
      <c r="Z113" s="236">
        <v>0.77</v>
      </c>
      <c r="AA113" s="236">
        <f>+V113</f>
        <v>0.76</v>
      </c>
      <c r="AB113" s="233"/>
      <c r="AC113" s="236">
        <f>+X113</f>
        <v>0.76</v>
      </c>
      <c r="AD113" s="236">
        <f>+Y113</f>
        <v>0.78</v>
      </c>
      <c r="AE113" s="236">
        <f>+Z113</f>
        <v>0.77</v>
      </c>
      <c r="AF113" s="236">
        <f>+AA113</f>
        <v>0.76</v>
      </c>
      <c r="AG113" s="233"/>
      <c r="AH113" s="236">
        <f>+AC113</f>
        <v>0.76</v>
      </c>
      <c r="AI113" s="236">
        <f>+AD113</f>
        <v>0.78</v>
      </c>
      <c r="AJ113" s="236">
        <f>+AE113</f>
        <v>0.77</v>
      </c>
      <c r="AK113" s="236">
        <f>+AF113</f>
        <v>0.76</v>
      </c>
      <c r="AL113" s="233"/>
    </row>
    <row r="114" spans="1:38" ht="18">
      <c r="A114" s="297"/>
      <c r="B114" s="524" t="s">
        <v>192</v>
      </c>
      <c r="C114" s="525"/>
      <c r="D114" s="36" t="s">
        <v>123</v>
      </c>
      <c r="E114" s="36" t="s">
        <v>281</v>
      </c>
      <c r="F114" s="36" t="s">
        <v>285</v>
      </c>
      <c r="G114" s="36" t="s">
        <v>295</v>
      </c>
      <c r="H114" s="103" t="s">
        <v>296</v>
      </c>
      <c r="I114" s="36" t="s">
        <v>297</v>
      </c>
      <c r="J114" s="36" t="s">
        <v>298</v>
      </c>
      <c r="K114" s="36" t="s">
        <v>299</v>
      </c>
      <c r="L114" s="34" t="s">
        <v>141</v>
      </c>
      <c r="M114" s="106" t="s">
        <v>142</v>
      </c>
      <c r="N114" s="34" t="s">
        <v>143</v>
      </c>
      <c r="O114" s="34" t="s">
        <v>144</v>
      </c>
      <c r="P114" s="34" t="s">
        <v>145</v>
      </c>
      <c r="Q114" s="34" t="s">
        <v>146</v>
      </c>
      <c r="R114" s="106" t="s">
        <v>147</v>
      </c>
      <c r="S114" s="34" t="s">
        <v>148</v>
      </c>
      <c r="T114" s="34" t="s">
        <v>149</v>
      </c>
      <c r="U114" s="34" t="s">
        <v>150</v>
      </c>
      <c r="V114" s="34" t="s">
        <v>151</v>
      </c>
      <c r="W114" s="106" t="s">
        <v>152</v>
      </c>
      <c r="X114" s="34" t="s">
        <v>153</v>
      </c>
      <c r="Y114" s="34" t="s">
        <v>154</v>
      </c>
      <c r="Z114" s="34" t="s">
        <v>155</v>
      </c>
      <c r="AA114" s="34" t="s">
        <v>156</v>
      </c>
      <c r="AB114" s="106" t="s">
        <v>157</v>
      </c>
      <c r="AC114" s="34" t="s">
        <v>290</v>
      </c>
      <c r="AD114" s="34" t="s">
        <v>291</v>
      </c>
      <c r="AE114" s="34" t="s">
        <v>292</v>
      </c>
      <c r="AF114" s="34" t="s">
        <v>293</v>
      </c>
      <c r="AG114" s="106" t="s">
        <v>294</v>
      </c>
      <c r="AH114" s="34" t="s">
        <v>323</v>
      </c>
      <c r="AI114" s="34" t="s">
        <v>324</v>
      </c>
      <c r="AJ114" s="34" t="s">
        <v>325</v>
      </c>
      <c r="AK114" s="34" t="s">
        <v>326</v>
      </c>
      <c r="AL114" s="106" t="s">
        <v>327</v>
      </c>
    </row>
    <row r="115" spans="1:38" s="20" customFormat="1" outlineLevel="1">
      <c r="A115" s="312"/>
      <c r="B115" s="530" t="s">
        <v>342</v>
      </c>
      <c r="C115" s="531"/>
      <c r="D115" s="192">
        <v>504.6</v>
      </c>
      <c r="E115" s="192">
        <v>446.6</v>
      </c>
      <c r="F115" s="302">
        <v>533.29999999999995</v>
      </c>
      <c r="G115" s="192">
        <v>508.1</v>
      </c>
      <c r="H115" s="67">
        <f>SUM(D115:G115)</f>
        <v>1992.6</v>
      </c>
      <c r="I115" s="192">
        <v>494.6</v>
      </c>
      <c r="J115" s="192">
        <v>519.1</v>
      </c>
      <c r="K115" s="192">
        <v>447.3</v>
      </c>
      <c r="L115" s="192">
        <f t="shared" ref="L115" si="512">+G115*(1+L116)</f>
        <v>447.12800000000004</v>
      </c>
      <c r="M115" s="67">
        <f>SUM(I115:L115)</f>
        <v>1908.1280000000002</v>
      </c>
      <c r="N115" s="192">
        <f>+I115*(1+N116)</f>
        <v>544.06000000000006</v>
      </c>
      <c r="O115" s="192">
        <f>+J115*(1+O116)</f>
        <v>560.62800000000004</v>
      </c>
      <c r="P115" s="192">
        <f>+K115*(1+P116)</f>
        <v>514.39499999999998</v>
      </c>
      <c r="Q115" s="192">
        <f>+L115*(1+Q116)</f>
        <v>491.84080000000006</v>
      </c>
      <c r="R115" s="67">
        <f>SUM(N115:Q115)</f>
        <v>2110.9238</v>
      </c>
      <c r="S115" s="192">
        <f>+N115*(1+S116)</f>
        <v>576.70360000000005</v>
      </c>
      <c r="T115" s="192">
        <f>+O115*(1+T116)</f>
        <v>583.05312000000004</v>
      </c>
      <c r="U115" s="192">
        <f>+P115*(1+U116)</f>
        <v>540.11474999999996</v>
      </c>
      <c r="V115" s="192">
        <f t="shared" ref="V115" si="513">+Q115*(1+V116)</f>
        <v>516.43284000000006</v>
      </c>
      <c r="W115" s="67">
        <f>SUM(S115:V115)</f>
        <v>2216.30431</v>
      </c>
      <c r="X115" s="192">
        <f>+S115*(1+X116)</f>
        <v>605.53878000000009</v>
      </c>
      <c r="Y115" s="192">
        <f>+T115*(1+Y116)</f>
        <v>610.74814320000007</v>
      </c>
      <c r="Z115" s="192">
        <f>+U115*(1+Z116)</f>
        <v>566.78291578124993</v>
      </c>
      <c r="AA115" s="192">
        <f>+V115*(1+AA116)</f>
        <v>541.85101884375013</v>
      </c>
      <c r="AB115" s="67">
        <f>SUM(X115:AA115)</f>
        <v>2324.920857825</v>
      </c>
      <c r="AC115" s="192">
        <f>+X115*(1+AC116)</f>
        <v>635.22437253515636</v>
      </c>
      <c r="AD115" s="192">
        <f>+Y115*(1+AD116)</f>
        <v>640.54000819300791</v>
      </c>
      <c r="AE115" s="192">
        <f>+Z115*(1+AE116)</f>
        <v>594.61145879706214</v>
      </c>
      <c r="AF115" s="192">
        <f t="shared" ref="AF115" si="514">+AA115*(1+AF116)</f>
        <v>568.41805631612397</v>
      </c>
      <c r="AG115" s="67">
        <f>SUM(AC115:AF115)</f>
        <v>2438.7938958413506</v>
      </c>
      <c r="AH115" s="192">
        <f>+AC115*(1+AH116)</f>
        <v>666.3395690606344</v>
      </c>
      <c r="AI115" s="192">
        <f>+AD115*(1+AI116)</f>
        <v>671.90910532352177</v>
      </c>
      <c r="AJ115" s="192">
        <f>+AE115*(1+AJ116)</f>
        <v>623.76008058641162</v>
      </c>
      <c r="AK115" s="192">
        <f t="shared" ref="AK115" si="515">+AF115*(1+AK116)</f>
        <v>596.27158377746048</v>
      </c>
      <c r="AL115" s="67">
        <f>SUM(AH115:AK115)</f>
        <v>2558.280338748028</v>
      </c>
    </row>
    <row r="116" spans="1:38" outlineLevel="1">
      <c r="A116" s="297"/>
      <c r="B116" s="476" t="s">
        <v>199</v>
      </c>
      <c r="C116" s="222"/>
      <c r="D116" s="334"/>
      <c r="E116" s="334"/>
      <c r="F116" s="334"/>
      <c r="G116" s="334"/>
      <c r="H116" s="200"/>
      <c r="I116" s="334">
        <f>I115/D115-1</f>
        <v>-1.9817677368212494E-2</v>
      </c>
      <c r="J116" s="334">
        <f t="shared" ref="J116" si="516">J115/E115-1</f>
        <v>0.16233766233766223</v>
      </c>
      <c r="K116" s="334">
        <f>K115/F115-1</f>
        <v>-0.1612600787549221</v>
      </c>
      <c r="L116" s="482">
        <v>-0.12</v>
      </c>
      <c r="M116" s="419">
        <f>M115/H115-1</f>
        <v>-4.2392853558165133E-2</v>
      </c>
      <c r="N116" s="482">
        <v>0.1</v>
      </c>
      <c r="O116" s="482">
        <v>0.08</v>
      </c>
      <c r="P116" s="482">
        <v>0.15</v>
      </c>
      <c r="Q116" s="482">
        <v>0.1</v>
      </c>
      <c r="R116" s="200"/>
      <c r="S116" s="482">
        <v>0.06</v>
      </c>
      <c r="T116" s="482">
        <v>0.04</v>
      </c>
      <c r="U116" s="223">
        <v>0.05</v>
      </c>
      <c r="V116" s="223">
        <v>0.05</v>
      </c>
      <c r="W116" s="200"/>
      <c r="X116" s="223">
        <f>AVERAGE(V116,U116,T116,S116)</f>
        <v>0.05</v>
      </c>
      <c r="Y116" s="223">
        <f>AVERAGE(X116,V116,U116,T116)</f>
        <v>4.7500000000000007E-2</v>
      </c>
      <c r="Z116" s="223">
        <f>AVERAGE(Y116,X116,V116,U116)</f>
        <v>4.9375000000000002E-2</v>
      </c>
      <c r="AA116" s="223">
        <f>AVERAGE(Z116,Y116,X116,V116)</f>
        <v>4.9218750000000006E-2</v>
      </c>
      <c r="AB116" s="200"/>
      <c r="AC116" s="223">
        <f>AVERAGE(AA116,Z116,Y116,X116)</f>
        <v>4.9023437500000003E-2</v>
      </c>
      <c r="AD116" s="223">
        <f>AVERAGE(AC116,AA116,Z116,Y116)</f>
        <v>4.877929687500001E-2</v>
      </c>
      <c r="AE116" s="223">
        <f>AVERAGE(AD116,AC116,AA116,Z116)</f>
        <v>4.9099121093750003E-2</v>
      </c>
      <c r="AF116" s="223">
        <f>AVERAGE(AE116,AD116,AC116,AA116)</f>
        <v>4.9030151367187504E-2</v>
      </c>
      <c r="AG116" s="200"/>
      <c r="AH116" s="223">
        <f>AVERAGE(AF116,AE116,AD116,AC116)</f>
        <v>4.8983001708984383E-2</v>
      </c>
      <c r="AI116" s="223">
        <f>AVERAGE(AH116,AF116,AE116,AD116)</f>
        <v>4.8972892761230478E-2</v>
      </c>
      <c r="AJ116" s="223">
        <f>AVERAGE(AI116,AH116,AF116,AE116)</f>
        <v>4.9021291732788089E-2</v>
      </c>
      <c r="AK116" s="223">
        <f>AVERAGE(AJ116,AI116,AH116,AF116)</f>
        <v>4.9001834392547607E-2</v>
      </c>
      <c r="AL116" s="200"/>
    </row>
    <row r="117" spans="1:38" outlineLevel="1">
      <c r="A117" s="297"/>
      <c r="B117" s="526" t="s">
        <v>300</v>
      </c>
      <c r="C117" s="527"/>
      <c r="D117" s="190">
        <v>348.4</v>
      </c>
      <c r="E117" s="190">
        <v>305.39999999999998</v>
      </c>
      <c r="F117" s="190">
        <v>377.1</v>
      </c>
      <c r="G117" s="190">
        <v>359.1</v>
      </c>
      <c r="H117" s="237"/>
      <c r="I117" s="190">
        <v>338.8</v>
      </c>
      <c r="J117" s="190">
        <v>351.6</v>
      </c>
      <c r="K117" s="190">
        <v>319.89999999999998</v>
      </c>
      <c r="L117" s="190">
        <f>+(L115*L127)*(K117/K126)</f>
        <v>285.77421820224725</v>
      </c>
      <c r="M117" s="237"/>
      <c r="N117" s="190">
        <f>+(N115*N127)*(L117/L126)</f>
        <v>326.85779932584273</v>
      </c>
      <c r="O117" s="190">
        <f>+(O115*O127)*(N117/N126)</f>
        <v>335.85186741573034</v>
      </c>
      <c r="P117" s="190">
        <f>+(P115*P127)*(O117/O126)</f>
        <v>316.95979550561799</v>
      </c>
      <c r="Q117" s="190">
        <f>+(Q115*Q127)*(P117/P126)</f>
        <v>303.06235361797752</v>
      </c>
      <c r="R117" s="237"/>
      <c r="S117" s="190">
        <f>+(S115*S127)*(Q117/Q126)</f>
        <v>346.46926728539324</v>
      </c>
      <c r="T117" s="190">
        <f>+(T115*T127)*(S117/S126)</f>
        <v>349.28594211235958</v>
      </c>
      <c r="U117" s="190">
        <f>+(U115*U127)*(T117/T126)</f>
        <v>332.80778528089883</v>
      </c>
      <c r="V117" s="190">
        <f>+(V115*V127)*(U117/U126)</f>
        <v>318.21547129887642</v>
      </c>
      <c r="W117" s="237"/>
      <c r="X117" s="190">
        <f>+(X115*X127)*(V117/V126)</f>
        <v>363.79273064966293</v>
      </c>
      <c r="Y117" s="190">
        <f>+(Y115*Y127)*(X117/X126)</f>
        <v>365.87702436269666</v>
      </c>
      <c r="Z117" s="190">
        <f>+(Z115*Z127)*(Y117/Y126)</f>
        <v>349.24016967914321</v>
      </c>
      <c r="AA117" s="190">
        <f>+(AA115*AA127)*(Z117/Z126)</f>
        <v>333.877639026868</v>
      </c>
      <c r="AB117" s="237"/>
      <c r="AC117" s="190">
        <f>+(AC115*AC127)*(AA117/AA126)</f>
        <v>381.62710084362112</v>
      </c>
      <c r="AD117" s="190">
        <f>+(AD115*AD127)*(AC117/AC126)</f>
        <v>383.72424835382628</v>
      </c>
      <c r="AE117" s="190">
        <f>+(AE115*AE127)*(AD117/AD126)</f>
        <v>366.3875550610212</v>
      </c>
      <c r="AF117" s="190">
        <f>+(AF115*AF127)*(AE117/AE126)</f>
        <v>350.24771020647461</v>
      </c>
      <c r="AG117" s="237"/>
      <c r="AH117" s="190">
        <f>+(AH115*AH127)*(AF117/AF126)</f>
        <v>400.32034177643891</v>
      </c>
      <c r="AI117" s="190">
        <f>+(AI115*AI127)*(AH117/AH126)</f>
        <v>402.51633481834199</v>
      </c>
      <c r="AJ117" s="190">
        <f>+(AJ115*AJ127)*(AI117/AI126)</f>
        <v>384.34834628493053</v>
      </c>
      <c r="AK117" s="190">
        <f>+(AK115*AK127)*(AJ117/AJ126)</f>
        <v>367.41049049838125</v>
      </c>
      <c r="AL117" s="237"/>
    </row>
    <row r="118" spans="1:38" outlineLevel="1">
      <c r="A118" s="297"/>
      <c r="B118" s="51" t="s">
        <v>159</v>
      </c>
      <c r="C118" s="40"/>
      <c r="D118" s="190">
        <v>18.600000000000001</v>
      </c>
      <c r="E118" s="190">
        <v>17.100000000000001</v>
      </c>
      <c r="F118" s="190">
        <v>20.2</v>
      </c>
      <c r="G118" s="190">
        <v>20.3</v>
      </c>
      <c r="H118" s="191"/>
      <c r="I118" s="190">
        <v>20.6</v>
      </c>
      <c r="J118" s="190">
        <v>17.7</v>
      </c>
      <c r="K118" s="190">
        <v>51.4</v>
      </c>
      <c r="L118" s="190">
        <f>+(L115*L127)*(K118/K126)</f>
        <v>45.916832808988779</v>
      </c>
      <c r="M118" s="191"/>
      <c r="N118" s="190">
        <f>+(N115*N127)*(L118/L126)</f>
        <v>52.517945874799359</v>
      </c>
      <c r="O118" s="190">
        <f>+(O115*O127)*(N118/N126)</f>
        <v>53.963069662921342</v>
      </c>
      <c r="P118" s="190">
        <f>+(P115*P127)*(O118/O126)</f>
        <v>50.92758202247191</v>
      </c>
      <c r="Q118" s="190">
        <f>+(Q115*Q127)*(P118/P126)</f>
        <v>48.694607614767257</v>
      </c>
      <c r="R118" s="191"/>
      <c r="S118" s="190">
        <f>+(S115*S127)*(Q118/Q126)</f>
        <v>55.669022627287319</v>
      </c>
      <c r="T118" s="190">
        <f>+(T115*T127)*(S118/S126)</f>
        <v>56.121592449438211</v>
      </c>
      <c r="U118" s="190">
        <f>+(U115*U127)*(T118/T126)</f>
        <v>53.473961123595501</v>
      </c>
      <c r="V118" s="190">
        <f>+(V115*V127)*(U118/U126)</f>
        <v>51.129337995505622</v>
      </c>
      <c r="W118" s="191"/>
      <c r="X118" s="190">
        <f>+(X115*X127)*(V118/V126)</f>
        <v>58.452473758651685</v>
      </c>
      <c r="Y118" s="190">
        <f>+(Y115*Y127)*(X118/X126)</f>
        <v>58.787368090786522</v>
      </c>
      <c r="Z118" s="190">
        <f>+(Z115*Z127)*(Y118/Y126)</f>
        <v>56.114237954073026</v>
      </c>
      <c r="AA118" s="190">
        <f>+(AA115*AA127)*(Z118/Z126)</f>
        <v>53.645860099971912</v>
      </c>
      <c r="AB118" s="191"/>
      <c r="AC118" s="190">
        <f>+(AC115*AC127)*(AA118/AA126)</f>
        <v>61.318014952679341</v>
      </c>
      <c r="AD118" s="190">
        <f>+(AD115*AD127)*(AC118/AC126)</f>
        <v>61.65497457138688</v>
      </c>
      <c r="AE118" s="190">
        <f>+(AE115*AE127)*(AD118/AD126)</f>
        <v>58.869397718463524</v>
      </c>
      <c r="AF118" s="190">
        <f>+(AF115*AF127)*(AE118/AE126)</f>
        <v>56.276124740896485</v>
      </c>
      <c r="AG118" s="191"/>
      <c r="AH118" s="190">
        <f>+(AH115*AH127)*(AF118/AF126)</f>
        <v>64.32155538389793</v>
      </c>
      <c r="AI118" s="190">
        <f>+(AI115*AI127)*(AH118/AH126)</f>
        <v>64.674397029267794</v>
      </c>
      <c r="AJ118" s="190">
        <f>+(AJ115*AJ127)*(AI118/AI126)</f>
        <v>61.755251638153851</v>
      </c>
      <c r="AK118" s="190">
        <f>+(AK115*AK127)*(AJ118/AJ126)</f>
        <v>59.033758085704228</v>
      </c>
      <c r="AL118" s="191"/>
    </row>
    <row r="119" spans="1:38" outlineLevel="1">
      <c r="A119" s="297"/>
      <c r="B119" s="51" t="s">
        <v>160</v>
      </c>
      <c r="C119" s="40"/>
      <c r="D119" s="227">
        <v>0</v>
      </c>
      <c r="E119" s="227">
        <v>12.3</v>
      </c>
      <c r="F119" s="227">
        <v>0.2</v>
      </c>
      <c r="G119" s="227">
        <v>0.3</v>
      </c>
      <c r="H119" s="18"/>
      <c r="I119" s="227">
        <v>0.3</v>
      </c>
      <c r="J119" s="227">
        <v>0.3</v>
      </c>
      <c r="K119" s="227">
        <v>0.3</v>
      </c>
      <c r="L119" s="227">
        <f>(K119/(K72+K105+K119+K133))*L242</f>
        <v>0.30622872359279457</v>
      </c>
      <c r="M119" s="18"/>
      <c r="N119" s="227">
        <f>(L119/(L72+L105+L119+L133))*N242</f>
        <v>0.30672708634856743</v>
      </c>
      <c r="O119" s="227">
        <f>(N119/(N72+N105+N119+N133))*O242</f>
        <v>0.30965493927293292</v>
      </c>
      <c r="P119" s="227">
        <f>(O119/(O72+O105+O119+O133))*P242</f>
        <v>0.30778167219609803</v>
      </c>
      <c r="Q119" s="227">
        <f>(P119/(P72+P105+P119+P133))*Q242</f>
        <v>0.30647772714935823</v>
      </c>
      <c r="R119" s="18"/>
      <c r="S119" s="227">
        <f>(Q119/(Q72+Q105+Q119+Q133))*S242</f>
        <v>0.31148900721084921</v>
      </c>
      <c r="T119" s="227">
        <f>(S119/(S72+S105+S119+S133))*T242</f>
        <v>0.31590570666532214</v>
      </c>
      <c r="U119" s="227">
        <f>(T119/(T72+T105+T119+T133))*U242</f>
        <v>0.31456865431553999</v>
      </c>
      <c r="V119" s="227">
        <f>(U119/(U72+U105+U119+U133))*V242</f>
        <v>0.31401138770753834</v>
      </c>
      <c r="W119" s="18"/>
      <c r="X119" s="227">
        <f>(V119/(V72+V105+V119+V133))*X242</f>
        <v>0.318936923929873</v>
      </c>
      <c r="Y119" s="227">
        <f>(X119/(X72+X105+X119+X133))*Y242</f>
        <v>0.32029373333799771</v>
      </c>
      <c r="Z119" s="227">
        <f>(Y119/(Y72+Y105+Y119+Y133))*Z242</f>
        <v>0.31670215677917879</v>
      </c>
      <c r="AA119" s="227">
        <f>(Z119/(Z72+Z105+Z119+Z133))*AA242</f>
        <v>0.31394894621338681</v>
      </c>
      <c r="AB119" s="18"/>
      <c r="AC119" s="227">
        <f>(AA119/(AA72+AA105+AA119+AA133))*AC242</f>
        <v>0.3157790803746881</v>
      </c>
      <c r="AD119" s="227">
        <f>(AC119/(AC72+AC105+AC119+AC133))*AD242</f>
        <v>0.31871407038689475</v>
      </c>
      <c r="AE119" s="227">
        <f>(AD119/(AD72+AD105+AD119+AD133))*AE242</f>
        <v>0.31610940483939237</v>
      </c>
      <c r="AF119" s="227">
        <f>(AE119/(AE72+AE105+AE119+AE133))*AF242</f>
        <v>0.3143378052677247</v>
      </c>
      <c r="AG119" s="18"/>
      <c r="AH119" s="227">
        <f>(AF119/(AF72+AF105+AF119+AF133))*AH242</f>
        <v>0.31726083599675931</v>
      </c>
      <c r="AI119" s="227">
        <f>(AH119/(AH72+AH105+AH119+AH133))*AI242</f>
        <v>0.32161295342157753</v>
      </c>
      <c r="AJ119" s="227">
        <f>(AI119/(AI72+AI105+AI119+AI133))*AJ242</f>
        <v>0.31985836947004181</v>
      </c>
      <c r="AK119" s="227">
        <f>(AJ119/(AJ72+AJ105+AJ119+AJ133))*AK242</f>
        <v>0.3189553210113345</v>
      </c>
      <c r="AL119" s="18"/>
    </row>
    <row r="120" spans="1:38" outlineLevel="1">
      <c r="A120" s="297"/>
      <c r="B120" s="51" t="s">
        <v>161</v>
      </c>
      <c r="C120" s="40"/>
      <c r="D120" s="190">
        <v>3.2</v>
      </c>
      <c r="E120" s="190">
        <v>3.1</v>
      </c>
      <c r="F120" s="190">
        <v>2.7</v>
      </c>
      <c r="G120" s="190">
        <v>2.6</v>
      </c>
      <c r="H120" s="191"/>
      <c r="I120" s="190">
        <v>2.4</v>
      </c>
      <c r="J120" s="190">
        <v>3</v>
      </c>
      <c r="K120" s="190">
        <v>2.5</v>
      </c>
      <c r="L120" s="190">
        <f>+(L115*L127)*(K120/K126)</f>
        <v>2.2333089887640454</v>
      </c>
      <c r="M120" s="191"/>
      <c r="N120" s="190">
        <f>+(N115*N127)*(L120/L126)</f>
        <v>2.5543747993579453</v>
      </c>
      <c r="O120" s="190">
        <f>+(O115*O127)*(N120/N126)</f>
        <v>2.6246629213483144</v>
      </c>
      <c r="P120" s="190">
        <f>+(P115*P127)*(O120/O126)</f>
        <v>2.4770224719101122</v>
      </c>
      <c r="Q120" s="190">
        <f>+(Q115*Q127)*(P120/P126)</f>
        <v>2.3684147672552163</v>
      </c>
      <c r="R120" s="191"/>
      <c r="S120" s="190">
        <f>+(S115*S127)*(Q120/Q126)</f>
        <v>2.7076372873194217</v>
      </c>
      <c r="T120" s="190">
        <f>+(T115*T127)*(S120/S126)</f>
        <v>2.7296494382022471</v>
      </c>
      <c r="U120" s="190">
        <f>+(U115*U127)*(T120/T126)</f>
        <v>2.6008735955056173</v>
      </c>
      <c r="V120" s="190">
        <f>+(V115*V127)*(U120/U126)</f>
        <v>2.4868355056179774</v>
      </c>
      <c r="W120" s="191"/>
      <c r="X120" s="190">
        <f>+(X115*X127)*(V120/V126)</f>
        <v>2.8430191516853931</v>
      </c>
      <c r="Y120" s="190">
        <f>+(Y115*Y127)*(X120/X126)</f>
        <v>2.8593077865168537</v>
      </c>
      <c r="Z120" s="190">
        <f>+(Z115*Z127)*(Y120/Y126)</f>
        <v>2.7292917292837071</v>
      </c>
      <c r="AA120" s="190">
        <f>+(AA115*AA127)*(Z120/Z126)</f>
        <v>2.6092344406601122</v>
      </c>
      <c r="AB120" s="191"/>
      <c r="AC120" s="190">
        <f>+(AC115*AC127)*(AA120/AA126)</f>
        <v>2.9823937233793454</v>
      </c>
      <c r="AD120" s="190">
        <f>+(AD115*AD127)*(AC120/AC126)</f>
        <v>2.9987828098923583</v>
      </c>
      <c r="AE120" s="190">
        <f>+(AE115*AE127)*(AD120/AD126)</f>
        <v>2.8632975543999772</v>
      </c>
      <c r="AF120" s="190">
        <f>+(AF115*AF127)*(AE120/AE126)</f>
        <v>2.7371656002381561</v>
      </c>
      <c r="AG120" s="191"/>
      <c r="AH120" s="190">
        <f>+(AH115*AH127)*(AF120/AF126)</f>
        <v>3.1284803202284994</v>
      </c>
      <c r="AI120" s="190">
        <f>+(AI115*AI127)*(AH120/AH126)</f>
        <v>3.1456418788554377</v>
      </c>
      <c r="AJ120" s="190">
        <f>+(AJ115*AJ127)*(AI120/AI126)</f>
        <v>3.0036600991319973</v>
      </c>
      <c r="AK120" s="190">
        <f>+(AK115*AK127)*(AJ120/AJ126)</f>
        <v>2.8712917356860044</v>
      </c>
      <c r="AL120" s="191"/>
    </row>
    <row r="121" spans="1:38" ht="17.25" outlineLevel="1">
      <c r="A121" s="297"/>
      <c r="B121" s="51" t="s">
        <v>169</v>
      </c>
      <c r="C121" s="40"/>
      <c r="D121" s="228">
        <v>0</v>
      </c>
      <c r="E121" s="228">
        <v>0</v>
      </c>
      <c r="F121" s="228">
        <v>0</v>
      </c>
      <c r="G121" s="228">
        <v>0</v>
      </c>
      <c r="H121" s="238"/>
      <c r="I121" s="228">
        <v>0</v>
      </c>
      <c r="J121" s="228">
        <v>0</v>
      </c>
      <c r="K121" s="228">
        <v>0</v>
      </c>
      <c r="L121" s="228">
        <f>+(L115*L127)*(K121/K126)</f>
        <v>0</v>
      </c>
      <c r="M121" s="238"/>
      <c r="N121" s="228">
        <f>+(N115*N127)*(L121/L126)</f>
        <v>0</v>
      </c>
      <c r="O121" s="228">
        <f>+(O115*O127)*(N121/N126)</f>
        <v>0</v>
      </c>
      <c r="P121" s="228">
        <f>+(P115*P127)*(O121/O126)</f>
        <v>0</v>
      </c>
      <c r="Q121" s="228">
        <f>+(Q115*Q127)*(P121/P126)</f>
        <v>0</v>
      </c>
      <c r="R121" s="238"/>
      <c r="S121" s="228">
        <f>+(S115*S127)*(Q121/Q126)</f>
        <v>0</v>
      </c>
      <c r="T121" s="228">
        <f>+(T115*T127)*(S121/S126)</f>
        <v>0</v>
      </c>
      <c r="U121" s="228">
        <f>+(U115*U127)*(T121/T126)</f>
        <v>0</v>
      </c>
      <c r="V121" s="228">
        <f>+(V115*V127)*(U121/U126)</f>
        <v>0</v>
      </c>
      <c r="W121" s="238"/>
      <c r="X121" s="228">
        <f>+(X115*X127)*(V121/V126)</f>
        <v>0</v>
      </c>
      <c r="Y121" s="228">
        <f>+(Y115*Y127)*(X121/X126)</f>
        <v>0</v>
      </c>
      <c r="Z121" s="228">
        <f>+(Z115*Z127)*(Y121/Y126)</f>
        <v>0</v>
      </c>
      <c r="AA121" s="228">
        <f>+(AA115*AA127)*(Z121/Z126)</f>
        <v>0</v>
      </c>
      <c r="AB121" s="238"/>
      <c r="AC121" s="228">
        <f>+(AC115*AC127)*(AA121/AA126)</f>
        <v>0</v>
      </c>
      <c r="AD121" s="228">
        <f>+(AD115*AD127)*(AC121/AC126)</f>
        <v>0</v>
      </c>
      <c r="AE121" s="228">
        <f>+(AE115*AE127)*(AD121/AD126)</f>
        <v>0</v>
      </c>
      <c r="AF121" s="228">
        <f>+(AF115*AF127)*(AE121/AE126)</f>
        <v>0</v>
      </c>
      <c r="AG121" s="238"/>
      <c r="AH121" s="228">
        <f>+(AH115*AH127)*(AF121/AF126)</f>
        <v>0</v>
      </c>
      <c r="AI121" s="228">
        <f>+(AI115*AI127)*(AH121/AH126)</f>
        <v>0</v>
      </c>
      <c r="AJ121" s="228">
        <f>+(AJ115*AJ127)*(AI121/AI126)</f>
        <v>0</v>
      </c>
      <c r="AK121" s="228">
        <f>+(AK115*AK127)*(AJ121/AJ126)</f>
        <v>0</v>
      </c>
      <c r="AL121" s="238"/>
    </row>
    <row r="122" spans="1:38" outlineLevel="1">
      <c r="A122" s="297"/>
      <c r="B122" s="188" t="s">
        <v>193</v>
      </c>
      <c r="C122" s="43"/>
      <c r="D122" s="192">
        <f>SUM(D117:D121)</f>
        <v>370.2</v>
      </c>
      <c r="E122" s="192">
        <f>SUM(E117:E121)</f>
        <v>337.90000000000003</v>
      </c>
      <c r="F122" s="192">
        <f>SUM(F117:F121)</f>
        <v>400.2</v>
      </c>
      <c r="G122" s="192">
        <f>SUM(G117:G121)</f>
        <v>382.30000000000007</v>
      </c>
      <c r="H122" s="18"/>
      <c r="I122" s="192">
        <f>SUM(I117:I121)</f>
        <v>362.1</v>
      </c>
      <c r="J122" s="192">
        <f>SUM(J117:J121)</f>
        <v>372.6</v>
      </c>
      <c r="K122" s="192">
        <f>SUM(K117:K121)</f>
        <v>374.09999999999997</v>
      </c>
      <c r="L122" s="192">
        <f>SUM(L117:L121)</f>
        <v>334.23058872359286</v>
      </c>
      <c r="M122" s="18"/>
      <c r="N122" s="192">
        <f>SUM(N117:N121)</f>
        <v>382.23684708634863</v>
      </c>
      <c r="O122" s="192">
        <f>SUM(O117:O121)</f>
        <v>392.74925493927293</v>
      </c>
      <c r="P122" s="192">
        <f>SUM(P117:P121)</f>
        <v>370.67218167219613</v>
      </c>
      <c r="Q122" s="192">
        <f>SUM(Q117:Q121)</f>
        <v>354.43185372714936</v>
      </c>
      <c r="R122" s="18"/>
      <c r="S122" s="192">
        <f>SUM(S117:S121)</f>
        <v>405.15741620721082</v>
      </c>
      <c r="T122" s="192">
        <f>SUM(T117:T121)</f>
        <v>408.45308970666537</v>
      </c>
      <c r="U122" s="192">
        <f>SUM(U117:U121)</f>
        <v>389.19718865431554</v>
      </c>
      <c r="V122" s="192">
        <f>SUM(V117:V121)</f>
        <v>372.14565618770757</v>
      </c>
      <c r="W122" s="18"/>
      <c r="X122" s="192">
        <f>SUM(X117:X121)</f>
        <v>425.40716048392989</v>
      </c>
      <c r="Y122" s="192">
        <f>SUM(Y117:Y121)</f>
        <v>427.84399397333806</v>
      </c>
      <c r="Z122" s="192">
        <f>SUM(Z117:Z121)</f>
        <v>408.40040151927911</v>
      </c>
      <c r="AA122" s="192">
        <f>SUM(AA117:AA121)</f>
        <v>390.44668251371337</v>
      </c>
      <c r="AB122" s="18"/>
      <c r="AC122" s="192">
        <f>SUM(AC117:AC121)</f>
        <v>446.24328860005448</v>
      </c>
      <c r="AD122" s="192">
        <f>SUM(AD117:AD121)</f>
        <v>448.69671980549242</v>
      </c>
      <c r="AE122" s="192">
        <f>SUM(AE117:AE121)</f>
        <v>428.43635973872409</v>
      </c>
      <c r="AF122" s="192">
        <f>SUM(AF117:AF121)</f>
        <v>409.57533835287694</v>
      </c>
      <c r="AG122" s="18"/>
      <c r="AH122" s="192">
        <f>SUM(AH117:AH121)</f>
        <v>468.08763831656211</v>
      </c>
      <c r="AI122" s="192">
        <f>SUM(AI117:AI121)</f>
        <v>470.65798667988673</v>
      </c>
      <c r="AJ122" s="192">
        <f>SUM(AJ117:AJ121)</f>
        <v>449.42711639168647</v>
      </c>
      <c r="AK122" s="192">
        <f>SUM(AK117:AK121)</f>
        <v>429.6344956407828</v>
      </c>
      <c r="AL122" s="18"/>
    </row>
    <row r="123" spans="1:38" ht="17.25" outlineLevel="1">
      <c r="A123" s="297"/>
      <c r="B123" s="189" t="s">
        <v>162</v>
      </c>
      <c r="C123" s="163"/>
      <c r="D123" s="194">
        <v>41.4</v>
      </c>
      <c r="E123" s="303">
        <v>40.200000000000003</v>
      </c>
      <c r="F123" s="303">
        <v>48.8</v>
      </c>
      <c r="G123" s="303">
        <v>65.099999999999994</v>
      </c>
      <c r="H123" s="377"/>
      <c r="I123" s="303">
        <v>43</v>
      </c>
      <c r="J123" s="303">
        <v>43.1</v>
      </c>
      <c r="K123" s="303">
        <v>51</v>
      </c>
      <c r="L123" s="198">
        <f>AVERAGE(K123,J123,I123,G123)</f>
        <v>50.55</v>
      </c>
      <c r="M123" s="164"/>
      <c r="N123" s="198">
        <f>AVERAGE(L123,K123,J123,I123)</f>
        <v>46.912500000000001</v>
      </c>
      <c r="O123" s="198">
        <f>AVERAGE(N123,L123,K123,J123)</f>
        <v>47.890625</v>
      </c>
      <c r="P123" s="198">
        <f>AVERAGE(O123,N123,L123,K123)</f>
        <v>49.088281249999994</v>
      </c>
      <c r="Q123" s="198">
        <f>AVERAGE(P123,O123,N123,L123)</f>
        <v>48.6103515625</v>
      </c>
      <c r="R123" s="164"/>
      <c r="S123" s="198">
        <f>AVERAGE(Q123,P123,O123,N123)</f>
        <v>48.125439453124997</v>
      </c>
      <c r="T123" s="198">
        <f>AVERAGE(S123,Q123,P123,O123)</f>
        <v>48.428674316406244</v>
      </c>
      <c r="U123" s="198">
        <f>AVERAGE(T123,S123,Q123,P123)</f>
        <v>48.563186645507805</v>
      </c>
      <c r="V123" s="198">
        <f>AVERAGE(U123,T123,S123,Q123)</f>
        <v>48.43191299438476</v>
      </c>
      <c r="W123" s="164"/>
      <c r="X123" s="198">
        <f>AVERAGE(V123,U123,T123,S123)</f>
        <v>48.387303352355957</v>
      </c>
      <c r="Y123" s="198">
        <f>AVERAGE(X123,V123,U123,T123)</f>
        <v>48.452769327163693</v>
      </c>
      <c r="Z123" s="198">
        <f>AVERAGE(Y123,X123,V123,U123)</f>
        <v>48.458793079853052</v>
      </c>
      <c r="AA123" s="198">
        <f>AVERAGE(Z123,Y123,X123,V123)</f>
        <v>48.432694688439362</v>
      </c>
      <c r="AB123" s="164"/>
      <c r="AC123" s="198">
        <f>AVERAGE(AA123,Z123,Y123,X123)</f>
        <v>48.432890111953014</v>
      </c>
      <c r="AD123" s="198">
        <f>AVERAGE(AC123,AA123,Z123,Y123)</f>
        <v>48.444286801852286</v>
      </c>
      <c r="AE123" s="198">
        <f>AVERAGE(AD123,AC123,AA123,Z123)</f>
        <v>48.44216617052443</v>
      </c>
      <c r="AF123" s="198">
        <f>AVERAGE(AE123,AD123,AC123,AA123)</f>
        <v>48.438009443192271</v>
      </c>
      <c r="AG123" s="164"/>
      <c r="AH123" s="198">
        <f>AVERAGE(AF123,AE123,AD123,AC123)</f>
        <v>48.439338131880497</v>
      </c>
      <c r="AI123" s="198">
        <f>AVERAGE(AH123,AF123,AE123,AD123)</f>
        <v>48.440950136862369</v>
      </c>
      <c r="AJ123" s="198">
        <f>AVERAGE(AI123,AH123,AF123,AE123)</f>
        <v>48.440115970614897</v>
      </c>
      <c r="AK123" s="198">
        <f>AVERAGE(AJ123,AI123,AH123,AF123)</f>
        <v>48.439603420637511</v>
      </c>
      <c r="AL123" s="164"/>
    </row>
    <row r="124" spans="1:38" outlineLevel="1">
      <c r="A124" s="297"/>
      <c r="B124" s="188" t="s">
        <v>194</v>
      </c>
      <c r="C124" s="163"/>
      <c r="D124" s="445">
        <f>D115-D122+D123</f>
        <v>175.80000000000004</v>
      </c>
      <c r="E124" s="445">
        <f>E115-E122+E123</f>
        <v>148.89999999999998</v>
      </c>
      <c r="F124" s="445">
        <f>F115-F122+F123</f>
        <v>181.89999999999998</v>
      </c>
      <c r="G124" s="445">
        <f>G115-G122+G123</f>
        <v>190.89999999999995</v>
      </c>
      <c r="H124" s="364">
        <f>SUM(D124:G124)</f>
        <v>697.5</v>
      </c>
      <c r="I124" s="445">
        <f>I115-I122+I123</f>
        <v>175.5</v>
      </c>
      <c r="J124" s="445">
        <f>J115-J122+J123</f>
        <v>189.6</v>
      </c>
      <c r="K124" s="445">
        <f>K115-K122+K123</f>
        <v>124.20000000000005</v>
      </c>
      <c r="L124" s="229">
        <f>L115-L122+L123</f>
        <v>163.44741127640719</v>
      </c>
      <c r="M124" s="67">
        <f>SUM(I124:L124)</f>
        <v>652.74741127640732</v>
      </c>
      <c r="N124" s="229">
        <f>N115-N122+N123</f>
        <v>208.73565291365142</v>
      </c>
      <c r="O124" s="229">
        <f>O115-O122+O123</f>
        <v>215.76937006072711</v>
      </c>
      <c r="P124" s="229">
        <f>P115-P122+P123</f>
        <v>192.81109957780384</v>
      </c>
      <c r="Q124" s="229">
        <f>Q115-Q122+Q123</f>
        <v>186.0192978353507</v>
      </c>
      <c r="R124" s="67">
        <f>SUM(N124:Q124)</f>
        <v>803.33542038753308</v>
      </c>
      <c r="S124" s="229">
        <f>S115-S122+S123</f>
        <v>219.67162324591425</v>
      </c>
      <c r="T124" s="229">
        <f>T115-T122+T123</f>
        <v>223.02870460974091</v>
      </c>
      <c r="U124" s="229">
        <f>U115-U122+U123</f>
        <v>199.48074799119223</v>
      </c>
      <c r="V124" s="229">
        <f>V115-V122+V123</f>
        <v>192.71909680667724</v>
      </c>
      <c r="W124" s="67">
        <f>SUM(S124:V124)</f>
        <v>834.90017265352458</v>
      </c>
      <c r="X124" s="229">
        <f>X115-X122+X123</f>
        <v>228.51892286842616</v>
      </c>
      <c r="Y124" s="229">
        <f>Y115-Y122+Y123</f>
        <v>231.35691855382572</v>
      </c>
      <c r="Z124" s="229">
        <f>Z115-Z122+Z123</f>
        <v>206.84130734182386</v>
      </c>
      <c r="AA124" s="229">
        <f>AA115-AA122+AA123</f>
        <v>199.83703101847613</v>
      </c>
      <c r="AB124" s="67">
        <f>SUM(X124:AA124)</f>
        <v>866.55417978255196</v>
      </c>
      <c r="AC124" s="229">
        <f>AC115-AC122+AC123</f>
        <v>237.41397404705489</v>
      </c>
      <c r="AD124" s="229">
        <f>AD115-AD122+AD123</f>
        <v>240.28757518936777</v>
      </c>
      <c r="AE124" s="229">
        <f>AE115-AE122+AE123</f>
        <v>214.61726522886249</v>
      </c>
      <c r="AF124" s="229">
        <f>AF115-AF122+AF123</f>
        <v>207.2807274064393</v>
      </c>
      <c r="AG124" s="67">
        <f>SUM(AC124:AF124)</f>
        <v>899.59954187172445</v>
      </c>
      <c r="AH124" s="229">
        <f>AH115-AH122+AH123</f>
        <v>246.6912688759528</v>
      </c>
      <c r="AI124" s="229">
        <f>AI115-AI122+AI123</f>
        <v>249.69206878049741</v>
      </c>
      <c r="AJ124" s="229">
        <f>AJ115-AJ122+AJ123</f>
        <v>222.77308016534005</v>
      </c>
      <c r="AK124" s="229">
        <f>AK115-AK122+AK123</f>
        <v>215.0766915573152</v>
      </c>
      <c r="AL124" s="67">
        <f>SUM(AH124:AK124)</f>
        <v>934.23310937910537</v>
      </c>
    </row>
    <row r="125" spans="1:38" outlineLevel="1">
      <c r="A125" s="297"/>
      <c r="B125" s="188" t="s">
        <v>195</v>
      </c>
      <c r="C125" s="163"/>
      <c r="D125" s="446">
        <f>+D124/D115</f>
        <v>0.34839476813317488</v>
      </c>
      <c r="E125" s="446">
        <f>+E124/E115</f>
        <v>0.33340797133900574</v>
      </c>
      <c r="F125" s="446">
        <f>+F124/F115</f>
        <v>0.34108381773860863</v>
      </c>
      <c r="G125" s="446">
        <f>+G124/G115</f>
        <v>0.37571344223578024</v>
      </c>
      <c r="H125" s="361">
        <f>H124/H115</f>
        <v>0.35004516711833789</v>
      </c>
      <c r="I125" s="446">
        <f>+I124/I115</f>
        <v>0.3548321876263647</v>
      </c>
      <c r="J125" s="446">
        <f>+J124/J115</f>
        <v>0.36524754382585239</v>
      </c>
      <c r="K125" s="446">
        <f>+K124/K115</f>
        <v>0.27766599597585523</v>
      </c>
      <c r="L125" s="230">
        <f>+L124/L115</f>
        <v>0.3655494875659927</v>
      </c>
      <c r="M125" s="96">
        <f>M124/M115</f>
        <v>0.34208785326582247</v>
      </c>
      <c r="N125" s="230">
        <f>+N124/N115</f>
        <v>0.38366292856238537</v>
      </c>
      <c r="O125" s="230">
        <f>+O124/O115</f>
        <v>0.38487084137918032</v>
      </c>
      <c r="P125" s="230">
        <f>+P124/P115</f>
        <v>0.37483081985206668</v>
      </c>
      <c r="Q125" s="230">
        <f>+Q124/Q115</f>
        <v>0.378210384000983</v>
      </c>
      <c r="R125" s="96">
        <f>R124/R115</f>
        <v>0.38056107017578422</v>
      </c>
      <c r="S125" s="230">
        <f>+S124/S115</f>
        <v>0.38090905492165167</v>
      </c>
      <c r="T125" s="230">
        <f>+T124/T115</f>
        <v>0.38251867104277032</v>
      </c>
      <c r="U125" s="230">
        <f>+U124/U115</f>
        <v>0.36933030988543131</v>
      </c>
      <c r="V125" s="230">
        <f>+V124/V115</f>
        <v>0.37317358982569199</v>
      </c>
      <c r="W125" s="96">
        <f>W124/W115</f>
        <v>0.37670827462025042</v>
      </c>
      <c r="X125" s="230">
        <f>+X124/X115</f>
        <v>0.37738115281142876</v>
      </c>
      <c r="Y125" s="230">
        <f>+Y124/Y115</f>
        <v>0.37880904122219144</v>
      </c>
      <c r="Z125" s="230">
        <f>+Z124/Z115</f>
        <v>0.36493920614511666</v>
      </c>
      <c r="AA125" s="230">
        <f>+AA124/AA115</f>
        <v>0.36880438361988532</v>
      </c>
      <c r="AB125" s="96">
        <f>AB124/AB115</f>
        <v>0.37272416257352819</v>
      </c>
      <c r="AC125" s="230">
        <f>+AC124/AC115</f>
        <v>0.37374821293387206</v>
      </c>
      <c r="AD125" s="230">
        <f>+AD124/AD115</f>
        <v>0.37513281312002633</v>
      </c>
      <c r="AE125" s="230">
        <f>+AE124/AE115</f>
        <v>0.36093698171079186</v>
      </c>
      <c r="AF125" s="230">
        <f>+AF124/AF115</f>
        <v>0.36466246119943935</v>
      </c>
      <c r="AG125" s="96">
        <f>AG124/AG115</f>
        <v>0.36887067144367069</v>
      </c>
      <c r="AH125" s="230">
        <f>+AH124/AH115</f>
        <v>0.37021854971591039</v>
      </c>
      <c r="AI125" s="230">
        <f>+AI124/AI115</f>
        <v>0.37161584327730102</v>
      </c>
      <c r="AJ125" s="230">
        <f>+AJ124/AJ115</f>
        <v>0.35714545880509985</v>
      </c>
      <c r="AK125" s="230">
        <f>+AK124/AK115</f>
        <v>0.36070256810625706</v>
      </c>
      <c r="AL125" s="96">
        <f>AL124/AL115</f>
        <v>0.36518011541936823</v>
      </c>
    </row>
    <row r="126" spans="1:38" s="231" customFormat="1" outlineLevel="1">
      <c r="A126" s="313"/>
      <c r="B126" s="234" t="s">
        <v>190</v>
      </c>
      <c r="C126" s="232"/>
      <c r="D126" s="335">
        <f t="shared" ref="D126" si="517">+D122-D119</f>
        <v>370.2</v>
      </c>
      <c r="E126" s="335">
        <f>+E122-E119</f>
        <v>325.60000000000002</v>
      </c>
      <c r="F126" s="335">
        <f>+F122-F119</f>
        <v>400</v>
      </c>
      <c r="G126" s="335">
        <f>+G122-G119</f>
        <v>382.00000000000006</v>
      </c>
      <c r="H126" s="376"/>
      <c r="I126" s="335">
        <f t="shared" ref="I126:K126" si="518">+I122-I119</f>
        <v>361.8</v>
      </c>
      <c r="J126" s="335">
        <f t="shared" si="518"/>
        <v>372.3</v>
      </c>
      <c r="K126" s="335">
        <f t="shared" si="518"/>
        <v>373.79999999999995</v>
      </c>
      <c r="L126" s="210">
        <f>+L122-L119</f>
        <v>333.92436000000009</v>
      </c>
      <c r="M126" s="233"/>
      <c r="N126" s="210">
        <f t="shared" ref="N126:Q126" si="519">+N122-N119</f>
        <v>381.93012000000004</v>
      </c>
      <c r="O126" s="210">
        <f t="shared" si="519"/>
        <v>392.43959999999998</v>
      </c>
      <c r="P126" s="210">
        <f t="shared" si="519"/>
        <v>370.36440000000005</v>
      </c>
      <c r="Q126" s="210">
        <f t="shared" si="519"/>
        <v>354.12537600000002</v>
      </c>
      <c r="R126" s="233"/>
      <c r="S126" s="210">
        <f t="shared" ref="S126:V126" si="520">+S122-S119</f>
        <v>404.84592719999995</v>
      </c>
      <c r="T126" s="210">
        <f t="shared" si="520"/>
        <v>408.13718400000005</v>
      </c>
      <c r="U126" s="210">
        <f t="shared" si="520"/>
        <v>388.88261999999997</v>
      </c>
      <c r="V126" s="210">
        <f t="shared" si="520"/>
        <v>371.83164480000005</v>
      </c>
      <c r="W126" s="233"/>
      <c r="X126" s="210">
        <f t="shared" ref="X126:AA126" si="521">+X122-X119</f>
        <v>425.08822356000002</v>
      </c>
      <c r="Y126" s="210">
        <f t="shared" si="521"/>
        <v>427.52370024000004</v>
      </c>
      <c r="Z126" s="210">
        <f t="shared" si="521"/>
        <v>408.08369936249994</v>
      </c>
      <c r="AA126" s="210">
        <f t="shared" si="521"/>
        <v>390.1327335675</v>
      </c>
      <c r="AB126" s="233"/>
      <c r="AC126" s="210">
        <f t="shared" ref="AC126:AF126" si="522">+AC122-AC119</f>
        <v>445.9275095196798</v>
      </c>
      <c r="AD126" s="210">
        <f t="shared" si="522"/>
        <v>448.37800573510555</v>
      </c>
      <c r="AE126" s="210">
        <f t="shared" si="522"/>
        <v>428.12025033388471</v>
      </c>
      <c r="AF126" s="210">
        <f t="shared" si="522"/>
        <v>409.26100054760923</v>
      </c>
      <c r="AG126" s="233"/>
      <c r="AH126" s="210">
        <f t="shared" ref="AH126:AK126" si="523">+AH122-AH119</f>
        <v>467.77037748056534</v>
      </c>
      <c r="AI126" s="210">
        <f t="shared" si="523"/>
        <v>470.33637372646518</v>
      </c>
      <c r="AJ126" s="210">
        <f t="shared" si="523"/>
        <v>449.1072580222164</v>
      </c>
      <c r="AK126" s="210">
        <f t="shared" si="523"/>
        <v>429.31554031977146</v>
      </c>
      <c r="AL126" s="233"/>
    </row>
    <row r="127" spans="1:38" s="231" customFormat="1" outlineLevel="1">
      <c r="A127" s="313"/>
      <c r="B127" s="234" t="s">
        <v>191</v>
      </c>
      <c r="C127" s="232"/>
      <c r="D127" s="235">
        <f>+D126/D115</f>
        <v>0.73365041617122473</v>
      </c>
      <c r="E127" s="235">
        <f>+E126/E115</f>
        <v>0.72906403940886699</v>
      </c>
      <c r="F127" s="235">
        <f>+F126/F115</f>
        <v>0.75004687792987068</v>
      </c>
      <c r="G127" s="326">
        <f>+G126/G115</f>
        <v>0.75182050777406029</v>
      </c>
      <c r="H127" s="233"/>
      <c r="I127" s="326">
        <f t="shared" ref="I127:J127" si="524">+I126/I115</f>
        <v>0.73150020218358269</v>
      </c>
      <c r="J127" s="326">
        <f t="shared" si="524"/>
        <v>0.7172028510884223</v>
      </c>
      <c r="K127" s="326">
        <f>+K126/K115</f>
        <v>0.83568075117370877</v>
      </c>
      <c r="L127" s="236">
        <f>+G127-0.5%</f>
        <v>0.74682050777406028</v>
      </c>
      <c r="M127" s="233"/>
      <c r="N127" s="480">
        <v>0.70199999999999996</v>
      </c>
      <c r="O127" s="480">
        <v>0.7</v>
      </c>
      <c r="P127" s="480">
        <v>0.72</v>
      </c>
      <c r="Q127" s="480">
        <v>0.72</v>
      </c>
      <c r="R127" s="233"/>
      <c r="S127" s="236">
        <f>+N127</f>
        <v>0.70199999999999996</v>
      </c>
      <c r="T127" s="236">
        <f>+O127</f>
        <v>0.7</v>
      </c>
      <c r="U127" s="236">
        <f>+P127</f>
        <v>0.72</v>
      </c>
      <c r="V127" s="236">
        <f>+Q127</f>
        <v>0.72</v>
      </c>
      <c r="W127" s="233"/>
      <c r="X127" s="236">
        <f>+S127</f>
        <v>0.70199999999999996</v>
      </c>
      <c r="Y127" s="236">
        <f>+T127</f>
        <v>0.7</v>
      </c>
      <c r="Z127" s="236">
        <f>+U127</f>
        <v>0.72</v>
      </c>
      <c r="AA127" s="236">
        <f>+V127</f>
        <v>0.72</v>
      </c>
      <c r="AB127" s="233"/>
      <c r="AC127" s="236">
        <f>+X127</f>
        <v>0.70199999999999996</v>
      </c>
      <c r="AD127" s="236">
        <f>+Y127</f>
        <v>0.7</v>
      </c>
      <c r="AE127" s="236">
        <f>+Z127</f>
        <v>0.72</v>
      </c>
      <c r="AF127" s="236">
        <f>+AA127</f>
        <v>0.72</v>
      </c>
      <c r="AG127" s="233"/>
      <c r="AH127" s="236">
        <f>+AC127</f>
        <v>0.70199999999999996</v>
      </c>
      <c r="AI127" s="236">
        <f>+AD127</f>
        <v>0.7</v>
      </c>
      <c r="AJ127" s="236">
        <f>+AE127</f>
        <v>0.72</v>
      </c>
      <c r="AK127" s="236">
        <f>+AF127</f>
        <v>0.72</v>
      </c>
      <c r="AL127" s="233"/>
    </row>
    <row r="128" spans="1:38" ht="18">
      <c r="A128" s="297"/>
      <c r="B128" s="524" t="s">
        <v>196</v>
      </c>
      <c r="C128" s="525"/>
      <c r="D128" s="36" t="s">
        <v>123</v>
      </c>
      <c r="E128" s="36" t="s">
        <v>281</v>
      </c>
      <c r="F128" s="36" t="s">
        <v>285</v>
      </c>
      <c r="G128" s="36" t="s">
        <v>295</v>
      </c>
      <c r="H128" s="103" t="s">
        <v>296</v>
      </c>
      <c r="I128" s="36" t="s">
        <v>297</v>
      </c>
      <c r="J128" s="36" t="s">
        <v>298</v>
      </c>
      <c r="K128" s="36" t="s">
        <v>299</v>
      </c>
      <c r="L128" s="34" t="s">
        <v>141</v>
      </c>
      <c r="M128" s="106" t="s">
        <v>142</v>
      </c>
      <c r="N128" s="34" t="s">
        <v>143</v>
      </c>
      <c r="O128" s="34" t="s">
        <v>144</v>
      </c>
      <c r="P128" s="34" t="s">
        <v>145</v>
      </c>
      <c r="Q128" s="34" t="s">
        <v>146</v>
      </c>
      <c r="R128" s="106" t="s">
        <v>147</v>
      </c>
      <c r="S128" s="34" t="s">
        <v>148</v>
      </c>
      <c r="T128" s="34" t="s">
        <v>149</v>
      </c>
      <c r="U128" s="34" t="s">
        <v>150</v>
      </c>
      <c r="V128" s="34" t="s">
        <v>151</v>
      </c>
      <c r="W128" s="106" t="s">
        <v>152</v>
      </c>
      <c r="X128" s="34" t="s">
        <v>153</v>
      </c>
      <c r="Y128" s="34" t="s">
        <v>154</v>
      </c>
      <c r="Z128" s="34" t="s">
        <v>155</v>
      </c>
      <c r="AA128" s="34" t="s">
        <v>156</v>
      </c>
      <c r="AB128" s="106" t="s">
        <v>157</v>
      </c>
      <c r="AC128" s="34" t="s">
        <v>290</v>
      </c>
      <c r="AD128" s="34" t="s">
        <v>291</v>
      </c>
      <c r="AE128" s="34" t="s">
        <v>292</v>
      </c>
      <c r="AF128" s="34" t="s">
        <v>293</v>
      </c>
      <c r="AG128" s="106" t="s">
        <v>294</v>
      </c>
      <c r="AH128" s="34" t="s">
        <v>323</v>
      </c>
      <c r="AI128" s="34" t="s">
        <v>324</v>
      </c>
      <c r="AJ128" s="34" t="s">
        <v>325</v>
      </c>
      <c r="AK128" s="34" t="s">
        <v>326</v>
      </c>
      <c r="AL128" s="106" t="s">
        <v>327</v>
      </c>
    </row>
    <row r="129" spans="1:38" s="20" customFormat="1" outlineLevel="1">
      <c r="A129" s="312"/>
      <c r="B129" s="522" t="s">
        <v>343</v>
      </c>
      <c r="C129" s="523"/>
      <c r="D129" s="190">
        <v>11.6</v>
      </c>
      <c r="E129" s="190">
        <v>15.8</v>
      </c>
      <c r="F129" s="190">
        <v>23.3</v>
      </c>
      <c r="G129" s="190">
        <v>15.4</v>
      </c>
      <c r="H129" s="18"/>
      <c r="I129" s="190">
        <v>20.5</v>
      </c>
      <c r="J129" s="190">
        <v>12</v>
      </c>
      <c r="K129" s="190">
        <v>19.7</v>
      </c>
      <c r="L129" s="190">
        <f t="shared" ref="L129" si="525">+G129*(1+L130)</f>
        <v>13.09</v>
      </c>
      <c r="M129" s="18"/>
      <c r="N129" s="190">
        <f>+I129*(1+N130)</f>
        <v>19.474999999999998</v>
      </c>
      <c r="O129" s="190">
        <f>+J129*(1+O130)</f>
        <v>12.600000000000001</v>
      </c>
      <c r="P129" s="190">
        <f>+K129*(1+P130)</f>
        <v>21.67</v>
      </c>
      <c r="Q129" s="190">
        <f t="shared" ref="Q129" si="526">+L129*(1+Q130)</f>
        <v>14.399000000000001</v>
      </c>
      <c r="R129" s="18"/>
      <c r="S129" s="190">
        <f>+N129*(1+S130)</f>
        <v>21.422499999999999</v>
      </c>
      <c r="T129" s="190">
        <f>+O129*(1+T130)</f>
        <v>13.860000000000003</v>
      </c>
      <c r="U129" s="190">
        <f>+P129*(1+U130)</f>
        <v>23.837000000000003</v>
      </c>
      <c r="V129" s="190">
        <f t="shared" ref="V129" si="527">+Q129*(1+V130)</f>
        <v>15.838900000000002</v>
      </c>
      <c r="W129" s="18"/>
      <c r="X129" s="190">
        <f>+S129*(1+X130)</f>
        <v>23.56475</v>
      </c>
      <c r="Y129" s="190">
        <f>+T129*(1+Y130)</f>
        <v>15.246000000000004</v>
      </c>
      <c r="Z129" s="190">
        <f>+U129*(1+Z130)</f>
        <v>26.220700000000004</v>
      </c>
      <c r="AA129" s="190">
        <f t="shared" ref="AA129" si="528">+V129*(1+AA130)</f>
        <v>17.422790000000003</v>
      </c>
      <c r="AB129" s="27"/>
      <c r="AC129" s="190">
        <f>+X129*(1+AC130)</f>
        <v>25.921225000000003</v>
      </c>
      <c r="AD129" s="190">
        <f>+Y129*(1+AD130)</f>
        <v>16.770600000000005</v>
      </c>
      <c r="AE129" s="190">
        <f>+Z129*(1+AE130)</f>
        <v>28.842770000000009</v>
      </c>
      <c r="AF129" s="190">
        <f t="shared" ref="AF129" si="529">+AA129*(1+AF130)</f>
        <v>19.165069000000006</v>
      </c>
      <c r="AG129" s="27"/>
      <c r="AH129" s="190">
        <f>+AC129*(1+AH130)</f>
        <v>28.513347500000005</v>
      </c>
      <c r="AI129" s="190">
        <f>+AD129*(1+AI130)</f>
        <v>18.447660000000006</v>
      </c>
      <c r="AJ129" s="190">
        <f>+AE129*(1+AJ130)</f>
        <v>31.727047000000013</v>
      </c>
      <c r="AK129" s="190">
        <f t="shared" ref="AK129" si="530">+AF129*(1+AK130)</f>
        <v>21.081575900000008</v>
      </c>
      <c r="AL129" s="27"/>
    </row>
    <row r="130" spans="1:38" s="20" customFormat="1" outlineLevel="1">
      <c r="A130" s="312"/>
      <c r="B130" s="94" t="s">
        <v>344</v>
      </c>
      <c r="C130" s="85"/>
      <c r="D130" s="64"/>
      <c r="E130" s="64"/>
      <c r="F130" s="64"/>
      <c r="G130" s="330"/>
      <c r="H130" s="380"/>
      <c r="I130" s="330">
        <f t="shared" ref="I130:J130" si="531">I129/D129-1</f>
        <v>0.76724137931034497</v>
      </c>
      <c r="J130" s="330">
        <f t="shared" si="531"/>
        <v>-0.24050632911392411</v>
      </c>
      <c r="K130" s="330">
        <f>K129/F129-1</f>
        <v>-0.15450643776824036</v>
      </c>
      <c r="L130" s="72">
        <v>-0.15</v>
      </c>
      <c r="M130" s="18"/>
      <c r="N130" s="72">
        <v>-0.05</v>
      </c>
      <c r="O130" s="72">
        <v>0.05</v>
      </c>
      <c r="P130" s="72">
        <v>0.1</v>
      </c>
      <c r="Q130" s="72">
        <v>0.1</v>
      </c>
      <c r="R130" s="18"/>
      <c r="S130" s="72">
        <v>0.1</v>
      </c>
      <c r="T130" s="72">
        <v>0.1</v>
      </c>
      <c r="U130" s="72">
        <f>AVERAGE(T130,S130,Q130,P130)</f>
        <v>0.1</v>
      </c>
      <c r="V130" s="72">
        <f>AVERAGE(U130,T130,S130,Q130)</f>
        <v>0.1</v>
      </c>
      <c r="W130" s="18"/>
      <c r="X130" s="72">
        <f>AVERAGE(V130,U130,T130,S130)</f>
        <v>0.1</v>
      </c>
      <c r="Y130" s="72">
        <f>AVERAGE(X130,V130,U130,T130)</f>
        <v>0.1</v>
      </c>
      <c r="Z130" s="72">
        <f>AVERAGE(Y130,X130,V130,U130)</f>
        <v>0.1</v>
      </c>
      <c r="AA130" s="72">
        <f>AVERAGE(Z130,Y130,X130,V130)</f>
        <v>0.1</v>
      </c>
      <c r="AB130" s="27"/>
      <c r="AC130" s="72">
        <f>AVERAGE(AA130,Z130,Y130,X130)</f>
        <v>0.1</v>
      </c>
      <c r="AD130" s="72">
        <f>AVERAGE(AC130,AA130,Z130,Y130)</f>
        <v>0.1</v>
      </c>
      <c r="AE130" s="72">
        <f>AVERAGE(AD130,AC130,AA130,Z130)</f>
        <v>0.1</v>
      </c>
      <c r="AF130" s="72">
        <f>AVERAGE(AE130,AD130,AC130,AA130)</f>
        <v>0.1</v>
      </c>
      <c r="AG130" s="27"/>
      <c r="AH130" s="72">
        <f>AVERAGE(AF130,AE130,AD130,AC130)</f>
        <v>0.1</v>
      </c>
      <c r="AI130" s="72">
        <f>AVERAGE(AH130,AF130,AE130,AD130)</f>
        <v>0.1</v>
      </c>
      <c r="AJ130" s="72">
        <f>AVERAGE(AI130,AH130,AF130,AE130)</f>
        <v>0.1</v>
      </c>
      <c r="AK130" s="72">
        <f>AVERAGE(AJ130,AI130,AH130,AF130)</f>
        <v>0.1</v>
      </c>
      <c r="AL130" s="27"/>
    </row>
    <row r="131" spans="1:38" outlineLevel="1">
      <c r="A131" s="297"/>
      <c r="B131" s="526" t="s">
        <v>300</v>
      </c>
      <c r="C131" s="527"/>
      <c r="D131" s="190">
        <v>13.4</v>
      </c>
      <c r="E131" s="190">
        <v>15.9</v>
      </c>
      <c r="F131" s="190">
        <v>22.4</v>
      </c>
      <c r="G131" s="304">
        <v>15.5</v>
      </c>
      <c r="H131" s="317"/>
      <c r="I131" s="304">
        <v>20.7</v>
      </c>
      <c r="J131" s="304">
        <v>10.199999999999999</v>
      </c>
      <c r="K131" s="304">
        <v>20.8</v>
      </c>
      <c r="L131" s="261">
        <f>AVERAGE(K131,J131,I131,G131)</f>
        <v>16.8</v>
      </c>
      <c r="M131" s="18"/>
      <c r="N131" s="261">
        <f>AVERAGE(L131,K131,J131,I131)</f>
        <v>17.125</v>
      </c>
      <c r="O131" s="261">
        <f>AVERAGE(N131,L131,K131,J131)</f>
        <v>16.231249999999999</v>
      </c>
      <c r="P131" s="261">
        <f>AVERAGE(O131,N131,L131,K131)</f>
        <v>17.739062499999999</v>
      </c>
      <c r="Q131" s="261">
        <f>AVERAGE(P131,O131,N131,L131)</f>
        <v>16.973828125000001</v>
      </c>
      <c r="R131" s="18"/>
      <c r="S131" s="261">
        <f>AVERAGE(Q131,P131,O131,N131)</f>
        <v>17.017285156250001</v>
      </c>
      <c r="T131" s="261">
        <f>AVERAGE(S131,Q131,P131,O131)</f>
        <v>16.9903564453125</v>
      </c>
      <c r="U131" s="261">
        <f>AVERAGE(T131,S131,Q131,P131)</f>
        <v>17.180133056640624</v>
      </c>
      <c r="V131" s="261">
        <f>AVERAGE(U131,T131,S131,Q131)</f>
        <v>17.040400695800781</v>
      </c>
      <c r="W131" s="18"/>
      <c r="X131" s="261">
        <f>AVERAGE(V131,U131,T131,S131)</f>
        <v>17.057043838500977</v>
      </c>
      <c r="Y131" s="261">
        <f>AVERAGE(X131,V131,U131,T131)</f>
        <v>17.066983509063721</v>
      </c>
      <c r="Z131" s="261">
        <f>AVERAGE(Y131,X131,V131,U131)</f>
        <v>17.086140275001526</v>
      </c>
      <c r="AA131" s="261">
        <f>AVERAGE(Z131,Y131,X131,V131)</f>
        <v>17.06264207959175</v>
      </c>
      <c r="AB131" s="18"/>
      <c r="AC131" s="261">
        <f>AVERAGE(AA131,Z131,Y131,X131)</f>
        <v>17.068202425539493</v>
      </c>
      <c r="AD131" s="261">
        <f>AVERAGE(AC131,AA131,Z131,Y131)</f>
        <v>17.070992072299124</v>
      </c>
      <c r="AE131" s="261">
        <f>AVERAGE(AD131,AC131,AA131,Z131)</f>
        <v>17.071994213107974</v>
      </c>
      <c r="AF131" s="261">
        <f>AVERAGE(AE131,AD131,AC131,AA131)</f>
        <v>17.068457697634585</v>
      </c>
      <c r="AG131" s="18"/>
      <c r="AH131" s="261">
        <f>AVERAGE(AF131,AE131,AD131,AC131)</f>
        <v>17.069911602145293</v>
      </c>
      <c r="AI131" s="261">
        <f>AVERAGE(AH131,AF131,AE131,AD131)</f>
        <v>17.070338896296743</v>
      </c>
      <c r="AJ131" s="261">
        <f>AVERAGE(AI131,AH131,AF131,AE131)</f>
        <v>17.07017560229615</v>
      </c>
      <c r="AK131" s="261">
        <f>AVERAGE(AJ131,AI131,AH131,AF131)</f>
        <v>17.069720949593194</v>
      </c>
      <c r="AL131" s="18"/>
    </row>
    <row r="132" spans="1:38" outlineLevel="1">
      <c r="A132" s="297"/>
      <c r="B132" s="51" t="s">
        <v>159</v>
      </c>
      <c r="C132" s="40"/>
      <c r="D132" s="190">
        <v>3.2</v>
      </c>
      <c r="E132" s="190">
        <v>4.3</v>
      </c>
      <c r="F132" s="190">
        <v>5.8</v>
      </c>
      <c r="G132" s="304">
        <f>5.2+0.1</f>
        <v>5.3</v>
      </c>
      <c r="H132" s="317"/>
      <c r="I132" s="304">
        <v>2.8</v>
      </c>
      <c r="J132" s="304">
        <v>3.7</v>
      </c>
      <c r="K132" s="304">
        <v>4</v>
      </c>
      <c r="L132" s="261">
        <f t="shared" ref="L132" si="532">AVERAGE(K132,J132,I132,G132)</f>
        <v>3.95</v>
      </c>
      <c r="M132" s="18"/>
      <c r="N132" s="261">
        <f t="shared" ref="N132" si="533">AVERAGE(L132,K132,J132,I132)</f>
        <v>3.6124999999999998</v>
      </c>
      <c r="O132" s="261">
        <f t="shared" ref="O132" si="534">AVERAGE(N132,L132,K132,J132)</f>
        <v>3.8156249999999998</v>
      </c>
      <c r="P132" s="261">
        <f t="shared" ref="P132" si="535">AVERAGE(O132,N132,L132,K132)</f>
        <v>3.8445312500000002</v>
      </c>
      <c r="Q132" s="261">
        <f t="shared" ref="Q132" si="536">AVERAGE(P132,O132,N132,L132)</f>
        <v>3.8056640625</v>
      </c>
      <c r="R132" s="18"/>
      <c r="S132" s="261">
        <f t="shared" ref="S132" si="537">AVERAGE(Q132,P132,O132,N132)</f>
        <v>3.7695800781250002</v>
      </c>
      <c r="T132" s="261">
        <f t="shared" ref="T132" si="538">AVERAGE(S132,Q132,P132,O132)</f>
        <v>3.8088500976562498</v>
      </c>
      <c r="U132" s="261">
        <f t="shared" ref="U132" si="539">AVERAGE(T132,S132,Q132,P132)</f>
        <v>3.8071563720703123</v>
      </c>
      <c r="V132" s="261">
        <f t="shared" ref="V132" si="540">AVERAGE(U132,T132,S132,Q132)</f>
        <v>3.7978126525878908</v>
      </c>
      <c r="W132" s="18"/>
      <c r="X132" s="261">
        <f t="shared" ref="X132" si="541">AVERAGE(V132,U132,T132,S132)</f>
        <v>3.7958498001098633</v>
      </c>
      <c r="Y132" s="261">
        <f t="shared" ref="Y132" si="542">AVERAGE(X132,V132,U132,T132)</f>
        <v>3.8024172306060793</v>
      </c>
      <c r="Z132" s="261">
        <f t="shared" ref="Z132" si="543">AVERAGE(Y132,X132,V132,U132)</f>
        <v>3.8008090138435362</v>
      </c>
      <c r="AA132" s="261">
        <f t="shared" ref="AA132" si="544">AVERAGE(Z132,Y132,X132,V132)</f>
        <v>3.7992221742868422</v>
      </c>
      <c r="AB132" s="18"/>
      <c r="AC132" s="261">
        <f t="shared" ref="AC132" si="545">AVERAGE(AA132,Z132,Y132,X132)</f>
        <v>3.7995745547115805</v>
      </c>
      <c r="AD132" s="261">
        <f t="shared" ref="AD132" si="546">AVERAGE(AC132,AA132,Z132,Y132)</f>
        <v>3.8005057433620095</v>
      </c>
      <c r="AE132" s="261">
        <f t="shared" ref="AE132" si="547">AVERAGE(AD132,AC132,AA132,Z132)</f>
        <v>3.8000278715509923</v>
      </c>
      <c r="AF132" s="261">
        <f t="shared" ref="AF132" si="548">AVERAGE(AE132,AD132,AC132,AA132)</f>
        <v>3.7998325859778559</v>
      </c>
      <c r="AG132" s="18"/>
      <c r="AH132" s="261">
        <f t="shared" ref="AH132" si="549">AVERAGE(AF132,AE132,AD132,AC132)</f>
        <v>3.7999851889006093</v>
      </c>
      <c r="AI132" s="261">
        <f t="shared" ref="AI132" si="550">AVERAGE(AH132,AF132,AE132,AD132)</f>
        <v>3.800087847447867</v>
      </c>
      <c r="AJ132" s="261">
        <f t="shared" ref="AJ132" si="551">AVERAGE(AI132,AH132,AF132,AE132)</f>
        <v>3.7999833734693311</v>
      </c>
      <c r="AK132" s="261">
        <f t="shared" ref="AK132" si="552">AVERAGE(AJ132,AI132,AH132,AF132)</f>
        <v>3.7999722489489161</v>
      </c>
      <c r="AL132" s="18"/>
    </row>
    <row r="133" spans="1:38" outlineLevel="1">
      <c r="A133" s="297"/>
      <c r="B133" s="51" t="s">
        <v>160</v>
      </c>
      <c r="C133" s="40"/>
      <c r="D133" s="227">
        <v>39.5</v>
      </c>
      <c r="E133" s="227">
        <v>40.5</v>
      </c>
      <c r="F133" s="227">
        <v>39.6</v>
      </c>
      <c r="G133" s="332">
        <v>37.299999999999997</v>
      </c>
      <c r="H133" s="380"/>
      <c r="I133" s="332">
        <v>34.9</v>
      </c>
      <c r="J133" s="332">
        <v>34.5</v>
      </c>
      <c r="K133" s="332">
        <v>40.9</v>
      </c>
      <c r="L133" s="227">
        <f>(K133/(K72+K105+K119+K133))*L242</f>
        <v>41.749182649817662</v>
      </c>
      <c r="M133" s="18"/>
      <c r="N133" s="227">
        <f>(L133/(L72+L105+L119+L133))*N242</f>
        <v>41.817126105521361</v>
      </c>
      <c r="O133" s="227">
        <f>(N133/(N72+N105+N119+N133))*O242</f>
        <v>42.216290054209857</v>
      </c>
      <c r="P133" s="227">
        <f>(O133/(O72+O105+O119+O133))*P242</f>
        <v>41.960901309401365</v>
      </c>
      <c r="Q133" s="227">
        <f>(P133/(P72+P105+P119+P133))*Q242</f>
        <v>41.783130134695838</v>
      </c>
      <c r="R133" s="18"/>
      <c r="S133" s="227">
        <f>(Q133/(Q72+Q105+Q119+Q133))*S242</f>
        <v>42.466334649745782</v>
      </c>
      <c r="T133" s="227">
        <f>(S133/(S72+S105+S119+S133))*T242</f>
        <v>43.06847800870559</v>
      </c>
      <c r="U133" s="227">
        <f>(T133/(T72+T105+T119+T133))*U242</f>
        <v>42.886193205018621</v>
      </c>
      <c r="V133" s="227">
        <f>(U133/(U72+U105+U119+U133))*V242</f>
        <v>42.810219190794392</v>
      </c>
      <c r="W133" s="18"/>
      <c r="X133" s="227">
        <f>(V133/(V72+V105+V119+V133))*X242</f>
        <v>43.481733962439343</v>
      </c>
      <c r="Y133" s="227">
        <f>(X133/(X72+X105+X119+X133))*Y242</f>
        <v>43.666712311747013</v>
      </c>
      <c r="Z133" s="227">
        <f>(Y133/(Y72+Y105+Y119+Y133))*Z242</f>
        <v>43.177060707561374</v>
      </c>
      <c r="AA133" s="227">
        <f>(Z133/(Z72+Z105+Z119+Z133))*AA242</f>
        <v>42.801706333758403</v>
      </c>
      <c r="AB133" s="18"/>
      <c r="AC133" s="227">
        <f>(AA133/(AA72+AA105+AA119+AA133))*AC242</f>
        <v>43.051214624415813</v>
      </c>
      <c r="AD133" s="227">
        <f>(AC133/(AC72+AC105+AC119+AC133))*AD242</f>
        <v>43.451351596079981</v>
      </c>
      <c r="AE133" s="227">
        <f>(AD133/(AD72+AD105+AD119+AD133))*AE242</f>
        <v>43.09624885977049</v>
      </c>
      <c r="AF133" s="227">
        <f>(AE133/(AE72+AE105+AE119+AE133))*AF242</f>
        <v>42.854720784833127</v>
      </c>
      <c r="AG133" s="18"/>
      <c r="AH133" s="227">
        <f>(AF133/(AF72+AF105+AF119+AF133))*AH242</f>
        <v>43.253227307558177</v>
      </c>
      <c r="AI133" s="227">
        <f>(AH133/(AH72+AH105+AH119+AH133))*AI242</f>
        <v>43.84656598314173</v>
      </c>
      <c r="AJ133" s="227">
        <f>(AI133/(AI72+AI105+AI119+AI133))*AJ242</f>
        <v>43.607357704415698</v>
      </c>
      <c r="AK133" s="227">
        <f>(AJ133/(AJ72+AJ105+AJ119+AJ133))*AK242</f>
        <v>43.4842420978786</v>
      </c>
      <c r="AL133" s="18"/>
    </row>
    <row r="134" spans="1:38" outlineLevel="1">
      <c r="A134" s="297"/>
      <c r="B134" s="51" t="s">
        <v>161</v>
      </c>
      <c r="C134" s="40"/>
      <c r="D134" s="190">
        <v>300.39999999999998</v>
      </c>
      <c r="E134" s="190">
        <v>303.89999999999998</v>
      </c>
      <c r="F134" s="190">
        <v>299</v>
      </c>
      <c r="G134" s="304">
        <v>267.39999999999998</v>
      </c>
      <c r="H134" s="317"/>
      <c r="I134" s="304">
        <v>292.2</v>
      </c>
      <c r="J134" s="304">
        <v>271.60000000000002</v>
      </c>
      <c r="K134" s="304">
        <v>269.10000000000002</v>
      </c>
      <c r="L134" s="261">
        <f>AVERAGE(K134,J134,I134,G134)-20</f>
        <v>255.07500000000005</v>
      </c>
      <c r="M134" s="18"/>
      <c r="N134" s="261">
        <f>AVERAGE(L134,K134,J134,I134)-20</f>
        <v>251.99375000000003</v>
      </c>
      <c r="O134" s="261">
        <f>AVERAGE(N134,L134,K134,J134)-20</f>
        <v>241.94218750000005</v>
      </c>
      <c r="P134" s="261">
        <f>AVERAGE(O134,N134,L134,K134)-20</f>
        <v>234.52773437500005</v>
      </c>
      <c r="Q134" s="261">
        <f>AVERAGE(P134,O134,N134,L134)-20</f>
        <v>225.88466796875002</v>
      </c>
      <c r="R134" s="18"/>
      <c r="S134" s="261">
        <f t="shared" ref="S134:S135" si="553">AVERAGE(Q134,P134,O134,N134)</f>
        <v>238.58708496093755</v>
      </c>
      <c r="T134" s="261">
        <f t="shared" ref="T134:T135" si="554">AVERAGE(S134,Q134,P134,O134)</f>
        <v>235.23541870117191</v>
      </c>
      <c r="U134" s="261">
        <f t="shared" ref="U134:U135" si="555">AVERAGE(T134,S134,Q134,P134)</f>
        <v>233.55872650146486</v>
      </c>
      <c r="V134" s="261">
        <f t="shared" ref="V134:V135" si="556">AVERAGE(U134,T134,S134,Q134)</f>
        <v>233.31647453308108</v>
      </c>
      <c r="W134" s="18"/>
      <c r="X134" s="261">
        <f t="shared" ref="X134:X135" si="557">AVERAGE(V134,U134,T134,S134)</f>
        <v>235.17442617416384</v>
      </c>
      <c r="Y134" s="261">
        <f t="shared" ref="Y134:Y135" si="558">AVERAGE(X134,V134,U134,T134)</f>
        <v>234.32126147747044</v>
      </c>
      <c r="Z134" s="261">
        <f t="shared" ref="Z134:Z135" si="559">AVERAGE(Y134,X134,V134,U134)</f>
        <v>234.09272217154506</v>
      </c>
      <c r="AA134" s="261">
        <f t="shared" ref="AA134:AA135" si="560">AVERAGE(Z134,Y134,X134,V134)</f>
        <v>234.22622108906509</v>
      </c>
      <c r="AB134" s="18"/>
      <c r="AC134" s="261">
        <f t="shared" ref="AC134:AC135" si="561">AVERAGE(AA134,Z134,Y134,X134)</f>
        <v>234.4536577280611</v>
      </c>
      <c r="AD134" s="261">
        <f t="shared" ref="AD134:AD135" si="562">AVERAGE(AC134,AA134,Z134,Y134)</f>
        <v>234.27346561653542</v>
      </c>
      <c r="AE134" s="261">
        <f t="shared" ref="AE134:AE135" si="563">AVERAGE(AD134,AC134,AA134,Z134)</f>
        <v>234.26151665130169</v>
      </c>
      <c r="AF134" s="261">
        <f t="shared" ref="AF134:AF135" si="564">AVERAGE(AE134,AD134,AC134,AA134)</f>
        <v>234.30371527124083</v>
      </c>
      <c r="AG134" s="18"/>
      <c r="AH134" s="261">
        <f t="shared" ref="AH134:AH135" si="565">AVERAGE(AF134,AE134,AD134,AC134)</f>
        <v>234.32308881678475</v>
      </c>
      <c r="AI134" s="261">
        <f t="shared" ref="AI134:AI135" si="566">AVERAGE(AH134,AF134,AE134,AD134)</f>
        <v>234.29044658896566</v>
      </c>
      <c r="AJ134" s="261">
        <f t="shared" ref="AJ134:AJ135" si="567">AVERAGE(AI134,AH134,AF134,AE134)</f>
        <v>234.29469183207323</v>
      </c>
      <c r="AK134" s="261">
        <f t="shared" ref="AK134:AK135" si="568">AVERAGE(AJ134,AI134,AH134,AF134)</f>
        <v>234.30298562726614</v>
      </c>
      <c r="AL134" s="18"/>
    </row>
    <row r="135" spans="1:38" ht="17.25" outlineLevel="1">
      <c r="A135" s="297"/>
      <c r="B135" s="51" t="s">
        <v>169</v>
      </c>
      <c r="C135" s="40"/>
      <c r="D135" s="333">
        <v>13.9</v>
      </c>
      <c r="E135" s="333">
        <v>0.6</v>
      </c>
      <c r="F135" s="333">
        <v>6</v>
      </c>
      <c r="G135" s="333">
        <v>-0.9</v>
      </c>
      <c r="H135" s="381"/>
      <c r="I135" s="333">
        <v>0.3</v>
      </c>
      <c r="J135" s="333">
        <v>0</v>
      </c>
      <c r="K135" s="333">
        <v>22.1</v>
      </c>
      <c r="L135" s="338">
        <f t="shared" ref="L135" si="569">AVERAGE(K135,J135,I135,G135)</f>
        <v>5.3750000000000009</v>
      </c>
      <c r="M135" s="18"/>
      <c r="N135" s="338">
        <f t="shared" ref="N135" si="570">AVERAGE(L135,K135,J135,I135)</f>
        <v>6.9437500000000005</v>
      </c>
      <c r="O135" s="338">
        <f t="shared" ref="O135" si="571">AVERAGE(N135,L135,K135,J135)</f>
        <v>8.6046875000000007</v>
      </c>
      <c r="P135" s="338">
        <f t="shared" ref="P135" si="572">AVERAGE(O135,N135,L135,K135)</f>
        <v>10.755859375</v>
      </c>
      <c r="Q135" s="338">
        <f t="shared" ref="Q135" si="573">AVERAGE(P135,O135,N135,L135)</f>
        <v>7.9198242187500005</v>
      </c>
      <c r="R135" s="18"/>
      <c r="S135" s="338">
        <f t="shared" si="553"/>
        <v>8.5560302734375</v>
      </c>
      <c r="T135" s="338">
        <f t="shared" si="554"/>
        <v>8.9591003417968764</v>
      </c>
      <c r="U135" s="338">
        <f t="shared" si="555"/>
        <v>9.0477035522460945</v>
      </c>
      <c r="V135" s="338">
        <f t="shared" si="556"/>
        <v>8.6206645965576172</v>
      </c>
      <c r="W135" s="18"/>
      <c r="X135" s="338">
        <f t="shared" si="557"/>
        <v>8.7958746910095229</v>
      </c>
      <c r="Y135" s="338">
        <f t="shared" si="558"/>
        <v>8.8558357954025269</v>
      </c>
      <c r="Z135" s="338">
        <f t="shared" si="559"/>
        <v>8.8300196588039412</v>
      </c>
      <c r="AA135" s="338">
        <f t="shared" si="560"/>
        <v>8.775598685443402</v>
      </c>
      <c r="AB135" s="18"/>
      <c r="AC135" s="338">
        <f t="shared" si="561"/>
        <v>8.8143322076648474</v>
      </c>
      <c r="AD135" s="338">
        <f t="shared" si="562"/>
        <v>8.8189465868286803</v>
      </c>
      <c r="AE135" s="338">
        <f t="shared" si="563"/>
        <v>8.8097242846852168</v>
      </c>
      <c r="AF135" s="338">
        <f t="shared" si="564"/>
        <v>8.8046504411555375</v>
      </c>
      <c r="AG135" s="18"/>
      <c r="AH135" s="338">
        <f t="shared" si="565"/>
        <v>8.8119133800835705</v>
      </c>
      <c r="AI135" s="338">
        <f t="shared" si="566"/>
        <v>8.8113086731882504</v>
      </c>
      <c r="AJ135" s="338">
        <f t="shared" si="567"/>
        <v>8.8093991947781447</v>
      </c>
      <c r="AK135" s="338">
        <f t="shared" si="568"/>
        <v>8.8093179223013749</v>
      </c>
      <c r="AL135" s="18"/>
    </row>
    <row r="136" spans="1:38" outlineLevel="1">
      <c r="A136" s="297"/>
      <c r="B136" s="188" t="s">
        <v>197</v>
      </c>
      <c r="C136" s="43"/>
      <c r="D136" s="302">
        <f t="shared" ref="D136:J136" si="574">SUM(D131:D135)</f>
        <v>370.4</v>
      </c>
      <c r="E136" s="302">
        <f t="shared" si="574"/>
        <v>365.2</v>
      </c>
      <c r="F136" s="302">
        <f t="shared" si="574"/>
        <v>372.8</v>
      </c>
      <c r="G136" s="302">
        <f t="shared" si="574"/>
        <v>324.60000000000002</v>
      </c>
      <c r="H136" s="380"/>
      <c r="I136" s="302">
        <f t="shared" si="574"/>
        <v>350.9</v>
      </c>
      <c r="J136" s="302">
        <f t="shared" si="574"/>
        <v>320</v>
      </c>
      <c r="K136" s="302">
        <f>SUM(K131:K135)</f>
        <v>356.90000000000003</v>
      </c>
      <c r="L136" s="192">
        <f>SUM(L131:L135)</f>
        <v>322.94918264981771</v>
      </c>
      <c r="M136" s="21"/>
      <c r="N136" s="192">
        <f t="shared" ref="N136" si="575">SUM(N131:N135)</f>
        <v>321.49212610552144</v>
      </c>
      <c r="O136" s="192">
        <f t="shared" ref="O136" si="576">SUM(O131:O135)</f>
        <v>312.81004005420994</v>
      </c>
      <c r="P136" s="192">
        <f t="shared" ref="P136" si="577">SUM(P131:P135)</f>
        <v>308.82808880940144</v>
      </c>
      <c r="Q136" s="192">
        <f t="shared" ref="Q136" si="578">SUM(Q131:Q135)</f>
        <v>296.36711450969585</v>
      </c>
      <c r="R136" s="21"/>
      <c r="S136" s="192">
        <f t="shared" ref="S136" si="579">SUM(S131:S135)</f>
        <v>310.39631511849581</v>
      </c>
      <c r="T136" s="192">
        <f t="shared" ref="T136" si="580">SUM(T131:T135)</f>
        <v>308.06220359464317</v>
      </c>
      <c r="U136" s="192">
        <f t="shared" ref="U136" si="581">SUM(U131:U135)</f>
        <v>306.4799126874405</v>
      </c>
      <c r="V136" s="192">
        <f t="shared" ref="V136" si="582">SUM(V131:V135)</f>
        <v>305.58557166882179</v>
      </c>
      <c r="W136" s="21"/>
      <c r="X136" s="192">
        <f t="shared" ref="X136" si="583">SUM(X131:X135)</f>
        <v>308.3049284662236</v>
      </c>
      <c r="Y136" s="192">
        <f t="shared" ref="Y136" si="584">SUM(Y131:Y135)</f>
        <v>307.71321032428978</v>
      </c>
      <c r="Z136" s="192">
        <f t="shared" ref="Z136" si="585">SUM(Z131:Z135)</f>
        <v>306.98675182675549</v>
      </c>
      <c r="AA136" s="192">
        <f t="shared" ref="AA136" si="586">SUM(AA131:AA135)</f>
        <v>306.6653903621455</v>
      </c>
      <c r="AB136" s="21"/>
      <c r="AC136" s="192">
        <f t="shared" ref="AC136" si="587">SUM(AC131:AC135)</f>
        <v>307.18698154039282</v>
      </c>
      <c r="AD136" s="192">
        <f t="shared" ref="AD136" si="588">SUM(AD131:AD135)</f>
        <v>307.41526161510524</v>
      </c>
      <c r="AE136" s="192">
        <f t="shared" ref="AE136" si="589">SUM(AE131:AE135)</f>
        <v>307.03951188041634</v>
      </c>
      <c r="AF136" s="192">
        <f t="shared" ref="AF136" si="590">SUM(AF131:AF135)</f>
        <v>306.83137678084199</v>
      </c>
      <c r="AG136" s="21"/>
      <c r="AH136" s="192">
        <f t="shared" ref="AH136" si="591">SUM(AH131:AH135)</f>
        <v>307.25812629547244</v>
      </c>
      <c r="AI136" s="192">
        <f t="shared" ref="AI136" si="592">SUM(AI131:AI135)</f>
        <v>307.81874798904028</v>
      </c>
      <c r="AJ136" s="192">
        <f t="shared" ref="AJ136" si="593">SUM(AJ131:AJ135)</f>
        <v>307.58160770703256</v>
      </c>
      <c r="AK136" s="192">
        <f t="shared" ref="AK136" si="594">SUM(AK131:AK135)</f>
        <v>307.46623884598819</v>
      </c>
      <c r="AL136" s="21"/>
    </row>
    <row r="137" spans="1:38" outlineLevel="1">
      <c r="A137" s="297"/>
      <c r="B137" s="188" t="s">
        <v>198</v>
      </c>
      <c r="C137" s="163"/>
      <c r="D137" s="445">
        <f t="shared" ref="D137:J137" si="595">D129-D136</f>
        <v>-358.79999999999995</v>
      </c>
      <c r="E137" s="445">
        <f t="shared" si="595"/>
        <v>-349.4</v>
      </c>
      <c r="F137" s="445">
        <f t="shared" si="595"/>
        <v>-349.5</v>
      </c>
      <c r="G137" s="445">
        <f t="shared" si="595"/>
        <v>-309.20000000000005</v>
      </c>
      <c r="H137" s="447"/>
      <c r="I137" s="445">
        <f t="shared" si="595"/>
        <v>-330.4</v>
      </c>
      <c r="J137" s="445">
        <f t="shared" si="595"/>
        <v>-308</v>
      </c>
      <c r="K137" s="445">
        <f>K129-K136</f>
        <v>-337.20000000000005</v>
      </c>
      <c r="L137" s="229">
        <f>L129-L136</f>
        <v>-309.85918264981774</v>
      </c>
      <c r="M137" s="21"/>
      <c r="N137" s="229">
        <f t="shared" ref="N137:Q137" si="596">N129-N136</f>
        <v>-302.01712610552141</v>
      </c>
      <c r="O137" s="229">
        <f t="shared" si="596"/>
        <v>-300.21004005420991</v>
      </c>
      <c r="P137" s="229">
        <f t="shared" si="596"/>
        <v>-287.15808880940142</v>
      </c>
      <c r="Q137" s="229">
        <f t="shared" si="596"/>
        <v>-281.96811450969585</v>
      </c>
      <c r="R137" s="21"/>
      <c r="S137" s="229">
        <f t="shared" ref="S137" si="597">S129-S136</f>
        <v>-288.97381511849579</v>
      </c>
      <c r="T137" s="229">
        <f t="shared" ref="T137" si="598">T129-T136</f>
        <v>-294.20220359464315</v>
      </c>
      <c r="U137" s="229">
        <f t="shared" ref="U137" si="599">U129-U136</f>
        <v>-282.64291268744051</v>
      </c>
      <c r="V137" s="229">
        <f t="shared" ref="V137" si="600">V129-V136</f>
        <v>-289.74667166882176</v>
      </c>
      <c r="W137" s="21"/>
      <c r="X137" s="229">
        <f t="shared" ref="X137" si="601">X129-X136</f>
        <v>-284.7401784662236</v>
      </c>
      <c r="Y137" s="229">
        <f t="shared" ref="Y137" si="602">Y129-Y136</f>
        <v>-292.46721032428979</v>
      </c>
      <c r="Z137" s="229">
        <f t="shared" ref="Z137" si="603">Z129-Z136</f>
        <v>-280.76605182675547</v>
      </c>
      <c r="AA137" s="229">
        <f t="shared" ref="AA137" si="604">AA129-AA136</f>
        <v>-289.24260036214548</v>
      </c>
      <c r="AB137" s="21"/>
      <c r="AC137" s="229">
        <f t="shared" ref="AC137" si="605">AC129-AC136</f>
        <v>-281.26575654039283</v>
      </c>
      <c r="AD137" s="229">
        <f t="shared" ref="AD137" si="606">AD129-AD136</f>
        <v>-290.64466161510524</v>
      </c>
      <c r="AE137" s="229">
        <f t="shared" ref="AE137" si="607">AE129-AE136</f>
        <v>-278.19674188041631</v>
      </c>
      <c r="AF137" s="229">
        <f t="shared" ref="AF137" si="608">AF129-AF136</f>
        <v>-287.66630778084198</v>
      </c>
      <c r="AG137" s="21"/>
      <c r="AH137" s="229">
        <f t="shared" ref="AH137" si="609">AH129-AH136</f>
        <v>-278.74477879547243</v>
      </c>
      <c r="AI137" s="229">
        <f t="shared" ref="AI137" si="610">AI129-AI136</f>
        <v>-289.37108798904029</v>
      </c>
      <c r="AJ137" s="229">
        <f t="shared" ref="AJ137" si="611">AJ129-AJ136</f>
        <v>-275.85456070703253</v>
      </c>
      <c r="AK137" s="229">
        <f t="shared" ref="AK137" si="612">AK129-AK136</f>
        <v>-286.38466294598817</v>
      </c>
      <c r="AL137" s="21"/>
    </row>
    <row r="138" spans="1:38" s="231" customFormat="1" outlineLevel="1">
      <c r="A138" s="313"/>
      <c r="B138" s="234" t="s">
        <v>190</v>
      </c>
      <c r="C138" s="232"/>
      <c r="D138" s="210">
        <f t="shared" ref="D138:J138" si="613">D136-D133</f>
        <v>330.9</v>
      </c>
      <c r="E138" s="210">
        <f t="shared" si="613"/>
        <v>324.7</v>
      </c>
      <c r="F138" s="210">
        <f t="shared" si="613"/>
        <v>333.2</v>
      </c>
      <c r="G138" s="210">
        <f t="shared" si="613"/>
        <v>287.3</v>
      </c>
      <c r="H138" s="212"/>
      <c r="I138" s="210">
        <f t="shared" si="613"/>
        <v>316</v>
      </c>
      <c r="J138" s="210">
        <f t="shared" si="613"/>
        <v>285.5</v>
      </c>
      <c r="K138" s="210">
        <f>K136-K133</f>
        <v>316.00000000000006</v>
      </c>
      <c r="L138" s="210">
        <f>L136-L133</f>
        <v>281.20000000000005</v>
      </c>
      <c r="M138" s="233"/>
      <c r="N138" s="210">
        <f t="shared" ref="N138:Q138" si="614">N136-N133</f>
        <v>279.67500000000007</v>
      </c>
      <c r="O138" s="210">
        <f t="shared" si="614"/>
        <v>270.59375000000006</v>
      </c>
      <c r="P138" s="210">
        <f t="shared" si="614"/>
        <v>266.86718750000006</v>
      </c>
      <c r="Q138" s="210">
        <f t="shared" si="614"/>
        <v>254.583984375</v>
      </c>
      <c r="R138" s="233"/>
      <c r="S138" s="210">
        <f t="shared" ref="S138:V138" si="615">S136-S133</f>
        <v>267.92998046875005</v>
      </c>
      <c r="T138" s="210">
        <f t="shared" si="615"/>
        <v>264.99372558593757</v>
      </c>
      <c r="U138" s="210">
        <f t="shared" si="615"/>
        <v>263.59371948242188</v>
      </c>
      <c r="V138" s="210">
        <f t="shared" si="615"/>
        <v>262.7753524780274</v>
      </c>
      <c r="W138" s="233"/>
      <c r="X138" s="210">
        <f t="shared" ref="X138:AA138" si="616">X136-X133</f>
        <v>264.82319450378424</v>
      </c>
      <c r="Y138" s="210">
        <f t="shared" si="616"/>
        <v>264.04649801254277</v>
      </c>
      <c r="Z138" s="210">
        <f t="shared" si="616"/>
        <v>263.8096911191941</v>
      </c>
      <c r="AA138" s="210">
        <f t="shared" si="616"/>
        <v>263.86368402838707</v>
      </c>
      <c r="AB138" s="233"/>
      <c r="AC138" s="210">
        <f t="shared" ref="AC138:AF138" si="617">AC136-AC133</f>
        <v>264.135766915977</v>
      </c>
      <c r="AD138" s="210">
        <f t="shared" si="617"/>
        <v>263.96391001902526</v>
      </c>
      <c r="AE138" s="210">
        <f t="shared" si="617"/>
        <v>263.94326302064587</v>
      </c>
      <c r="AF138" s="210">
        <f t="shared" si="617"/>
        <v>263.97665599600884</v>
      </c>
      <c r="AG138" s="233"/>
      <c r="AH138" s="210">
        <f t="shared" ref="AH138:AK138" si="618">AH136-AH133</f>
        <v>264.00489898791426</v>
      </c>
      <c r="AI138" s="210">
        <f t="shared" si="618"/>
        <v>263.97218200589856</v>
      </c>
      <c r="AJ138" s="210">
        <f t="shared" si="618"/>
        <v>263.97425000261688</v>
      </c>
      <c r="AK138" s="210">
        <f t="shared" si="618"/>
        <v>263.98199674810957</v>
      </c>
      <c r="AL138" s="233"/>
    </row>
    <row r="139" spans="1:38" s="231" customFormat="1" outlineLevel="1">
      <c r="A139" s="313"/>
      <c r="B139" s="234" t="s">
        <v>191</v>
      </c>
      <c r="C139" s="232"/>
      <c r="D139" s="235">
        <f t="shared" ref="D139:AK139" si="619">+D138/D129</f>
        <v>28.525862068965516</v>
      </c>
      <c r="E139" s="235">
        <f t="shared" si="619"/>
        <v>20.550632911392402</v>
      </c>
      <c r="F139" s="235">
        <f t="shared" si="619"/>
        <v>14.300429184549355</v>
      </c>
      <c r="G139" s="326">
        <f t="shared" si="619"/>
        <v>18.655844155844157</v>
      </c>
      <c r="H139" s="233"/>
      <c r="I139" s="326">
        <f t="shared" si="619"/>
        <v>15.414634146341463</v>
      </c>
      <c r="J139" s="326">
        <f t="shared" si="619"/>
        <v>23.791666666666668</v>
      </c>
      <c r="K139" s="326">
        <f>+K138/K129</f>
        <v>16.040609137055842</v>
      </c>
      <c r="L139" s="326">
        <f t="shared" si="619"/>
        <v>21.482047364400309</v>
      </c>
      <c r="M139" s="233"/>
      <c r="N139" s="235">
        <f t="shared" si="619"/>
        <v>14.360718870346604</v>
      </c>
      <c r="O139" s="235">
        <f t="shared" si="619"/>
        <v>21.475694444444446</v>
      </c>
      <c r="P139" s="235">
        <f t="shared" si="619"/>
        <v>12.315052491924321</v>
      </c>
      <c r="Q139" s="326">
        <f t="shared" si="619"/>
        <v>17.680671183762762</v>
      </c>
      <c r="R139" s="233"/>
      <c r="S139" s="235">
        <f t="shared" si="619"/>
        <v>12.50694272231299</v>
      </c>
      <c r="T139" s="235">
        <f t="shared" si="619"/>
        <v>19.119316420341811</v>
      </c>
      <c r="U139" s="235">
        <f t="shared" si="619"/>
        <v>11.058175084214534</v>
      </c>
      <c r="V139" s="326">
        <f t="shared" si="619"/>
        <v>16.590505178896727</v>
      </c>
      <c r="W139" s="233"/>
      <c r="X139" s="235">
        <f t="shared" si="619"/>
        <v>11.238107533658717</v>
      </c>
      <c r="Y139" s="235">
        <f t="shared" si="619"/>
        <v>17.319067165980762</v>
      </c>
      <c r="Z139" s="235">
        <f t="shared" si="619"/>
        <v>10.061123124828629</v>
      </c>
      <c r="AA139" s="326">
        <f t="shared" si="619"/>
        <v>15.144743409545029</v>
      </c>
      <c r="AB139" s="233"/>
      <c r="AC139" s="235">
        <f t="shared" si="619"/>
        <v>10.189941521512852</v>
      </c>
      <c r="AD139" s="235">
        <f t="shared" si="619"/>
        <v>15.739681944535388</v>
      </c>
      <c r="AE139" s="235">
        <f t="shared" si="619"/>
        <v>9.1511066038610647</v>
      </c>
      <c r="AF139" s="326">
        <f t="shared" si="619"/>
        <v>13.773843235106995</v>
      </c>
      <c r="AG139" s="233"/>
      <c r="AH139" s="235">
        <f t="shared" si="619"/>
        <v>9.2589934937633753</v>
      </c>
      <c r="AI139" s="235">
        <f t="shared" si="619"/>
        <v>14.309250170802068</v>
      </c>
      <c r="AJ139" s="235">
        <f t="shared" si="619"/>
        <v>8.3201644956940619</v>
      </c>
      <c r="AK139" s="326">
        <f t="shared" si="619"/>
        <v>12.521929005701583</v>
      </c>
      <c r="AL139" s="233"/>
    </row>
    <row r="140" spans="1:38" ht="18">
      <c r="A140" s="297"/>
      <c r="B140" s="524" t="s">
        <v>102</v>
      </c>
      <c r="C140" s="525"/>
      <c r="D140" s="36" t="s">
        <v>123</v>
      </c>
      <c r="E140" s="36" t="s">
        <v>281</v>
      </c>
      <c r="F140" s="36" t="s">
        <v>285</v>
      </c>
      <c r="G140" s="36" t="s">
        <v>295</v>
      </c>
      <c r="H140" s="103" t="s">
        <v>296</v>
      </c>
      <c r="I140" s="36" t="s">
        <v>297</v>
      </c>
      <c r="J140" s="36" t="s">
        <v>298</v>
      </c>
      <c r="K140" s="36" t="s">
        <v>299</v>
      </c>
      <c r="L140" s="34" t="s">
        <v>141</v>
      </c>
      <c r="M140" s="106" t="s">
        <v>142</v>
      </c>
      <c r="N140" s="34" t="s">
        <v>143</v>
      </c>
      <c r="O140" s="34" t="s">
        <v>144</v>
      </c>
      <c r="P140" s="34" t="s">
        <v>145</v>
      </c>
      <c r="Q140" s="34" t="s">
        <v>146</v>
      </c>
      <c r="R140" s="106" t="s">
        <v>147</v>
      </c>
      <c r="S140" s="34" t="s">
        <v>148</v>
      </c>
      <c r="T140" s="34" t="s">
        <v>149</v>
      </c>
      <c r="U140" s="34" t="s">
        <v>150</v>
      </c>
      <c r="V140" s="34" t="s">
        <v>151</v>
      </c>
      <c r="W140" s="106" t="s">
        <v>152</v>
      </c>
      <c r="X140" s="34" t="s">
        <v>153</v>
      </c>
      <c r="Y140" s="34" t="s">
        <v>154</v>
      </c>
      <c r="Z140" s="34" t="s">
        <v>155</v>
      </c>
      <c r="AA140" s="34" t="s">
        <v>156</v>
      </c>
      <c r="AB140" s="106" t="s">
        <v>157</v>
      </c>
      <c r="AC140" s="34" t="s">
        <v>290</v>
      </c>
      <c r="AD140" s="34" t="s">
        <v>291</v>
      </c>
      <c r="AE140" s="34" t="s">
        <v>292</v>
      </c>
      <c r="AF140" s="34" t="s">
        <v>293</v>
      </c>
      <c r="AG140" s="106" t="s">
        <v>294</v>
      </c>
      <c r="AH140" s="34" t="s">
        <v>323</v>
      </c>
      <c r="AI140" s="34" t="s">
        <v>324</v>
      </c>
      <c r="AJ140" s="34" t="s">
        <v>325</v>
      </c>
      <c r="AK140" s="34" t="s">
        <v>326</v>
      </c>
      <c r="AL140" s="106" t="s">
        <v>327</v>
      </c>
    </row>
    <row r="141" spans="1:38" s="239" customFormat="1" ht="15.6" customHeight="1" outlineLevel="1">
      <c r="A141" s="393"/>
      <c r="B141" s="208" t="s">
        <v>200</v>
      </c>
      <c r="C141" s="240"/>
      <c r="D141" s="210">
        <f>+D56+D89-D13</f>
        <v>0</v>
      </c>
      <c r="E141" s="210">
        <f t="shared" ref="E141:G141" si="620">+E56+E89-E13</f>
        <v>0</v>
      </c>
      <c r="F141" s="335">
        <f t="shared" si="620"/>
        <v>0</v>
      </c>
      <c r="G141" s="210">
        <f t="shared" si="620"/>
        <v>0</v>
      </c>
      <c r="H141" s="212"/>
      <c r="I141" s="210">
        <f>+I56+I89-I13</f>
        <v>0</v>
      </c>
      <c r="J141" s="210">
        <f t="shared" ref="J141:L141" si="621">+J56+J89-J13</f>
        <v>0</v>
      </c>
      <c r="K141" s="335">
        <f>+K56+K89-K13</f>
        <v>0</v>
      </c>
      <c r="L141" s="210">
        <f t="shared" si="621"/>
        <v>0</v>
      </c>
      <c r="M141" s="212"/>
      <c r="N141" s="210">
        <f>+N56+N89-N13</f>
        <v>0</v>
      </c>
      <c r="O141" s="210">
        <f t="shared" ref="O141" si="622">+O56+O89-O13</f>
        <v>0</v>
      </c>
      <c r="P141" s="335">
        <f>+P56+P89-P13</f>
        <v>0</v>
      </c>
      <c r="Q141" s="210">
        <f t="shared" ref="Q141" si="623">+Q56+Q89-Q13</f>
        <v>0</v>
      </c>
      <c r="R141" s="212"/>
      <c r="S141" s="210">
        <f>+S56+S89-S13</f>
        <v>0</v>
      </c>
      <c r="T141" s="210">
        <f t="shared" ref="T141" si="624">+T56+T89-T13</f>
        <v>0</v>
      </c>
      <c r="U141" s="335">
        <f>+U56+U89-U13</f>
        <v>0</v>
      </c>
      <c r="V141" s="210">
        <f t="shared" ref="V141" si="625">+V56+V89-V13</f>
        <v>0</v>
      </c>
      <c r="W141" s="212"/>
      <c r="X141" s="210">
        <f>+X56+X89-X13</f>
        <v>0</v>
      </c>
      <c r="Y141" s="210">
        <f t="shared" ref="Y141" si="626">+Y56+Y89-Y13</f>
        <v>0</v>
      </c>
      <c r="Z141" s="335">
        <f>+Z56+Z89-Z13</f>
        <v>0</v>
      </c>
      <c r="AA141" s="210">
        <f t="shared" ref="AA141" si="627">+AA56+AA89-AA13</f>
        <v>0</v>
      </c>
      <c r="AB141" s="212"/>
      <c r="AC141" s="210">
        <f>+AC56+AC89-AC13</f>
        <v>0</v>
      </c>
      <c r="AD141" s="210">
        <f t="shared" ref="AD141" si="628">+AD56+AD89-AD13</f>
        <v>0</v>
      </c>
      <c r="AE141" s="335">
        <f>+AE56+AE89-AE13</f>
        <v>0</v>
      </c>
      <c r="AF141" s="210">
        <f t="shared" ref="AF141" si="629">+AF56+AF89-AF13</f>
        <v>0</v>
      </c>
      <c r="AG141" s="212"/>
      <c r="AH141" s="210">
        <f>+AH56+AH89-AH13</f>
        <v>0</v>
      </c>
      <c r="AI141" s="210">
        <f t="shared" ref="AI141" si="630">+AI56+AI89-AI13</f>
        <v>0</v>
      </c>
      <c r="AJ141" s="335">
        <f>+AJ56+AJ89-AJ13</f>
        <v>0</v>
      </c>
      <c r="AK141" s="210">
        <f t="shared" ref="AK141" si="631">+AK56+AK89-AK13</f>
        <v>0</v>
      </c>
      <c r="AL141" s="212"/>
    </row>
    <row r="142" spans="1:38" s="239" customFormat="1" ht="15.6" customHeight="1" outlineLevel="1">
      <c r="A142" s="393"/>
      <c r="B142" s="208" t="s">
        <v>201</v>
      </c>
      <c r="C142" s="240"/>
      <c r="D142" s="210">
        <f>+D63+D96-D14</f>
        <v>0</v>
      </c>
      <c r="E142" s="210">
        <f t="shared" ref="E142:G142" si="632">+E63+E96-E14</f>
        <v>0</v>
      </c>
      <c r="F142" s="335">
        <f t="shared" si="632"/>
        <v>0</v>
      </c>
      <c r="G142" s="210">
        <f t="shared" si="632"/>
        <v>0</v>
      </c>
      <c r="H142" s="212"/>
      <c r="I142" s="210">
        <f>+I63+I96-I14</f>
        <v>0</v>
      </c>
      <c r="J142" s="210">
        <f t="shared" ref="J142:L142" si="633">+J63+J96-J14</f>
        <v>0</v>
      </c>
      <c r="K142" s="335">
        <f t="shared" si="633"/>
        <v>0</v>
      </c>
      <c r="L142" s="210">
        <f t="shared" si="633"/>
        <v>0</v>
      </c>
      <c r="M142" s="212"/>
      <c r="N142" s="210">
        <f>+N63+N96-N14</f>
        <v>0</v>
      </c>
      <c r="O142" s="210">
        <f t="shared" ref="O142:Q142" si="634">+O63+O96-O14</f>
        <v>0</v>
      </c>
      <c r="P142" s="335">
        <f t="shared" si="634"/>
        <v>0</v>
      </c>
      <c r="Q142" s="210">
        <f t="shared" si="634"/>
        <v>0</v>
      </c>
      <c r="R142" s="212"/>
      <c r="S142" s="210">
        <f>+S63+S96-S14</f>
        <v>0</v>
      </c>
      <c r="T142" s="210">
        <f t="shared" ref="T142:V142" si="635">+T63+T96-T14</f>
        <v>0</v>
      </c>
      <c r="U142" s="335">
        <f t="shared" si="635"/>
        <v>0</v>
      </c>
      <c r="V142" s="210">
        <f t="shared" si="635"/>
        <v>0</v>
      </c>
      <c r="W142" s="212"/>
      <c r="X142" s="210">
        <f>+X63+X96-X14</f>
        <v>0</v>
      </c>
      <c r="Y142" s="210">
        <f t="shared" ref="Y142:AA142" si="636">+Y63+Y96-Y14</f>
        <v>0</v>
      </c>
      <c r="Z142" s="335">
        <f t="shared" si="636"/>
        <v>0</v>
      </c>
      <c r="AA142" s="210">
        <f t="shared" si="636"/>
        <v>0</v>
      </c>
      <c r="AB142" s="212"/>
      <c r="AC142" s="210">
        <f>+AC63+AC96-AC14</f>
        <v>0</v>
      </c>
      <c r="AD142" s="210">
        <f t="shared" ref="AD142:AF142" si="637">+AD63+AD96-AD14</f>
        <v>0</v>
      </c>
      <c r="AE142" s="335">
        <f t="shared" si="637"/>
        <v>0</v>
      </c>
      <c r="AF142" s="210">
        <f t="shared" si="637"/>
        <v>0</v>
      </c>
      <c r="AG142" s="212"/>
      <c r="AH142" s="210">
        <f>+AH63+AH96-AH14</f>
        <v>0</v>
      </c>
      <c r="AI142" s="210">
        <f t="shared" ref="AI142:AK142" si="638">+AI63+AI96-AI14</f>
        <v>0</v>
      </c>
      <c r="AJ142" s="335">
        <f t="shared" si="638"/>
        <v>0</v>
      </c>
      <c r="AK142" s="210">
        <f t="shared" si="638"/>
        <v>0</v>
      </c>
      <c r="AL142" s="212"/>
    </row>
    <row r="143" spans="1:38" s="239" customFormat="1" ht="15.6" customHeight="1" outlineLevel="1">
      <c r="A143" s="393"/>
      <c r="B143" s="208" t="s">
        <v>202</v>
      </c>
      <c r="C143" s="240"/>
      <c r="D143" s="210">
        <f>+D64+D97+D115+D129-D15</f>
        <v>0</v>
      </c>
      <c r="E143" s="210">
        <f t="shared" ref="E143:G143" si="639">+E64+E97+E115+E129-E15</f>
        <v>0</v>
      </c>
      <c r="F143" s="335">
        <f t="shared" si="639"/>
        <v>0</v>
      </c>
      <c r="G143" s="210">
        <f t="shared" si="639"/>
        <v>0</v>
      </c>
      <c r="H143" s="212"/>
      <c r="I143" s="210">
        <f>+I64+I97+I115+I129-I15</f>
        <v>0</v>
      </c>
      <c r="J143" s="210">
        <f t="shared" ref="J143:L143" si="640">+J64+J97+J115+J129-J15</f>
        <v>0</v>
      </c>
      <c r="K143" s="335">
        <f t="shared" si="640"/>
        <v>0</v>
      </c>
      <c r="L143" s="210">
        <f t="shared" si="640"/>
        <v>0</v>
      </c>
      <c r="M143" s="212"/>
      <c r="N143" s="210">
        <f>+N64+N97+N115+N129-N15</f>
        <v>0</v>
      </c>
      <c r="O143" s="210">
        <f t="shared" ref="O143:Q143" si="641">+O64+O97+O115+O129-O15</f>
        <v>0</v>
      </c>
      <c r="P143" s="335">
        <f t="shared" si="641"/>
        <v>0</v>
      </c>
      <c r="Q143" s="210">
        <f t="shared" si="641"/>
        <v>0</v>
      </c>
      <c r="R143" s="212"/>
      <c r="S143" s="210">
        <f>+S64+S97+S115+S129-S15</f>
        <v>0</v>
      </c>
      <c r="T143" s="210">
        <f t="shared" ref="T143:V143" si="642">+T64+T97+T115+T129-T15</f>
        <v>0</v>
      </c>
      <c r="U143" s="335">
        <f t="shared" si="642"/>
        <v>0</v>
      </c>
      <c r="V143" s="210">
        <f t="shared" si="642"/>
        <v>0</v>
      </c>
      <c r="W143" s="212"/>
      <c r="X143" s="210">
        <f>+X64+X97+X115+X129-X15</f>
        <v>0</v>
      </c>
      <c r="Y143" s="210">
        <f t="shared" ref="Y143:AA143" si="643">+Y64+Y97+Y115+Y129-Y15</f>
        <v>0</v>
      </c>
      <c r="Z143" s="335">
        <f t="shared" si="643"/>
        <v>0</v>
      </c>
      <c r="AA143" s="210">
        <f t="shared" si="643"/>
        <v>0</v>
      </c>
      <c r="AB143" s="212"/>
      <c r="AC143" s="210">
        <f>+AC64+AC97+AC115+AC129-AC15</f>
        <v>0</v>
      </c>
      <c r="AD143" s="210">
        <f t="shared" ref="AD143:AF143" si="644">+AD64+AD97+AD115+AD129-AD15</f>
        <v>0</v>
      </c>
      <c r="AE143" s="335">
        <f t="shared" si="644"/>
        <v>0</v>
      </c>
      <c r="AF143" s="210">
        <f t="shared" si="644"/>
        <v>0</v>
      </c>
      <c r="AG143" s="212"/>
      <c r="AH143" s="210">
        <f>+AH64+AH97+AH115+AH129-AH15</f>
        <v>0</v>
      </c>
      <c r="AI143" s="210">
        <f t="shared" ref="AI143:AK143" si="645">+AI64+AI97+AI115+AI129-AI15</f>
        <v>0</v>
      </c>
      <c r="AJ143" s="335">
        <f t="shared" si="645"/>
        <v>0</v>
      </c>
      <c r="AK143" s="210">
        <f t="shared" si="645"/>
        <v>0</v>
      </c>
      <c r="AL143" s="212"/>
    </row>
    <row r="144" spans="1:38" s="239" customFormat="1" ht="15.6" customHeight="1" outlineLevel="1">
      <c r="A144" s="393"/>
      <c r="B144" s="208" t="s">
        <v>162</v>
      </c>
      <c r="C144" s="240"/>
      <c r="D144" s="210">
        <f>+D123+D109-D24</f>
        <v>0</v>
      </c>
      <c r="E144" s="210">
        <f t="shared" ref="E144:G144" si="646">+E123+E109-E24</f>
        <v>0</v>
      </c>
      <c r="F144" s="335">
        <f t="shared" si="646"/>
        <v>0</v>
      </c>
      <c r="G144" s="210">
        <f t="shared" si="646"/>
        <v>0</v>
      </c>
      <c r="H144" s="212"/>
      <c r="I144" s="210">
        <f>+I123+I109-I24</f>
        <v>0</v>
      </c>
      <c r="J144" s="210">
        <f t="shared" ref="J144:L144" si="647">+J123+J109-J24</f>
        <v>0</v>
      </c>
      <c r="K144" s="335">
        <f t="shared" si="647"/>
        <v>0</v>
      </c>
      <c r="L144" s="210">
        <f t="shared" si="647"/>
        <v>0</v>
      </c>
      <c r="M144" s="212"/>
      <c r="N144" s="210">
        <f>+N123+N109-N24</f>
        <v>0</v>
      </c>
      <c r="O144" s="210">
        <f t="shared" ref="O144:Q144" si="648">+O123+O109-O24</f>
        <v>0</v>
      </c>
      <c r="P144" s="335">
        <f t="shared" si="648"/>
        <v>0</v>
      </c>
      <c r="Q144" s="210">
        <f t="shared" si="648"/>
        <v>0</v>
      </c>
      <c r="R144" s="212"/>
      <c r="S144" s="210">
        <f>+S123+S109-S24</f>
        <v>0</v>
      </c>
      <c r="T144" s="210">
        <f t="shared" ref="T144:V144" si="649">+T123+T109-T24</f>
        <v>0</v>
      </c>
      <c r="U144" s="335">
        <f t="shared" si="649"/>
        <v>0</v>
      </c>
      <c r="V144" s="210">
        <f t="shared" si="649"/>
        <v>0</v>
      </c>
      <c r="W144" s="212"/>
      <c r="X144" s="210">
        <f>+X123+X109-X24</f>
        <v>0</v>
      </c>
      <c r="Y144" s="210">
        <f t="shared" ref="Y144:AA144" si="650">+Y123+Y109-Y24</f>
        <v>0</v>
      </c>
      <c r="Z144" s="335">
        <f t="shared" si="650"/>
        <v>0</v>
      </c>
      <c r="AA144" s="210">
        <f t="shared" si="650"/>
        <v>0</v>
      </c>
      <c r="AB144" s="212"/>
      <c r="AC144" s="210">
        <f>+AC123+AC109-AC24</f>
        <v>0</v>
      </c>
      <c r="AD144" s="210">
        <f t="shared" ref="AD144:AF144" si="651">+AD123+AD109-AD24</f>
        <v>0</v>
      </c>
      <c r="AE144" s="335">
        <f t="shared" si="651"/>
        <v>0</v>
      </c>
      <c r="AF144" s="210">
        <f t="shared" si="651"/>
        <v>0</v>
      </c>
      <c r="AG144" s="212"/>
      <c r="AH144" s="210">
        <f>+AH123+AH109-AH24</f>
        <v>0</v>
      </c>
      <c r="AI144" s="210">
        <f t="shared" ref="AI144:AK144" si="652">+AI123+AI109-AI24</f>
        <v>0</v>
      </c>
      <c r="AJ144" s="335">
        <f t="shared" si="652"/>
        <v>0</v>
      </c>
      <c r="AK144" s="210">
        <f t="shared" si="652"/>
        <v>0</v>
      </c>
      <c r="AL144" s="212"/>
    </row>
    <row r="145" spans="1:38" s="239" customFormat="1" ht="15.6" customHeight="1" outlineLevel="1">
      <c r="A145" s="393"/>
      <c r="B145" s="208" t="s">
        <v>203</v>
      </c>
      <c r="C145" s="240"/>
      <c r="D145" s="210">
        <f>+D76+D110+D124+D137-D25</f>
        <v>0</v>
      </c>
      <c r="E145" s="210">
        <f>+E76+E110+E124+E137-E25</f>
        <v>0</v>
      </c>
      <c r="F145" s="335">
        <f>+F76+F110+F124+F137-F25</f>
        <v>0</v>
      </c>
      <c r="G145" s="210">
        <f>+G76+G110+G124+G137-G25</f>
        <v>9.9999999998544808E-2</v>
      </c>
      <c r="H145" s="212"/>
      <c r="I145" s="210">
        <f>+I76+I110+I124+I137-I25</f>
        <v>0</v>
      </c>
      <c r="J145" s="210">
        <f>+J76+J110+J124+J137-J25</f>
        <v>6.8212102632969618E-13</v>
      </c>
      <c r="K145" s="335">
        <f>+K76+K110+K124+K137-K25</f>
        <v>0</v>
      </c>
      <c r="L145" s="210">
        <f>+L76+L110+L124+L137-L25</f>
        <v>0</v>
      </c>
      <c r="M145" s="212"/>
      <c r="N145" s="210">
        <f>+N76+N110+N124+N137-N25</f>
        <v>-2.3874235921539366E-12</v>
      </c>
      <c r="O145" s="210">
        <f>+O76+O110+O124+O137-O25</f>
        <v>-1.2505552149377763E-12</v>
      </c>
      <c r="P145" s="335">
        <f>+P76+P110+P124+P137-P25</f>
        <v>0</v>
      </c>
      <c r="Q145" s="210">
        <f>+Q76+Q110+Q124+Q137-Q25</f>
        <v>0</v>
      </c>
      <c r="R145" s="212"/>
      <c r="S145" s="210">
        <f>+S76+S110+S124+S137-S25</f>
        <v>0</v>
      </c>
      <c r="T145" s="210">
        <f>+T76+T110+T124+T137-T25</f>
        <v>0</v>
      </c>
      <c r="U145" s="335">
        <f>+U76+U110+U124+U137-U25</f>
        <v>1.4779288903810084E-12</v>
      </c>
      <c r="V145" s="210">
        <f>+V76+V110+V124+V137-V25</f>
        <v>0</v>
      </c>
      <c r="W145" s="212"/>
      <c r="X145" s="210">
        <f>+X76+X110+X124+X137-X25</f>
        <v>0</v>
      </c>
      <c r="Y145" s="210">
        <f>+Y76+Y110+Y124+Y137-Y25</f>
        <v>1.5916157281026244E-12</v>
      </c>
      <c r="Z145" s="335">
        <f>+Z76+Z110+Z124+Z137-Z25</f>
        <v>-1.0231815394945443E-12</v>
      </c>
      <c r="AA145" s="210">
        <f>+AA76+AA110+AA124+AA137-AA25</f>
        <v>0</v>
      </c>
      <c r="AB145" s="212"/>
      <c r="AC145" s="210">
        <f>+AC76+AC110+AC124+AC137-AC25</f>
        <v>0</v>
      </c>
      <c r="AD145" s="210">
        <f>+AD76+AD110+AD124+AD137-AD25</f>
        <v>0</v>
      </c>
      <c r="AE145" s="335">
        <f>+AE76+AE110+AE124+AE137-AE25</f>
        <v>0</v>
      </c>
      <c r="AF145" s="210">
        <f>+AF76+AF110+AF124+AF137-AF25</f>
        <v>0</v>
      </c>
      <c r="AG145" s="212"/>
      <c r="AH145" s="210">
        <f>+AH76+AH110+AH124+AH137-AH25</f>
        <v>2.5011104298755527E-12</v>
      </c>
      <c r="AI145" s="210">
        <f>+AI76+AI110+AI124+AI137-AI25</f>
        <v>0</v>
      </c>
      <c r="AJ145" s="335">
        <f>+AJ76+AJ110+AJ124+AJ137-AJ25</f>
        <v>0</v>
      </c>
      <c r="AK145" s="210">
        <f>+AK76+AK110+AK124+AK137-AK25</f>
        <v>0</v>
      </c>
      <c r="AL145" s="212"/>
    </row>
    <row r="146" spans="1:38" ht="15" customHeight="1">
      <c r="A146" s="297"/>
      <c r="B146" s="524" t="s">
        <v>58</v>
      </c>
      <c r="C146" s="525"/>
      <c r="D146" s="36" t="s">
        <v>123</v>
      </c>
      <c r="E146" s="36" t="s">
        <v>281</v>
      </c>
      <c r="F146" s="36" t="s">
        <v>285</v>
      </c>
      <c r="G146" s="36" t="s">
        <v>295</v>
      </c>
      <c r="H146" s="103" t="s">
        <v>296</v>
      </c>
      <c r="I146" s="36" t="s">
        <v>297</v>
      </c>
      <c r="J146" s="36" t="s">
        <v>298</v>
      </c>
      <c r="K146" s="36" t="s">
        <v>299</v>
      </c>
      <c r="L146" s="34" t="s">
        <v>141</v>
      </c>
      <c r="M146" s="106" t="s">
        <v>142</v>
      </c>
      <c r="N146" s="34" t="s">
        <v>143</v>
      </c>
      <c r="O146" s="34" t="s">
        <v>144</v>
      </c>
      <c r="P146" s="34" t="s">
        <v>145</v>
      </c>
      <c r="Q146" s="34" t="s">
        <v>146</v>
      </c>
      <c r="R146" s="106" t="s">
        <v>147</v>
      </c>
      <c r="S146" s="34" t="s">
        <v>148</v>
      </c>
      <c r="T146" s="34" t="s">
        <v>149</v>
      </c>
      <c r="U146" s="34" t="s">
        <v>150</v>
      </c>
      <c r="V146" s="34" t="s">
        <v>151</v>
      </c>
      <c r="W146" s="106" t="s">
        <v>152</v>
      </c>
      <c r="X146" s="34" t="s">
        <v>153</v>
      </c>
      <c r="Y146" s="34" t="s">
        <v>154</v>
      </c>
      <c r="Z146" s="34" t="s">
        <v>155</v>
      </c>
      <c r="AA146" s="34" t="s">
        <v>156</v>
      </c>
      <c r="AB146" s="106" t="s">
        <v>157</v>
      </c>
      <c r="AC146" s="34" t="s">
        <v>290</v>
      </c>
      <c r="AD146" s="34" t="s">
        <v>291</v>
      </c>
      <c r="AE146" s="34" t="s">
        <v>292</v>
      </c>
      <c r="AF146" s="34" t="s">
        <v>293</v>
      </c>
      <c r="AG146" s="106" t="s">
        <v>294</v>
      </c>
      <c r="AH146" s="34" t="s">
        <v>323</v>
      </c>
      <c r="AI146" s="34" t="s">
        <v>324</v>
      </c>
      <c r="AJ146" s="34" t="s">
        <v>325</v>
      </c>
      <c r="AK146" s="34" t="s">
        <v>326</v>
      </c>
      <c r="AL146" s="106" t="s">
        <v>327</v>
      </c>
    </row>
    <row r="147" spans="1:38" s="47" customFormat="1" outlineLevel="1">
      <c r="A147" s="362"/>
      <c r="B147" s="522" t="s">
        <v>119</v>
      </c>
      <c r="C147" s="523"/>
      <c r="D147" s="64"/>
      <c r="E147" s="64"/>
      <c r="F147" s="64"/>
      <c r="G147" s="64"/>
      <c r="H147" s="394"/>
      <c r="I147" s="64">
        <f t="shared" ref="I147:AL147" si="653">I16/D16-1</f>
        <v>7.0016735266180907E-2</v>
      </c>
      <c r="J147" s="64">
        <f t="shared" si="653"/>
        <v>-4.9192026514851106E-2</v>
      </c>
      <c r="K147" s="64">
        <f t="shared" si="653"/>
        <v>-0.38119595485856661</v>
      </c>
      <c r="L147" s="420">
        <f t="shared" si="653"/>
        <v>-0.10650585445383154</v>
      </c>
      <c r="M147" s="428">
        <f t="shared" si="653"/>
        <v>-0.11940634360169911</v>
      </c>
      <c r="N147" s="64">
        <f t="shared" si="653"/>
        <v>-8.6135650272138542E-2</v>
      </c>
      <c r="O147" s="64">
        <f t="shared" si="653"/>
        <v>-0.10508880824435385</v>
      </c>
      <c r="P147" s="64">
        <f t="shared" si="653"/>
        <v>0.33210569377371035</v>
      </c>
      <c r="Q147" s="64">
        <f t="shared" si="653"/>
        <v>0.24013146029479415</v>
      </c>
      <c r="R147" s="62">
        <f t="shared" si="653"/>
        <v>6.8901933742602006E-2</v>
      </c>
      <c r="S147" s="64">
        <f t="shared" si="653"/>
        <v>0.18492666726188611</v>
      </c>
      <c r="T147" s="64">
        <f t="shared" si="653"/>
        <v>0.10329897722317427</v>
      </c>
      <c r="U147" s="64">
        <f t="shared" si="653"/>
        <v>9.3350116384255388E-2</v>
      </c>
      <c r="V147" s="64">
        <f t="shared" si="653"/>
        <v>6.3507532725242566E-2</v>
      </c>
      <c r="W147" s="62">
        <f t="shared" si="653"/>
        <v>0.11035192832872909</v>
      </c>
      <c r="X147" s="64">
        <f t="shared" si="653"/>
        <v>7.007110297841912E-2</v>
      </c>
      <c r="Y147" s="64">
        <f t="shared" si="653"/>
        <v>5.5939064284921125E-2</v>
      </c>
      <c r="Z147" s="64">
        <f t="shared" si="653"/>
        <v>5.6748660858094047E-2</v>
      </c>
      <c r="AA147" s="64">
        <f t="shared" si="653"/>
        <v>4.371443398634911E-2</v>
      </c>
      <c r="AB147" s="62">
        <f t="shared" si="653"/>
        <v>5.6530657037495713E-2</v>
      </c>
      <c r="AC147" s="466">
        <f>AC16/X16-1</f>
        <v>7.0153433013742994E-2</v>
      </c>
      <c r="AD147" s="466">
        <f t="shared" si="653"/>
        <v>5.6957685952495396E-2</v>
      </c>
      <c r="AE147" s="466">
        <f t="shared" si="653"/>
        <v>5.9168338208126503E-2</v>
      </c>
      <c r="AF147" s="466">
        <f t="shared" si="653"/>
        <v>5.5603992288787429E-2</v>
      </c>
      <c r="AG147" s="467">
        <f t="shared" si="653"/>
        <v>6.0771984818753122E-2</v>
      </c>
      <c r="AH147" s="466">
        <f t="shared" si="653"/>
        <v>6.992139783877005E-2</v>
      </c>
      <c r="AI147" s="466">
        <f t="shared" si="653"/>
        <v>6.2912562327799293E-2</v>
      </c>
      <c r="AJ147" s="466">
        <f t="shared" si="653"/>
        <v>6.4743371480231682E-2</v>
      </c>
      <c r="AK147" s="466">
        <f t="shared" si="653"/>
        <v>6.6403956686169385E-2</v>
      </c>
      <c r="AL147" s="467">
        <f t="shared" si="653"/>
        <v>6.6289892807703588E-2</v>
      </c>
    </row>
    <row r="148" spans="1:38" s="47" customFormat="1" outlineLevel="1">
      <c r="A148" s="362"/>
      <c r="B148" s="522" t="s">
        <v>24</v>
      </c>
      <c r="C148" s="523"/>
      <c r="D148" s="61">
        <f t="shared" ref="D148:AL148" si="654">D25/D16</f>
        <v>0.15313522396610738</v>
      </c>
      <c r="E148" s="61">
        <f t="shared" si="654"/>
        <v>0.13601547756862614</v>
      </c>
      <c r="F148" s="61">
        <f t="shared" si="654"/>
        <v>0.16434119888612064</v>
      </c>
      <c r="G148" s="61">
        <f t="shared" si="654"/>
        <v>0.16054542759745088</v>
      </c>
      <c r="H148" s="63">
        <f t="shared" si="654"/>
        <v>0.15383309567461143</v>
      </c>
      <c r="I148" s="61">
        <f t="shared" si="654"/>
        <v>0.1718730185568752</v>
      </c>
      <c r="J148" s="61">
        <f t="shared" si="654"/>
        <v>8.1291592307820446E-2</v>
      </c>
      <c r="K148" s="61">
        <f t="shared" si="654"/>
        <v>-0.16671798394164022</v>
      </c>
      <c r="L148" s="61">
        <f t="shared" si="654"/>
        <v>7.349096971365883E-2</v>
      </c>
      <c r="M148" s="63">
        <f t="shared" si="654"/>
        <v>6.1959235390047253E-2</v>
      </c>
      <c r="N148" s="61">
        <f t="shared" si="654"/>
        <v>0.12037020091801724</v>
      </c>
      <c r="O148" s="61">
        <f t="shared" si="654"/>
        <v>0.10908623242414456</v>
      </c>
      <c r="P148" s="61">
        <f t="shared" si="654"/>
        <v>0.1334441114248561</v>
      </c>
      <c r="Q148" s="61">
        <f t="shared" si="654"/>
        <v>0.16640340409606838</v>
      </c>
      <c r="R148" s="63">
        <f t="shared" si="654"/>
        <v>0.13468308343362134</v>
      </c>
      <c r="S148" s="61">
        <f t="shared" si="654"/>
        <v>0.16410290546489956</v>
      </c>
      <c r="T148" s="61">
        <f t="shared" si="654"/>
        <v>0.1339578708085887</v>
      </c>
      <c r="U148" s="61">
        <f t="shared" si="654"/>
        <v>0.14128066253520788</v>
      </c>
      <c r="V148" s="61">
        <f t="shared" si="654"/>
        <v>0.17551865032403471</v>
      </c>
      <c r="W148" s="63">
        <f t="shared" si="654"/>
        <v>0.15587224616199391</v>
      </c>
      <c r="X148" s="61">
        <f t="shared" si="654"/>
        <v>0.17281806612530834</v>
      </c>
      <c r="Y148" s="61">
        <f t="shared" si="654"/>
        <v>0.14066121391354455</v>
      </c>
      <c r="Z148" s="61">
        <f t="shared" si="654"/>
        <v>0.14592796050092746</v>
      </c>
      <c r="AA148" s="61">
        <f t="shared" si="654"/>
        <v>0.17845757582705921</v>
      </c>
      <c r="AB148" s="63">
        <f t="shared" si="654"/>
        <v>0.16157997583616415</v>
      </c>
      <c r="AC148" s="61">
        <f t="shared" si="654"/>
        <v>0.17790844650468393</v>
      </c>
      <c r="AD148" s="61">
        <f t="shared" si="654"/>
        <v>0.14594723223166142</v>
      </c>
      <c r="AE148" s="61">
        <f t="shared" si="654"/>
        <v>0.15103087146395228</v>
      </c>
      <c r="AF148" s="61">
        <f t="shared" si="654"/>
        <v>0.18204047795214237</v>
      </c>
      <c r="AG148" s="63">
        <f t="shared" si="654"/>
        <v>0.16631540718363416</v>
      </c>
      <c r="AH148" s="61">
        <f t="shared" si="654"/>
        <v>0.18196899787043275</v>
      </c>
      <c r="AI148" s="61">
        <f t="shared" si="654"/>
        <v>0.15056455785598005</v>
      </c>
      <c r="AJ148" s="61">
        <f t="shared" si="654"/>
        <v>0.15552637055320051</v>
      </c>
      <c r="AK148" s="61">
        <f t="shared" si="654"/>
        <v>0.18549639882462016</v>
      </c>
      <c r="AL148" s="63">
        <f t="shared" si="654"/>
        <v>0.17045004288454252</v>
      </c>
    </row>
    <row r="149" spans="1:38" s="47" customFormat="1" outlineLevel="1">
      <c r="A149" s="362"/>
      <c r="B149" s="522" t="s">
        <v>247</v>
      </c>
      <c r="C149" s="523"/>
      <c r="D149" s="61">
        <f t="shared" ref="D149:AL149" si="655">+D27/D16</f>
        <v>0.17394123056975294</v>
      </c>
      <c r="E149" s="61">
        <f t="shared" si="655"/>
        <v>0.15843892227913536</v>
      </c>
      <c r="F149" s="61">
        <f t="shared" si="655"/>
        <v>0.18270555474131628</v>
      </c>
      <c r="G149" s="61">
        <f t="shared" si="655"/>
        <v>0.17201719282644154</v>
      </c>
      <c r="H149" s="63">
        <f t="shared" si="655"/>
        <v>0.17201964645435841</v>
      </c>
      <c r="I149" s="61">
        <f t="shared" si="655"/>
        <v>0.1819616463062376</v>
      </c>
      <c r="J149" s="61">
        <f t="shared" si="655"/>
        <v>9.2432910252347358E-2</v>
      </c>
      <c r="K149" s="61">
        <f t="shared" si="655"/>
        <v>-0.12558205632268285</v>
      </c>
      <c r="L149" s="61">
        <f t="shared" si="655"/>
        <v>0.10451741866657424</v>
      </c>
      <c r="M149" s="63">
        <f t="shared" si="655"/>
        <v>8.3340954902344236E-2</v>
      </c>
      <c r="N149" s="61">
        <f t="shared" si="655"/>
        <v>0.13928116825607126</v>
      </c>
      <c r="O149" s="61">
        <f t="shared" si="655"/>
        <v>0.13158765523682359</v>
      </c>
      <c r="P149" s="61">
        <f t="shared" si="655"/>
        <v>0.15445137774945442</v>
      </c>
      <c r="Q149" s="61">
        <f t="shared" si="655"/>
        <v>0.1692875914606212</v>
      </c>
      <c r="R149" s="63">
        <f t="shared" si="655"/>
        <v>0.15003672870652321</v>
      </c>
      <c r="S149" s="61">
        <f t="shared" si="655"/>
        <v>0.18000875206188074</v>
      </c>
      <c r="T149" s="61">
        <f t="shared" si="655"/>
        <v>0.15567607981914605</v>
      </c>
      <c r="U149" s="61">
        <f t="shared" si="655"/>
        <v>0.16344418451036061</v>
      </c>
      <c r="V149" s="61">
        <f t="shared" si="655"/>
        <v>0.19207254695235171</v>
      </c>
      <c r="W149" s="63">
        <f t="shared" si="655"/>
        <v>0.17459494604780645</v>
      </c>
      <c r="X149" s="61">
        <f t="shared" si="655"/>
        <v>0.18798020890277181</v>
      </c>
      <c r="Y149" s="61">
        <f t="shared" si="655"/>
        <v>0.16064883425659493</v>
      </c>
      <c r="Z149" s="61">
        <f t="shared" si="655"/>
        <v>0.16523607552869249</v>
      </c>
      <c r="AA149" s="61">
        <f t="shared" si="655"/>
        <v>0.19368760369240151</v>
      </c>
      <c r="AB149" s="63">
        <f t="shared" si="655"/>
        <v>0.17871227739571025</v>
      </c>
      <c r="AC149" s="61">
        <f t="shared" si="655"/>
        <v>0.19239893870625305</v>
      </c>
      <c r="AD149" s="61">
        <f t="shared" si="655"/>
        <v>0.16534853105116271</v>
      </c>
      <c r="AE149" s="61">
        <f t="shared" si="655"/>
        <v>0.1696480899233842</v>
      </c>
      <c r="AF149" s="61">
        <f t="shared" si="655"/>
        <v>0.19655213069404343</v>
      </c>
      <c r="AG149" s="63">
        <f t="shared" si="655"/>
        <v>0.18277157644731404</v>
      </c>
      <c r="AH149" s="61">
        <f t="shared" si="655"/>
        <v>0.19540965723196424</v>
      </c>
      <c r="AI149" s="61">
        <f t="shared" si="655"/>
        <v>0.16861877861055083</v>
      </c>
      <c r="AJ149" s="61">
        <f t="shared" si="655"/>
        <v>0.17285913215697424</v>
      </c>
      <c r="AK149" s="61">
        <f t="shared" si="655"/>
        <v>0.19911471209836989</v>
      </c>
      <c r="AL149" s="63">
        <f t="shared" si="655"/>
        <v>0.18578091541446576</v>
      </c>
    </row>
    <row r="150" spans="1:38" s="47" customFormat="1" outlineLevel="1">
      <c r="A150" s="362"/>
      <c r="B150" s="522" t="s">
        <v>2</v>
      </c>
      <c r="C150" s="523"/>
      <c r="D150" s="61">
        <f t="shared" ref="D150:K150" si="656">D32/D31</f>
        <v>0.2124287933713101</v>
      </c>
      <c r="E150" s="61">
        <f t="shared" si="656"/>
        <v>0.1965853658536586</v>
      </c>
      <c r="F150" s="61">
        <f t="shared" si="656"/>
        <v>0.18110799689903978</v>
      </c>
      <c r="G150" s="330">
        <f t="shared" si="656"/>
        <v>0.20083682008368189</v>
      </c>
      <c r="H150" s="394">
        <f t="shared" si="656"/>
        <v>0.19515471765706843</v>
      </c>
      <c r="I150" s="330">
        <f t="shared" si="656"/>
        <v>0.22600104913446431</v>
      </c>
      <c r="J150" s="330">
        <f t="shared" si="656"/>
        <v>0.16760635571501836</v>
      </c>
      <c r="K150" s="330">
        <f t="shared" si="656"/>
        <v>0.16490147783251249</v>
      </c>
      <c r="L150" s="422">
        <v>0.25</v>
      </c>
      <c r="M150" s="63">
        <f>M32/M31</f>
        <v>0.25910803139031219</v>
      </c>
      <c r="N150" s="72">
        <v>0.25</v>
      </c>
      <c r="O150" s="72">
        <v>0.25</v>
      </c>
      <c r="P150" s="72">
        <v>0.25</v>
      </c>
      <c r="Q150" s="72">
        <v>0.25</v>
      </c>
      <c r="R150" s="63">
        <f>R32/R31</f>
        <v>0.25000000000000017</v>
      </c>
      <c r="S150" s="72">
        <f>AVERAGE(N150,O150,P150,Q150)-0.165057231271624%</f>
        <v>0.24834942768728377</v>
      </c>
      <c r="T150" s="72">
        <f>AVERAGE(O150,P150,Q150,S150)-0.165057231271624%</f>
        <v>0.2479367846091047</v>
      </c>
      <c r="U150" s="72">
        <f>AVERAGE(P150,Q150,S150,T150)-0.165057231271624%</f>
        <v>0.24742098076138089</v>
      </c>
      <c r="V150" s="72">
        <f>AVERAGE(Q150,S150,T150,U150)-0.165057231271624%</f>
        <v>0.2467762259517261</v>
      </c>
      <c r="W150" s="63">
        <f>W32/W31</f>
        <v>0.24757266399122507</v>
      </c>
      <c r="X150" s="72">
        <f>AVERAGE(S150,T150,U150,V150)</f>
        <v>0.24762085475237386</v>
      </c>
      <c r="Y150" s="72">
        <f>AVERAGE(T150,U150,V150,X150)</f>
        <v>0.24743871151864638</v>
      </c>
      <c r="Z150" s="72">
        <f>AVERAGE(U150,V150,X150,Y150)</f>
        <v>0.24731419324603179</v>
      </c>
      <c r="AA150" s="72">
        <f>AVERAGE(V150,X150,Y150,Z150)</f>
        <v>0.24728749636719452</v>
      </c>
      <c r="AB150" s="63">
        <f>AB32/AB31</f>
        <v>0.24742152573310311</v>
      </c>
      <c r="AC150" s="72">
        <f>AVERAGE(X150,Y150,Z150,AA150)</f>
        <v>0.24741531397106162</v>
      </c>
      <c r="AD150" s="72">
        <f>AVERAGE(Y150,Z150,AA150,AC150)</f>
        <v>0.24736392877573357</v>
      </c>
      <c r="AE150" s="72">
        <f>AVERAGE(Z150,AA150,AC150,AD150)</f>
        <v>0.24734523309000536</v>
      </c>
      <c r="AF150" s="72">
        <f>AVERAGE(AA150,AC150,AD150,AE150)</f>
        <v>0.24735299305099875</v>
      </c>
      <c r="AG150" s="63">
        <f>AG32/AG31</f>
        <v>0.24737259580193441</v>
      </c>
      <c r="AH150" s="72">
        <f>AVERAGE(AC150,AD150,AE150,AF150)</f>
        <v>0.24736936722194983</v>
      </c>
      <c r="AI150" s="72">
        <f>AVERAGE(AD150,AE150,AF150,AH150)</f>
        <v>0.24735788053467186</v>
      </c>
      <c r="AJ150" s="72">
        <f>AVERAGE(AE150,AF150,AH150,AI150)</f>
        <v>0.24735636847440645</v>
      </c>
      <c r="AK150" s="72">
        <f>AVERAGE(AF150,AH150,AI150,AJ150)</f>
        <v>0.24735915232050673</v>
      </c>
      <c r="AL150" s="63">
        <f>AL32/AL31</f>
        <v>0.24736150569967977</v>
      </c>
    </row>
    <row r="151" spans="1:38" s="47" customFormat="1" outlineLevel="1">
      <c r="A151" s="362"/>
      <c r="B151" s="522" t="s">
        <v>248</v>
      </c>
      <c r="C151" s="523"/>
      <c r="D151" s="61"/>
      <c r="E151" s="61">
        <f>+E29/((E184+E185+E190)+(D184+D185+D190)/2)</f>
        <v>3.0327214684756584E-3</v>
      </c>
      <c r="F151" s="61">
        <f>+F29/((F184+F185+F190)+(E184+E185+E190)/2)</f>
        <v>6.4321029136466161E-3</v>
      </c>
      <c r="G151" s="61">
        <f>+G29/((G184+G185+G190)+(F184+F185+F190)/2)</f>
        <v>2.9603261807251862E-3</v>
      </c>
      <c r="H151" s="63"/>
      <c r="I151" s="61">
        <f>+I29/((I184+I185+I190)+(G184+G185+G190)/2)</f>
        <v>3.3143988743550958E-3</v>
      </c>
      <c r="J151" s="61">
        <f t="shared" ref="J151" si="657">+J29/((J184+J185+J190)+(I184+I185+I190)/2)</f>
        <v>4.4659305324505627E-4</v>
      </c>
      <c r="K151" s="61">
        <f>+K29/((K184+K185+K190)+(J184+J185+J190)/2)</f>
        <v>2.1779393606804753E-3</v>
      </c>
      <c r="L151" s="73">
        <f>AVERAGE(K151,J151,I151,G151)</f>
        <v>2.2248143672514535E-3</v>
      </c>
      <c r="M151" s="63">
        <f>+M29/((M184+M185+M190)+(H184+H185+H190)/2)</f>
        <v>7.3858850116314155E-3</v>
      </c>
      <c r="N151" s="73">
        <f>AVERAGE(L151,K151,J151,I151)</f>
        <v>2.04093641388302E-3</v>
      </c>
      <c r="O151" s="73">
        <f>AVERAGE(N151,L151,K151,J151)</f>
        <v>1.7225707987650013E-3</v>
      </c>
      <c r="P151" s="73">
        <f>AVERAGE(O151,N151,L151,K151)</f>
        <v>2.0415652351449876E-3</v>
      </c>
      <c r="Q151" s="73">
        <f>AVERAGE(P151,O151,N151,L151)</f>
        <v>2.0074717037611156E-3</v>
      </c>
      <c r="R151" s="63">
        <f>+R29/((R184+R185+R190)+(M184+M185+M190)/2)</f>
        <v>5.8455287055343783E-3</v>
      </c>
      <c r="S151" s="73">
        <f>AVERAGE(Q151,P151,O151,N151)</f>
        <v>1.9531360378885311E-3</v>
      </c>
      <c r="T151" s="73">
        <f>AVERAGE(S151,Q151,P151,O151)</f>
        <v>1.9311859438899091E-3</v>
      </c>
      <c r="U151" s="73">
        <f>AVERAGE(T151,S151,Q151,P151)</f>
        <v>1.983339730171136E-3</v>
      </c>
      <c r="V151" s="73">
        <f>AVERAGE(U151,T151,S151,Q151)</f>
        <v>1.9687833539276728E-3</v>
      </c>
      <c r="W151" s="63">
        <f>+W29/((W184+W185+W190)+(R184+R185+R190)/2)</f>
        <v>4.9971731239553206E-3</v>
      </c>
      <c r="X151" s="73">
        <f>AVERAGE(V151,U151,T151,S151)</f>
        <v>1.9591112664693123E-3</v>
      </c>
      <c r="Y151" s="73">
        <f>AVERAGE(X151,V151,U151,T151)</f>
        <v>1.9606050736145075E-3</v>
      </c>
      <c r="Z151" s="73">
        <f>AVERAGE(Y151,X151,V151,U151)</f>
        <v>1.9679598560456571E-3</v>
      </c>
      <c r="AA151" s="73">
        <f>AVERAGE(Z151,Y151,X151,V151)</f>
        <v>1.9641148875142872E-3</v>
      </c>
      <c r="AB151" s="63">
        <f>+AB29/((AB184+AB185+AB190)+(W184+W185+W190)/2)</f>
        <v>4.3560551316674046E-3</v>
      </c>
      <c r="AC151" s="73">
        <f>AVERAGE(AA151,Z151,Y151,X151)</f>
        <v>1.962947770910941E-3</v>
      </c>
      <c r="AD151" s="73">
        <f>AVERAGE(AC151,AA151,Z151,Y151)</f>
        <v>1.9639068970213483E-3</v>
      </c>
      <c r="AE151" s="73">
        <f>AVERAGE(AD151,AC151,AA151,Z151)</f>
        <v>1.9647323528730583E-3</v>
      </c>
      <c r="AF151" s="73">
        <f>AVERAGE(AE151,AD151,AC151,AA151)</f>
        <v>1.9639254770799086E-3</v>
      </c>
      <c r="AG151" s="63">
        <f>+AG29/((AG184+AG185+AG190)+(AB184+AB185+AB190)/2)</f>
        <v>3.6235150626721178E-3</v>
      </c>
      <c r="AH151" s="73">
        <f>AVERAGE(AF151,AE151,AD151,AC151)</f>
        <v>1.963878124471314E-3</v>
      </c>
      <c r="AI151" s="73">
        <f>AVERAGE(AH151,AF151,AE151,AD151)</f>
        <v>1.9641107128614073E-3</v>
      </c>
      <c r="AJ151" s="73">
        <f>AVERAGE(AI151,AH151,AF151,AE151)</f>
        <v>1.9641616668214217E-3</v>
      </c>
      <c r="AK151" s="73">
        <f>AVERAGE(AJ151,AI151,AH151,AF151)</f>
        <v>1.9640189953085128E-3</v>
      </c>
      <c r="AL151" s="63">
        <f>+AL29/((AL184+AL185+AL190)+(AG184+AG185+AG190)/2)</f>
        <v>4.895874029250397E-3</v>
      </c>
    </row>
    <row r="152" spans="1:38" s="47" customFormat="1" outlineLevel="1">
      <c r="A152" s="362"/>
      <c r="B152" s="522" t="s">
        <v>249</v>
      </c>
      <c r="C152" s="523"/>
      <c r="D152" s="61"/>
      <c r="E152" s="61">
        <f>-E30/((((E206+E209)+(D206+D209))/2))</f>
        <v>8.0557251242696429E-3</v>
      </c>
      <c r="F152" s="61">
        <f>-F30/((((F206+F209)+(E206+E209))/2))</f>
        <v>8.4807318557490342E-3</v>
      </c>
      <c r="G152" s="61">
        <f>-G30/((((G206+G209)+(F206+F209))/2))</f>
        <v>8.572925858076421E-3</v>
      </c>
      <c r="H152" s="63"/>
      <c r="I152" s="61">
        <f>-I30/((((I206+I209)+(G206+G209))/2))</f>
        <v>8.0554679008449908E-3</v>
      </c>
      <c r="J152" s="61">
        <f t="shared" ref="J152" si="658">-J30/((((J206+J209)+(I206+I209))/2))</f>
        <v>7.730372102084551E-3</v>
      </c>
      <c r="K152" s="61">
        <f>-K30/((((K206+K209)+(J206+J209))/2))</f>
        <v>7.8322294946980078E-3</v>
      </c>
      <c r="L152" s="73">
        <f>K152</f>
        <v>7.8322294946980078E-3</v>
      </c>
      <c r="M152" s="63">
        <f>-M30/((((M206+M209)+(H206+H209))/2))</f>
        <v>3.2199010742146421E-2</v>
      </c>
      <c r="N152" s="73">
        <f>AVERAGE(L152,K152,J152,I152)</f>
        <v>7.8625747480813891E-3</v>
      </c>
      <c r="O152" s="73">
        <f>AVERAGE(N152,L152,K152,J152)</f>
        <v>7.8143514598904892E-3</v>
      </c>
      <c r="P152" s="73">
        <f>AVERAGE(O152,N152,L152,K152)</f>
        <v>7.8353462993419731E-3</v>
      </c>
      <c r="Q152" s="73">
        <f>AVERAGE(P152,O152,N152,L152)</f>
        <v>7.8361255005029648E-3</v>
      </c>
      <c r="R152" s="63">
        <f>-R30/((((R206+R209)+(M206+M209))/2))</f>
        <v>3.1287683125017701E-2</v>
      </c>
      <c r="S152" s="73">
        <f>AVERAGE(Q152,P152,O152,N152)</f>
        <v>7.837099501954204E-3</v>
      </c>
      <c r="T152" s="73">
        <f>AVERAGE(S152,Q152,P152,O152)</f>
        <v>7.8307306904224078E-3</v>
      </c>
      <c r="U152" s="73">
        <f>AVERAGE(T152,S152,Q152,P152)</f>
        <v>7.834825498055387E-3</v>
      </c>
      <c r="V152" s="73">
        <f>AVERAGE(U152,T152,S152,Q152)</f>
        <v>7.8346952977337396E-3</v>
      </c>
      <c r="W152" s="63">
        <f>-W30/((((W206+W209)+(R206+R209))/2))</f>
        <v>3.0662700802315205E-2</v>
      </c>
      <c r="X152" s="73">
        <f>AVERAGE(V152,U152,T152,S152)</f>
        <v>7.8343377470414359E-3</v>
      </c>
      <c r="Y152" s="73">
        <f>AVERAGE(X152,V152,U152,T152)</f>
        <v>7.8336473083132421E-3</v>
      </c>
      <c r="Z152" s="73">
        <f>AVERAGE(Y152,X152,V152,U152)</f>
        <v>7.8343764627859507E-3</v>
      </c>
      <c r="AA152" s="73">
        <f>AVERAGE(Z152,Y152,X152,V152)</f>
        <v>7.8342642039685925E-3</v>
      </c>
      <c r="AB152" s="63">
        <f>-AB30/((((AB206+AB209)+(W206+W209))/2))</f>
        <v>3.011227002856592E-2</v>
      </c>
      <c r="AC152" s="73">
        <f>AVERAGE(AA152,Z152,Y152,X152)</f>
        <v>7.8341564305273066E-3</v>
      </c>
      <c r="AD152" s="73">
        <f>AVERAGE(AC152,AA152,Z152,Y152)</f>
        <v>7.8341111013987726E-3</v>
      </c>
      <c r="AE152" s="73">
        <f>AVERAGE(AD152,AC152,AA152,Z152)</f>
        <v>7.834227049670156E-3</v>
      </c>
      <c r="AF152" s="73">
        <f>AVERAGE(AE152,AD152,AC152,AA152)</f>
        <v>7.8341896963912069E-3</v>
      </c>
      <c r="AG152" s="63">
        <f>-AG30/((((AG206+AG209)+(AB206+AB209))/2))</f>
        <v>2.8899996756109787E-2</v>
      </c>
      <c r="AH152" s="73">
        <f>AVERAGE(AF152,AE152,AD152,AC152)</f>
        <v>7.8341710694968605E-3</v>
      </c>
      <c r="AI152" s="73">
        <f>AVERAGE(AH152,AF152,AE152,AD152)</f>
        <v>7.8341747292392482E-3</v>
      </c>
      <c r="AJ152" s="73">
        <f>AVERAGE(AI152,AH152,AF152,AE152)</f>
        <v>7.8341906361993688E-3</v>
      </c>
      <c r="AK152" s="73">
        <f>AVERAGE(AJ152,AI152,AH152,AF152)</f>
        <v>7.8341815328316702E-3</v>
      </c>
      <c r="AL152" s="63">
        <f>-AL30/((((AL206+AL209)+(AG206+AG209))/2))</f>
        <v>3.0230982028751231E-2</v>
      </c>
    </row>
    <row r="153" spans="1:38" s="47" customFormat="1" outlineLevel="1">
      <c r="A153" s="362"/>
      <c r="B153" s="411" t="s">
        <v>356</v>
      </c>
      <c r="C153" s="412"/>
      <c r="D153" s="61"/>
      <c r="E153" s="61"/>
      <c r="F153" s="61"/>
      <c r="G153" s="61"/>
      <c r="H153" s="63"/>
      <c r="I153" s="61">
        <f>I42/D42-1</f>
        <v>5.9389868457878192E-2</v>
      </c>
      <c r="J153" s="61">
        <f t="shared" ref="J153:AL153" si="659">J42/E42-1</f>
        <v>-0.47460546003783222</v>
      </c>
      <c r="K153" s="61">
        <f t="shared" si="659"/>
        <v>-1.5922286955663072</v>
      </c>
      <c r="L153" s="321">
        <f t="shared" si="659"/>
        <v>-0.52800991761434479</v>
      </c>
      <c r="M153" s="394">
        <f t="shared" si="659"/>
        <v>-0.65806742623844205</v>
      </c>
      <c r="N153" s="321">
        <f t="shared" si="659"/>
        <v>-0.35245916727757798</v>
      </c>
      <c r="O153" s="321">
        <f t="shared" si="659"/>
        <v>0.24022429005121082</v>
      </c>
      <c r="P153" s="321">
        <f t="shared" si="659"/>
        <v>-2.0870135168676933</v>
      </c>
      <c r="Q153" s="321">
        <f t="shared" si="659"/>
        <v>1.3325693251837771</v>
      </c>
      <c r="R153" s="63">
        <f t="shared" si="659"/>
        <v>1.2436912078688551</v>
      </c>
      <c r="S153" s="321">
        <f t="shared" si="659"/>
        <v>0.6614880604967337</v>
      </c>
      <c r="T153" s="321">
        <f t="shared" si="659"/>
        <v>0.41247396206494136</v>
      </c>
      <c r="U153" s="321">
        <f t="shared" si="659"/>
        <v>0.22226613499558256</v>
      </c>
      <c r="V153" s="321">
        <f t="shared" si="659"/>
        <v>0.27437536857838007</v>
      </c>
      <c r="W153" s="394">
        <f t="shared" si="659"/>
        <v>0.37813020213350645</v>
      </c>
      <c r="X153" s="321">
        <f t="shared" si="659"/>
        <v>0.15900079003413148</v>
      </c>
      <c r="Y153" s="321">
        <f t="shared" si="659"/>
        <v>0.13154848033605715</v>
      </c>
      <c r="Z153" s="321">
        <f t="shared" si="659"/>
        <v>0.10474902840450451</v>
      </c>
      <c r="AA153" s="321">
        <f t="shared" si="659"/>
        <v>8.4141468066668779E-2</v>
      </c>
      <c r="AB153" s="63">
        <f t="shared" si="659"/>
        <v>0.11845203053578746</v>
      </c>
      <c r="AC153" s="321">
        <f t="shared" si="659"/>
        <v>0.13045482212525927</v>
      </c>
      <c r="AD153" s="321">
        <f t="shared" si="659"/>
        <v>0.12577586286924514</v>
      </c>
      <c r="AE153" s="321">
        <f t="shared" si="659"/>
        <v>0.12531038090737479</v>
      </c>
      <c r="AF153" s="321">
        <f t="shared" si="659"/>
        <v>0.10486207970698458</v>
      </c>
      <c r="AG153" s="394">
        <f t="shared" si="659"/>
        <v>0.12046130217730577</v>
      </c>
      <c r="AH153" s="321">
        <f t="shared" si="659"/>
        <v>0.11691375893842015</v>
      </c>
      <c r="AI153" s="321">
        <f t="shared" si="659"/>
        <v>0.11640637404626153</v>
      </c>
      <c r="AJ153" s="321">
        <f t="shared" si="659"/>
        <v>0.11920178673378712</v>
      </c>
      <c r="AK153" s="321">
        <f t="shared" si="659"/>
        <v>0.11383316958337852</v>
      </c>
      <c r="AL153" s="63">
        <f t="shared" si="659"/>
        <v>0.11632001659222713</v>
      </c>
    </row>
    <row r="154" spans="1:38" s="47" customFormat="1" outlineLevel="1">
      <c r="A154" s="362"/>
      <c r="B154" s="411" t="s">
        <v>357</v>
      </c>
      <c r="C154" s="412"/>
      <c r="D154" s="61"/>
      <c r="E154" s="61"/>
      <c r="F154" s="61"/>
      <c r="G154" s="61"/>
      <c r="H154" s="63"/>
      <c r="I154" s="61">
        <f>I257/D257-1</f>
        <v>-0.22820512820512895</v>
      </c>
      <c r="J154" s="61">
        <f t="shared" ref="J154:AL154" si="660">J257/E257-1</f>
        <v>-4.4869364754098413</v>
      </c>
      <c r="K154" s="61">
        <f t="shared" si="660"/>
        <v>-1.314434752864716</v>
      </c>
      <c r="L154" s="321">
        <f t="shared" si="660"/>
        <v>-0.15066685895588705</v>
      </c>
      <c r="M154" s="394">
        <f t="shared" si="660"/>
        <v>-0.79229902443262612</v>
      </c>
      <c r="N154" s="321">
        <f t="shared" si="660"/>
        <v>-0.18846392038858584</v>
      </c>
      <c r="O154" s="321">
        <f t="shared" si="660"/>
        <v>-1.444893664697362</v>
      </c>
      <c r="P154" s="321">
        <f t="shared" si="660"/>
        <v>-2.8199924998882899</v>
      </c>
      <c r="Q154" s="321">
        <f t="shared" si="660"/>
        <v>5.0616286004783184E-2</v>
      </c>
      <c r="R154" s="63">
        <f t="shared" si="660"/>
        <v>2.5809242899496212</v>
      </c>
      <c r="S154" s="321">
        <f t="shared" si="660"/>
        <v>0.17496241299853788</v>
      </c>
      <c r="T154" s="321">
        <f t="shared" si="660"/>
        <v>0.22146160094158773</v>
      </c>
      <c r="U154" s="321">
        <f t="shared" si="660"/>
        <v>0.37434186415956994</v>
      </c>
      <c r="V154" s="321">
        <f t="shared" si="660"/>
        <v>0.37400802347024675</v>
      </c>
      <c r="W154" s="394">
        <f t="shared" si="660"/>
        <v>0.27044218376175455</v>
      </c>
      <c r="X154" s="321">
        <f t="shared" si="660"/>
        <v>6.8585122192759806E-2</v>
      </c>
      <c r="Y154" s="321">
        <f t="shared" si="660"/>
        <v>8.0619289394046056E-3</v>
      </c>
      <c r="Z154" s="321">
        <f t="shared" si="660"/>
        <v>0.1081500157377524</v>
      </c>
      <c r="AA154" s="321">
        <f t="shared" si="660"/>
        <v>2.1697959137483069E-2</v>
      </c>
      <c r="AB154" s="63">
        <f t="shared" si="660"/>
        <v>5.3469422467705696E-2</v>
      </c>
      <c r="AC154" s="321">
        <f t="shared" si="660"/>
        <v>5.2189954165061669E-2</v>
      </c>
      <c r="AD154" s="321">
        <f t="shared" si="660"/>
        <v>8.2217054895860286E-2</v>
      </c>
      <c r="AE154" s="321">
        <f t="shared" si="660"/>
        <v>6.2536881666687805E-2</v>
      </c>
      <c r="AF154" s="321">
        <f t="shared" si="660"/>
        <v>5.4948843979368389E-2</v>
      </c>
      <c r="AG154" s="394">
        <f t="shared" si="660"/>
        <v>5.9508457886627175E-2</v>
      </c>
      <c r="AH154" s="321">
        <f t="shared" si="660"/>
        <v>8.1647865025936461E-2</v>
      </c>
      <c r="AI154" s="321">
        <f t="shared" si="660"/>
        <v>6.1995605218365446E-2</v>
      </c>
      <c r="AJ154" s="321">
        <f t="shared" si="660"/>
        <v>7.9899509925860812E-2</v>
      </c>
      <c r="AK154" s="321">
        <f t="shared" si="660"/>
        <v>6.0020647344857014E-2</v>
      </c>
      <c r="AL154" s="63">
        <f t="shared" si="660"/>
        <v>7.2362674927215043E-2</v>
      </c>
    </row>
    <row r="155" spans="1:38" s="47" customFormat="1" outlineLevel="1">
      <c r="A155" s="362"/>
      <c r="B155" s="411" t="s">
        <v>358</v>
      </c>
      <c r="C155" s="412"/>
      <c r="D155" s="61"/>
      <c r="E155" s="61"/>
      <c r="F155" s="61"/>
      <c r="G155" s="61"/>
      <c r="H155" s="63"/>
      <c r="I155" s="61">
        <f>I277/D277-1</f>
        <v>-0.25970425138632247</v>
      </c>
      <c r="J155" s="61">
        <f>J277/E277-1</f>
        <v>71.491596638654428</v>
      </c>
      <c r="K155" s="61">
        <f t="shared" ref="K155:AL155" si="661">K277/F277-1</f>
        <v>-2.01838485632575</v>
      </c>
      <c r="L155" s="321">
        <f t="shared" si="661"/>
        <v>0.16026412303208537</v>
      </c>
      <c r="M155" s="394">
        <f t="shared" si="661"/>
        <v>-1.038487184075968</v>
      </c>
      <c r="N155" s="321">
        <f t="shared" si="661"/>
        <v>-0.17756958425986558</v>
      </c>
      <c r="O155" s="321">
        <f t="shared" si="661"/>
        <v>-1.208152345805346</v>
      </c>
      <c r="P155" s="321">
        <f t="shared" si="661"/>
        <v>-1.5357459587971025</v>
      </c>
      <c r="Q155" s="321">
        <f t="shared" si="661"/>
        <v>-9.5093058538246567E-2</v>
      </c>
      <c r="R155" s="63">
        <f t="shared" si="661"/>
        <v>-21.502009811050371</v>
      </c>
      <c r="S155" s="321">
        <f t="shared" si="661"/>
        <v>0.16176450572061851</v>
      </c>
      <c r="T155" s="321">
        <f t="shared" si="661"/>
        <v>0.31148015198855727</v>
      </c>
      <c r="U155" s="321">
        <f t="shared" si="661"/>
        <v>0.58694864816590719</v>
      </c>
      <c r="V155" s="321">
        <f t="shared" si="661"/>
        <v>0.57886078236180794</v>
      </c>
      <c r="W155" s="394">
        <f t="shared" si="661"/>
        <v>0.34913378854693478</v>
      </c>
      <c r="X155" s="321">
        <f t="shared" si="661"/>
        <v>0.12296150355795898</v>
      </c>
      <c r="Y155" s="321">
        <f t="shared" si="661"/>
        <v>0.10203467532545729</v>
      </c>
      <c r="Z155" s="321">
        <f t="shared" si="661"/>
        <v>0.22480683361135134</v>
      </c>
      <c r="AA155" s="321">
        <f t="shared" si="661"/>
        <v>9.4314100025747694E-2</v>
      </c>
      <c r="AB155" s="63">
        <f t="shared" si="661"/>
        <v>0.13086043325107188</v>
      </c>
      <c r="AC155" s="321">
        <f t="shared" si="661"/>
        <v>4.6129910295775067E-2</v>
      </c>
      <c r="AD155" s="321">
        <f t="shared" si="661"/>
        <v>8.7270883634214202E-2</v>
      </c>
      <c r="AE155" s="321">
        <f t="shared" si="661"/>
        <v>5.8438297422909402E-2</v>
      </c>
      <c r="AF155" s="321">
        <f t="shared" si="661"/>
        <v>5.0570055240376943E-2</v>
      </c>
      <c r="AG155" s="394">
        <f t="shared" si="661"/>
        <v>5.5263235626938467E-2</v>
      </c>
      <c r="AH155" s="321">
        <f t="shared" si="661"/>
        <v>8.5167765907020909E-2</v>
      </c>
      <c r="AI155" s="321">
        <f t="shared" si="661"/>
        <v>6.2040661773990591E-2</v>
      </c>
      <c r="AJ155" s="321">
        <f t="shared" si="661"/>
        <v>8.2372380429556413E-2</v>
      </c>
      <c r="AK155" s="321">
        <f t="shared" si="661"/>
        <v>5.4383330965819043E-2</v>
      </c>
      <c r="AL155" s="63">
        <f t="shared" si="661"/>
        <v>7.3139878329123276E-2</v>
      </c>
    </row>
    <row r="156" spans="1:38" ht="18">
      <c r="A156" s="297"/>
      <c r="B156" s="524" t="s">
        <v>346</v>
      </c>
      <c r="C156" s="525"/>
      <c r="D156" s="36" t="s">
        <v>123</v>
      </c>
      <c r="E156" s="36" t="s">
        <v>281</v>
      </c>
      <c r="F156" s="36" t="s">
        <v>285</v>
      </c>
      <c r="G156" s="36" t="s">
        <v>295</v>
      </c>
      <c r="H156" s="103" t="s">
        <v>296</v>
      </c>
      <c r="I156" s="36" t="s">
        <v>297</v>
      </c>
      <c r="J156" s="36" t="s">
        <v>298</v>
      </c>
      <c r="K156" s="36" t="s">
        <v>299</v>
      </c>
      <c r="L156" s="34" t="s">
        <v>141</v>
      </c>
      <c r="M156" s="106" t="s">
        <v>142</v>
      </c>
      <c r="N156" s="34" t="s">
        <v>143</v>
      </c>
      <c r="O156" s="34" t="s">
        <v>144</v>
      </c>
      <c r="P156" s="34" t="s">
        <v>145</v>
      </c>
      <c r="Q156" s="34" t="s">
        <v>146</v>
      </c>
      <c r="R156" s="106" t="s">
        <v>147</v>
      </c>
      <c r="S156" s="34" t="s">
        <v>148</v>
      </c>
      <c r="T156" s="34" t="s">
        <v>149</v>
      </c>
      <c r="U156" s="34" t="s">
        <v>150</v>
      </c>
      <c r="V156" s="34" t="s">
        <v>151</v>
      </c>
      <c r="W156" s="106" t="s">
        <v>152</v>
      </c>
      <c r="X156" s="34" t="s">
        <v>153</v>
      </c>
      <c r="Y156" s="34" t="s">
        <v>154</v>
      </c>
      <c r="Z156" s="34" t="s">
        <v>155</v>
      </c>
      <c r="AA156" s="34" t="s">
        <v>156</v>
      </c>
      <c r="AB156" s="106" t="s">
        <v>157</v>
      </c>
      <c r="AC156" s="34" t="s">
        <v>290</v>
      </c>
      <c r="AD156" s="34" t="s">
        <v>291</v>
      </c>
      <c r="AE156" s="34" t="s">
        <v>292</v>
      </c>
      <c r="AF156" s="34" t="s">
        <v>293</v>
      </c>
      <c r="AG156" s="106" t="s">
        <v>294</v>
      </c>
      <c r="AH156" s="34" t="s">
        <v>323</v>
      </c>
      <c r="AI156" s="34" t="s">
        <v>324</v>
      </c>
      <c r="AJ156" s="34" t="s">
        <v>325</v>
      </c>
      <c r="AK156" s="34" t="s">
        <v>326</v>
      </c>
      <c r="AL156" s="106" t="s">
        <v>327</v>
      </c>
    </row>
    <row r="157" spans="1:38" outlineLevel="1">
      <c r="A157" s="297"/>
      <c r="B157" s="522" t="s">
        <v>54</v>
      </c>
      <c r="C157" s="523"/>
      <c r="D157" s="61"/>
      <c r="E157" s="61">
        <f>(E38+E161+E164+E167)/D38-1</f>
        <v>2.777764747303535E-2</v>
      </c>
      <c r="F157" s="61">
        <f>(F38+F161+F164+F167)/E38-1</f>
        <v>-1.7269004124131682E-2</v>
      </c>
      <c r="G157" s="61">
        <f>(G38+G161+G164+G167)/F38-1</f>
        <v>1.9258933156590885E-2</v>
      </c>
      <c r="H157" s="22"/>
      <c r="I157" s="61">
        <f>(I38+I161+I164+I167)/G38-1</f>
        <v>-1.436336111538794E-2</v>
      </c>
      <c r="J157" s="61">
        <f>(J38+J161+J164+J167)/I38-1</f>
        <v>-1.1333810572689007E-3</v>
      </c>
      <c r="K157" s="61">
        <f>(K38+K161+K164+K167)/J38-1</f>
        <v>-2.8161802355349819E-3</v>
      </c>
      <c r="L157" s="73">
        <f t="shared" ref="L157:L158" si="662">AVERAGE(G157,I157,J157,K157)</f>
        <v>2.3650268709976552E-4</v>
      </c>
      <c r="M157" s="22"/>
      <c r="N157" s="73">
        <f t="shared" ref="N157:N158" si="663">AVERAGE(I157,J157,K157,L157)</f>
        <v>-4.5191049302730144E-3</v>
      </c>
      <c r="O157" s="73">
        <f t="shared" ref="O157:O158" si="664">AVERAGE(J157,K157,L157,N157)</f>
        <v>-2.0580408839942829E-3</v>
      </c>
      <c r="P157" s="73">
        <f t="shared" ref="P157:P158" si="665">AVERAGE(K157,L157,N157,O157)</f>
        <v>-2.2892058406756284E-3</v>
      </c>
      <c r="Q157" s="73">
        <f t="shared" ref="Q157:Q158" si="666">AVERAGE(L157,N157,O157,P157)</f>
        <v>-2.1574622419607901E-3</v>
      </c>
      <c r="R157" s="22"/>
      <c r="S157" s="73">
        <f t="shared" ref="S157:S158" si="667">AVERAGE(N157,O157,P157,Q157)</f>
        <v>-2.7559534742259291E-3</v>
      </c>
      <c r="T157" s="73">
        <f t="shared" ref="T157:T158" si="668">AVERAGE(O157,P157,Q157,S157)</f>
        <v>-2.315165610214158E-3</v>
      </c>
      <c r="U157" s="73">
        <f t="shared" ref="U157:U158" si="669">AVERAGE(P157,Q157,S157,T157)</f>
        <v>-2.3794467917691263E-3</v>
      </c>
      <c r="V157" s="73">
        <f t="shared" ref="V157:V158" si="670">AVERAGE(Q157,S157,T157,U157)</f>
        <v>-2.4020070295425007E-3</v>
      </c>
      <c r="W157" s="22"/>
      <c r="X157" s="73">
        <f t="shared" ref="X157:X158" si="671">AVERAGE(S157,T157,U157,V157)</f>
        <v>-2.4631432264379284E-3</v>
      </c>
      <c r="Y157" s="73">
        <f t="shared" ref="Y157:Y158" si="672">AVERAGE(T157,U157,V157,X157)</f>
        <v>-2.3899406644909285E-3</v>
      </c>
      <c r="Z157" s="73">
        <f t="shared" ref="Z157:Z158" si="673">AVERAGE(U157,V157,X157,Y157)</f>
        <v>-2.408634428060121E-3</v>
      </c>
      <c r="AA157" s="73">
        <f t="shared" ref="AA157:AA158" si="674">AVERAGE(V157,X157,Y157,Z157)</f>
        <v>-2.4159313371328699E-3</v>
      </c>
      <c r="AB157" s="22"/>
      <c r="AC157" s="73">
        <f t="shared" ref="AC157:AC158" si="675">AVERAGE(X157,Y157,Z157,AA157)</f>
        <v>-2.4194124140304619E-3</v>
      </c>
      <c r="AD157" s="73">
        <f t="shared" ref="AD157:AD158" si="676">AVERAGE(Y157,Z157,AA157,AC157)</f>
        <v>-2.4084797109285953E-3</v>
      </c>
      <c r="AE157" s="73">
        <f t="shared" ref="AE157:AE158" si="677">AVERAGE(Z157,AA157,AC157,AD157)</f>
        <v>-2.4131144725380122E-3</v>
      </c>
      <c r="AF157" s="73">
        <f t="shared" ref="AF157:AF158" si="678">AVERAGE(AA157,AC157,AD157,AE157)</f>
        <v>-2.4142344836574851E-3</v>
      </c>
      <c r="AG157" s="22"/>
      <c r="AH157" s="73">
        <f t="shared" ref="AH157:AH158" si="679">AVERAGE(AC157,AD157,AE157,AF157)</f>
        <v>-2.4138102702886384E-3</v>
      </c>
      <c r="AI157" s="73">
        <f t="shared" ref="AI157:AI158" si="680">AVERAGE(AD157,AE157,AF157,AH157)</f>
        <v>-2.4124097343531828E-3</v>
      </c>
      <c r="AJ157" s="73">
        <f t="shared" ref="AJ157:AJ158" si="681">AVERAGE(AE157,AF157,AH157,AI157)</f>
        <v>-2.4133922402093297E-3</v>
      </c>
      <c r="AK157" s="73">
        <f t="shared" ref="AK157:AK158" si="682">AVERAGE(AF157,AH157,AI157,AJ157)</f>
        <v>-2.413461682127159E-3</v>
      </c>
      <c r="AL157" s="22"/>
    </row>
    <row r="158" spans="1:38" outlineLevel="1">
      <c r="A158" s="297"/>
      <c r="B158" s="522" t="s">
        <v>55</v>
      </c>
      <c r="C158" s="523"/>
      <c r="D158" s="61"/>
      <c r="E158" s="61">
        <f>(E39+E161+E164+E167)/D39-1</f>
        <v>2.7604785512613583E-2</v>
      </c>
      <c r="F158" s="61">
        <f>(F39+F161+F164+F167)/E39-1</f>
        <v>-1.6710442080933863E-2</v>
      </c>
      <c r="G158" s="61">
        <f>(G39+G161+G164+G167)/F39-1</f>
        <v>1.9089589576967603E-2</v>
      </c>
      <c r="H158" s="22"/>
      <c r="I158" s="61">
        <f>(I39+I161+I164+I167)/G39-1</f>
        <v>-1.5386652077945762E-2</v>
      </c>
      <c r="J158" s="61">
        <f>(J39+J161+J164+J167)/I39-1</f>
        <v>-2.5506658270361138E-3</v>
      </c>
      <c r="K158" s="61">
        <f>(K39+K161+K164+K167)/J39-1</f>
        <v>-1.0332853392055585E-2</v>
      </c>
      <c r="L158" s="73">
        <f t="shared" si="662"/>
        <v>-2.2951454300174645E-3</v>
      </c>
      <c r="M158" s="22"/>
      <c r="N158" s="73">
        <f t="shared" si="663"/>
        <v>-7.6413291817637313E-3</v>
      </c>
      <c r="O158" s="73">
        <f t="shared" si="664"/>
        <v>-5.7049984577182238E-3</v>
      </c>
      <c r="P158" s="73">
        <f t="shared" si="665"/>
        <v>-6.4935816153887512E-3</v>
      </c>
      <c r="Q158" s="73">
        <f t="shared" si="666"/>
        <v>-5.5337636712220429E-3</v>
      </c>
      <c r="R158" s="22"/>
      <c r="S158" s="73">
        <f t="shared" si="667"/>
        <v>-6.3434182315231877E-3</v>
      </c>
      <c r="T158" s="73">
        <f t="shared" si="668"/>
        <v>-6.0189404939630514E-3</v>
      </c>
      <c r="U158" s="73">
        <f t="shared" si="669"/>
        <v>-6.0974260030242583E-3</v>
      </c>
      <c r="V158" s="73">
        <f t="shared" si="670"/>
        <v>-5.9983870999331347E-3</v>
      </c>
      <c r="W158" s="22"/>
      <c r="X158" s="73">
        <f t="shared" si="671"/>
        <v>-6.1145429571109085E-3</v>
      </c>
      <c r="Y158" s="73">
        <f t="shared" si="672"/>
        <v>-6.0573241385078382E-3</v>
      </c>
      <c r="Z158" s="73">
        <f t="shared" si="673"/>
        <v>-6.0669200496440354E-3</v>
      </c>
      <c r="AA158" s="73">
        <f t="shared" si="674"/>
        <v>-6.0592935612989798E-3</v>
      </c>
      <c r="AB158" s="22"/>
      <c r="AC158" s="73">
        <f t="shared" si="675"/>
        <v>-6.07452017664044E-3</v>
      </c>
      <c r="AD158" s="73">
        <f t="shared" si="676"/>
        <v>-6.0645144815228234E-3</v>
      </c>
      <c r="AE158" s="73">
        <f t="shared" si="677"/>
        <v>-6.0663120672765688E-3</v>
      </c>
      <c r="AF158" s="73">
        <f t="shared" si="678"/>
        <v>-6.0661600716847026E-3</v>
      </c>
      <c r="AG158" s="22"/>
      <c r="AH158" s="73">
        <f t="shared" si="679"/>
        <v>-6.0678766992811328E-3</v>
      </c>
      <c r="AI158" s="73">
        <f t="shared" si="680"/>
        <v>-6.0662158299413065E-3</v>
      </c>
      <c r="AJ158" s="73">
        <f t="shared" si="681"/>
        <v>-6.0666411670459277E-3</v>
      </c>
      <c r="AK158" s="73">
        <f t="shared" si="682"/>
        <v>-6.0667234419882676E-3</v>
      </c>
      <c r="AL158" s="22"/>
    </row>
    <row r="159" spans="1:38" outlineLevel="1">
      <c r="A159" s="297"/>
      <c r="B159" s="522" t="s">
        <v>353</v>
      </c>
      <c r="C159" s="523"/>
      <c r="D159" s="76"/>
      <c r="E159" s="315">
        <v>69.922678056926543</v>
      </c>
      <c r="F159" s="315">
        <v>83.13076202744692</v>
      </c>
      <c r="G159" s="315">
        <v>92.52</v>
      </c>
      <c r="H159" s="77"/>
      <c r="I159" s="315">
        <v>85.23</v>
      </c>
      <c r="J159" s="315">
        <v>78.08</v>
      </c>
      <c r="K159" s="315">
        <v>0</v>
      </c>
      <c r="L159" s="483">
        <v>80</v>
      </c>
      <c r="M159" s="77"/>
      <c r="N159" s="483">
        <v>75</v>
      </c>
      <c r="O159" s="483">
        <v>75</v>
      </c>
      <c r="P159" s="483">
        <f>80</f>
        <v>80</v>
      </c>
      <c r="Q159" s="483">
        <f>85</f>
        <v>85</v>
      </c>
      <c r="R159" s="77"/>
      <c r="S159" s="78">
        <f>+Q159</f>
        <v>85</v>
      </c>
      <c r="T159" s="78">
        <f>+S159</f>
        <v>85</v>
      </c>
      <c r="U159" s="78">
        <f>+T159</f>
        <v>85</v>
      </c>
      <c r="V159" s="78">
        <f>+U159</f>
        <v>85</v>
      </c>
      <c r="W159" s="77"/>
      <c r="X159" s="78">
        <f>+V159</f>
        <v>85</v>
      </c>
      <c r="Y159" s="78">
        <f>+X159</f>
        <v>85</v>
      </c>
      <c r="Z159" s="78">
        <f>+Y159</f>
        <v>85</v>
      </c>
      <c r="AA159" s="78">
        <f>+Z159</f>
        <v>85</v>
      </c>
      <c r="AB159" s="77"/>
      <c r="AC159" s="78">
        <f>+AA159</f>
        <v>85</v>
      </c>
      <c r="AD159" s="78">
        <f>+AC159</f>
        <v>85</v>
      </c>
      <c r="AE159" s="78">
        <f>+AD159</f>
        <v>85</v>
      </c>
      <c r="AF159" s="78">
        <f>+AE159</f>
        <v>85</v>
      </c>
      <c r="AG159" s="77"/>
      <c r="AH159" s="78">
        <f>+AF159</f>
        <v>85</v>
      </c>
      <c r="AI159" s="78">
        <f>+AH159</f>
        <v>85</v>
      </c>
      <c r="AJ159" s="78">
        <f>+AI159</f>
        <v>85</v>
      </c>
      <c r="AK159" s="78">
        <f>+AJ159</f>
        <v>85</v>
      </c>
      <c r="AL159" s="77"/>
    </row>
    <row r="160" spans="1:38" outlineLevel="1">
      <c r="A160" s="297"/>
      <c r="B160" s="522" t="s">
        <v>354</v>
      </c>
      <c r="C160" s="523"/>
      <c r="D160" s="38"/>
      <c r="E160" s="304">
        <v>713.2</v>
      </c>
      <c r="F160" s="304">
        <f>954.3-713.2</f>
        <v>241.09999999999991</v>
      </c>
      <c r="G160" s="299">
        <v>2177.1942404399997</v>
      </c>
      <c r="H160" s="39">
        <f>+SUM(D160:G160)</f>
        <v>3131.4942404399999</v>
      </c>
      <c r="I160" s="299">
        <v>1107.9389472300002</v>
      </c>
      <c r="J160" s="299">
        <v>567.02921856000012</v>
      </c>
      <c r="K160" s="299">
        <v>0</v>
      </c>
      <c r="L160" s="71">
        <v>100</v>
      </c>
      <c r="M160" s="39">
        <f>+SUM(I160:L160)</f>
        <v>1774.9681657900003</v>
      </c>
      <c r="N160" s="484">
        <v>50</v>
      </c>
      <c r="O160" s="484">
        <v>50</v>
      </c>
      <c r="P160" s="484">
        <v>50</v>
      </c>
      <c r="Q160" s="484">
        <v>50</v>
      </c>
      <c r="R160" s="39">
        <f>+SUM(N160:Q160)</f>
        <v>200</v>
      </c>
      <c r="S160" s="484">
        <v>50</v>
      </c>
      <c r="T160" s="484">
        <v>50</v>
      </c>
      <c r="U160" s="484">
        <v>50</v>
      </c>
      <c r="V160" s="484">
        <v>50</v>
      </c>
      <c r="W160" s="39">
        <f>+SUM(S160:V160)</f>
        <v>200</v>
      </c>
      <c r="X160" s="484">
        <v>50</v>
      </c>
      <c r="Y160" s="484">
        <v>50</v>
      </c>
      <c r="Z160" s="484">
        <v>50</v>
      </c>
      <c r="AA160" s="484">
        <v>50</v>
      </c>
      <c r="AB160" s="39">
        <f>+SUM(X160:AA160)</f>
        <v>200</v>
      </c>
      <c r="AC160" s="484">
        <v>50</v>
      </c>
      <c r="AD160" s="484">
        <v>50</v>
      </c>
      <c r="AE160" s="484">
        <v>50</v>
      </c>
      <c r="AF160" s="484">
        <v>50</v>
      </c>
      <c r="AG160" s="39">
        <f>+SUM(AC160:AF160)</f>
        <v>200</v>
      </c>
      <c r="AH160" s="484">
        <v>50</v>
      </c>
      <c r="AI160" s="484">
        <v>50</v>
      </c>
      <c r="AJ160" s="484">
        <v>50</v>
      </c>
      <c r="AK160" s="484">
        <v>50</v>
      </c>
      <c r="AL160" s="39">
        <f>+SUM(AH160:AK160)</f>
        <v>200</v>
      </c>
    </row>
    <row r="161" spans="1:38" outlineLevel="1">
      <c r="A161" s="297"/>
      <c r="B161" s="522" t="s">
        <v>355</v>
      </c>
      <c r="C161" s="523"/>
      <c r="D161" s="402"/>
      <c r="E161" s="402">
        <f>IF((E160)&gt;0,(E160/E159),0)</f>
        <v>10.199838161509755</v>
      </c>
      <c r="F161" s="405">
        <f>IF((F160)&gt;0,(F160/F159),0)</f>
        <v>2.9002500893760241</v>
      </c>
      <c r="G161" s="405">
        <f>IF((G160)&gt;0,(G160/G159),0)</f>
        <v>23.532146999999998</v>
      </c>
      <c r="H161" s="191">
        <f>+SUM(D161:G161)</f>
        <v>36.632235250885778</v>
      </c>
      <c r="I161" s="402">
        <f>IF((I160)&gt;0,(I160/I159),0)</f>
        <v>12.999401000000001</v>
      </c>
      <c r="J161" s="405">
        <f>IF((J160)&gt;0,(J160/J159),0)</f>
        <v>7.262157000000002</v>
      </c>
      <c r="K161" s="402">
        <f>IF((K160)&gt;0,(K160/K159),0)</f>
        <v>0</v>
      </c>
      <c r="L161" s="402">
        <f>IF((L160)&gt;0,(L160/L159),0)</f>
        <v>1.25</v>
      </c>
      <c r="M161" s="191">
        <f>+SUM(I161:L161)</f>
        <v>21.511558000000001</v>
      </c>
      <c r="N161" s="402">
        <f>IF((N160)&gt;0,(N160/N159),0)</f>
        <v>0.66666666666666663</v>
      </c>
      <c r="O161" s="402">
        <f>IF((O160)&gt;0,(O160/O159),0)</f>
        <v>0.66666666666666663</v>
      </c>
      <c r="P161" s="402">
        <f>IF((P160)&gt;0,(P160/P159),0)</f>
        <v>0.625</v>
      </c>
      <c r="Q161" s="402">
        <f>IF((Q160)&gt;0,(Q160/Q159),0)</f>
        <v>0.58823529411764708</v>
      </c>
      <c r="R161" s="191">
        <f>+SUM(N161:Q161)</f>
        <v>2.5465686274509802</v>
      </c>
      <c r="S161" s="402">
        <f>IF((S160)&gt;0,(S160/S159),0)</f>
        <v>0.58823529411764708</v>
      </c>
      <c r="T161" s="402">
        <f>IF((T160)&gt;0,(T160/T159),0)</f>
        <v>0.58823529411764708</v>
      </c>
      <c r="U161" s="402">
        <f>IF((U160)&gt;0,(U160/U159),0)</f>
        <v>0.58823529411764708</v>
      </c>
      <c r="V161" s="402">
        <f>IF((V160)&gt;0,(V160/V159),0)</f>
        <v>0.58823529411764708</v>
      </c>
      <c r="W161" s="191">
        <f>+SUM(S161:V161)</f>
        <v>2.3529411764705883</v>
      </c>
      <c r="X161" s="402">
        <f>IF((X160)&gt;0,(X160/X159),0)</f>
        <v>0.58823529411764708</v>
      </c>
      <c r="Y161" s="402">
        <f>IF((Y160)&gt;0,(Y160/Y159),0)</f>
        <v>0.58823529411764708</v>
      </c>
      <c r="Z161" s="402">
        <f>IF((Z160)&gt;0,(Z160/Z159),0)</f>
        <v>0.58823529411764708</v>
      </c>
      <c r="AA161" s="402">
        <f>IF((AA160)&gt;0,(AA160/AA159),0)</f>
        <v>0.58823529411764708</v>
      </c>
      <c r="AB161" s="191">
        <f>+SUM(X161:AA161)</f>
        <v>2.3529411764705883</v>
      </c>
      <c r="AC161" s="402">
        <f>IF((AC160)&gt;0,(AC160/AC159),0)</f>
        <v>0.58823529411764708</v>
      </c>
      <c r="AD161" s="402">
        <f>IF((AD160)&gt;0,(AD160/AD159),0)</f>
        <v>0.58823529411764708</v>
      </c>
      <c r="AE161" s="402">
        <f>IF((AE160)&gt;0,(AE160/AE159),0)</f>
        <v>0.58823529411764708</v>
      </c>
      <c r="AF161" s="402">
        <f>IF((AF160)&gt;0,(AF160/AF159),0)</f>
        <v>0.58823529411764708</v>
      </c>
      <c r="AG161" s="191">
        <f>+SUM(AC161:AF161)</f>
        <v>2.3529411764705883</v>
      </c>
      <c r="AH161" s="402">
        <f>IF((AH160)&gt;0,(AH160/AH159),0)</f>
        <v>0.58823529411764708</v>
      </c>
      <c r="AI161" s="402">
        <f>IF((AI160)&gt;0,(AI160/AI159),0)</f>
        <v>0.58823529411764708</v>
      </c>
      <c r="AJ161" s="402">
        <f>IF((AJ160)&gt;0,(AJ160/AJ159),0)</f>
        <v>0.58823529411764708</v>
      </c>
      <c r="AK161" s="402">
        <f>IF((AK160)&gt;0,(AK160/AK159),0)</f>
        <v>0.58823529411764708</v>
      </c>
      <c r="AL161" s="191">
        <f>+SUM(AH161:AK161)</f>
        <v>2.3529411764705883</v>
      </c>
    </row>
    <row r="162" spans="1:38" outlineLevel="1">
      <c r="A162" s="297"/>
      <c r="B162" s="580" t="s">
        <v>347</v>
      </c>
      <c r="C162" s="581"/>
      <c r="D162" s="406">
        <v>55.58</v>
      </c>
      <c r="E162" s="407">
        <v>65.03</v>
      </c>
      <c r="F162" s="262"/>
      <c r="G162" s="262"/>
      <c r="H162" s="237"/>
      <c r="I162" s="262"/>
      <c r="J162" s="262"/>
      <c r="K162" s="262"/>
      <c r="L162" s="262"/>
      <c r="M162" s="237"/>
      <c r="N162" s="262"/>
      <c r="O162" s="262"/>
      <c r="P162" s="262"/>
      <c r="Q162" s="262"/>
      <c r="R162" s="237"/>
      <c r="S162" s="262"/>
      <c r="T162" s="262"/>
      <c r="U162" s="262"/>
      <c r="V162" s="262"/>
      <c r="W162" s="237"/>
      <c r="X162" s="262"/>
      <c r="Y162" s="262"/>
      <c r="Z162" s="262"/>
      <c r="AA162" s="262"/>
      <c r="AB162" s="237"/>
      <c r="AC162" s="262"/>
      <c r="AD162" s="262"/>
      <c r="AE162" s="262"/>
      <c r="AF162" s="262"/>
      <c r="AG162" s="237"/>
      <c r="AH162" s="262"/>
      <c r="AI162" s="262"/>
      <c r="AJ162" s="262"/>
      <c r="AK162" s="262"/>
      <c r="AL162" s="237"/>
    </row>
    <row r="163" spans="1:38" outlineLevel="1">
      <c r="A163" s="297"/>
      <c r="B163" s="582" t="s">
        <v>348</v>
      </c>
      <c r="C163" s="583"/>
      <c r="D163" s="408">
        <f>71.968334*55.58</f>
        <v>4000.0000037199998</v>
      </c>
      <c r="E163" s="409">
        <v>318.64700000000005</v>
      </c>
      <c r="F163" s="402"/>
      <c r="G163" s="402"/>
      <c r="H163" s="191"/>
      <c r="I163" s="402"/>
      <c r="J163" s="402"/>
      <c r="K163" s="402"/>
      <c r="L163" s="402"/>
      <c r="M163" s="191"/>
      <c r="N163" s="402"/>
      <c r="O163" s="402"/>
      <c r="P163" s="402"/>
      <c r="Q163" s="402"/>
      <c r="R163" s="191"/>
      <c r="S163" s="402"/>
      <c r="T163" s="402"/>
      <c r="U163" s="402"/>
      <c r="V163" s="402"/>
      <c r="W163" s="191"/>
      <c r="X163" s="402"/>
      <c r="Y163" s="402"/>
      <c r="Z163" s="402"/>
      <c r="AA163" s="402"/>
      <c r="AB163" s="191"/>
      <c r="AC163" s="402"/>
      <c r="AD163" s="402"/>
      <c r="AE163" s="402"/>
      <c r="AF163" s="402"/>
      <c r="AG163" s="191"/>
      <c r="AH163" s="402"/>
      <c r="AI163" s="402"/>
      <c r="AJ163" s="402"/>
      <c r="AK163" s="402"/>
      <c r="AL163" s="191"/>
    </row>
    <row r="164" spans="1:38" outlineLevel="1">
      <c r="A164" s="297"/>
      <c r="B164" s="584" t="s">
        <v>349</v>
      </c>
      <c r="C164" s="585"/>
      <c r="D164" s="410">
        <f>IF((D163)&gt;0,(D163/D162),0)</f>
        <v>71.968333999999999</v>
      </c>
      <c r="E164" s="403">
        <f>IF((E163)&gt;0,(E163/E162),0)</f>
        <v>4.9000000000000004</v>
      </c>
      <c r="F164" s="403"/>
      <c r="G164" s="403"/>
      <c r="H164" s="404"/>
      <c r="I164" s="403"/>
      <c r="J164" s="403"/>
      <c r="K164" s="403"/>
      <c r="L164" s="403"/>
      <c r="M164" s="404"/>
      <c r="N164" s="403"/>
      <c r="O164" s="403"/>
      <c r="P164" s="403"/>
      <c r="Q164" s="403"/>
      <c r="R164" s="404"/>
      <c r="S164" s="403"/>
      <c r="T164" s="403"/>
      <c r="U164" s="403"/>
      <c r="V164" s="403"/>
      <c r="W164" s="404"/>
      <c r="X164" s="403"/>
      <c r="Y164" s="403"/>
      <c r="Z164" s="403"/>
      <c r="AA164" s="403"/>
      <c r="AB164" s="404"/>
      <c r="AC164" s="403"/>
      <c r="AD164" s="403"/>
      <c r="AE164" s="403"/>
      <c r="AF164" s="403"/>
      <c r="AG164" s="404"/>
      <c r="AH164" s="403"/>
      <c r="AI164" s="403"/>
      <c r="AJ164" s="403"/>
      <c r="AK164" s="403"/>
      <c r="AL164" s="404"/>
    </row>
    <row r="165" spans="1:38" outlineLevel="1">
      <c r="A165" s="297"/>
      <c r="B165" s="345" t="s">
        <v>350</v>
      </c>
      <c r="C165" s="346"/>
      <c r="D165" s="402"/>
      <c r="E165" s="76">
        <v>71.959999999999994</v>
      </c>
      <c r="F165" s="76">
        <v>76.5</v>
      </c>
      <c r="G165" s="402"/>
      <c r="H165" s="191"/>
      <c r="I165" s="402"/>
      <c r="J165" s="402"/>
      <c r="K165" s="402"/>
      <c r="L165" s="402"/>
      <c r="M165" s="191"/>
      <c r="N165" s="402"/>
      <c r="O165" s="402"/>
      <c r="P165" s="402"/>
      <c r="Q165" s="402"/>
      <c r="R165" s="191"/>
      <c r="S165" s="402"/>
      <c r="T165" s="402"/>
      <c r="U165" s="402"/>
      <c r="V165" s="402"/>
      <c r="W165" s="191"/>
      <c r="X165" s="402"/>
      <c r="Y165" s="402"/>
      <c r="Z165" s="402"/>
      <c r="AA165" s="402"/>
      <c r="AB165" s="191"/>
      <c r="AC165" s="402"/>
      <c r="AD165" s="402"/>
      <c r="AE165" s="402"/>
      <c r="AF165" s="402"/>
      <c r="AG165" s="191"/>
      <c r="AH165" s="402"/>
      <c r="AI165" s="402"/>
      <c r="AJ165" s="402"/>
      <c r="AK165" s="402"/>
      <c r="AL165" s="191"/>
    </row>
    <row r="166" spans="1:38" outlineLevel="1">
      <c r="A166" s="297"/>
      <c r="B166" s="345" t="s">
        <v>351</v>
      </c>
      <c r="C166" s="346"/>
      <c r="D166" s="402"/>
      <c r="E166" s="38">
        <v>1597.5119999999997</v>
      </c>
      <c r="F166" s="38">
        <v>298.35000000000002</v>
      </c>
      <c r="G166" s="402"/>
      <c r="H166" s="191"/>
      <c r="I166" s="402"/>
      <c r="J166" s="402"/>
      <c r="K166" s="402"/>
      <c r="L166" s="402"/>
      <c r="M166" s="191"/>
      <c r="N166" s="402"/>
      <c r="O166" s="402"/>
      <c r="P166" s="402"/>
      <c r="Q166" s="402"/>
      <c r="R166" s="191"/>
      <c r="S166" s="402"/>
      <c r="T166" s="402"/>
      <c r="U166" s="402"/>
      <c r="V166" s="402"/>
      <c r="W166" s="191"/>
      <c r="X166" s="402"/>
      <c r="Y166" s="402"/>
      <c r="Z166" s="402"/>
      <c r="AA166" s="402"/>
      <c r="AB166" s="191"/>
      <c r="AC166" s="402"/>
      <c r="AD166" s="402"/>
      <c r="AE166" s="402"/>
      <c r="AF166" s="402"/>
      <c r="AG166" s="191"/>
      <c r="AH166" s="402"/>
      <c r="AI166" s="402"/>
      <c r="AJ166" s="402"/>
      <c r="AK166" s="402"/>
      <c r="AL166" s="191"/>
    </row>
    <row r="167" spans="1:38" outlineLevel="1">
      <c r="A167" s="297"/>
      <c r="B167" s="345" t="s">
        <v>352</v>
      </c>
      <c r="C167" s="346"/>
      <c r="D167" s="402"/>
      <c r="E167" s="402">
        <f>IF((E166)&gt;0,(E166/E165),0)</f>
        <v>22.2</v>
      </c>
      <c r="F167" s="402">
        <f>IF((F166)&gt;0,(F166/F165),0)</f>
        <v>3.9000000000000004</v>
      </c>
      <c r="G167" s="402"/>
      <c r="H167" s="191"/>
      <c r="I167" s="402"/>
      <c r="J167" s="402"/>
      <c r="K167" s="402"/>
      <c r="L167" s="402"/>
      <c r="M167" s="191"/>
      <c r="N167" s="402"/>
      <c r="O167" s="402"/>
      <c r="P167" s="402"/>
      <c r="Q167" s="402"/>
      <c r="R167" s="191"/>
      <c r="S167" s="402"/>
      <c r="T167" s="402"/>
      <c r="U167" s="402"/>
      <c r="V167" s="402"/>
      <c r="W167" s="191"/>
      <c r="X167" s="402"/>
      <c r="Y167" s="402"/>
      <c r="Z167" s="402"/>
      <c r="AA167" s="402"/>
      <c r="AB167" s="191"/>
      <c r="AC167" s="402"/>
      <c r="AD167" s="402"/>
      <c r="AE167" s="402"/>
      <c r="AF167" s="402"/>
      <c r="AG167" s="191"/>
      <c r="AH167" s="402"/>
      <c r="AI167" s="402"/>
      <c r="AJ167" s="402"/>
      <c r="AK167" s="402"/>
      <c r="AL167" s="191"/>
    </row>
    <row r="168" spans="1:38" ht="18">
      <c r="A168" s="297"/>
      <c r="B168" s="524" t="s">
        <v>78</v>
      </c>
      <c r="C168" s="525"/>
      <c r="D168" s="36" t="s">
        <v>123</v>
      </c>
      <c r="E168" s="36" t="s">
        <v>281</v>
      </c>
      <c r="F168" s="36" t="s">
        <v>285</v>
      </c>
      <c r="G168" s="36" t="s">
        <v>295</v>
      </c>
      <c r="H168" s="103" t="s">
        <v>296</v>
      </c>
      <c r="I168" s="36" t="s">
        <v>297</v>
      </c>
      <c r="J168" s="36" t="s">
        <v>298</v>
      </c>
      <c r="K168" s="36" t="s">
        <v>299</v>
      </c>
      <c r="L168" s="34" t="s">
        <v>141</v>
      </c>
      <c r="M168" s="106" t="s">
        <v>142</v>
      </c>
      <c r="N168" s="34" t="s">
        <v>143</v>
      </c>
      <c r="O168" s="34" t="s">
        <v>144</v>
      </c>
      <c r="P168" s="34" t="s">
        <v>145</v>
      </c>
      <c r="Q168" s="34" t="s">
        <v>146</v>
      </c>
      <c r="R168" s="106" t="s">
        <v>147</v>
      </c>
      <c r="S168" s="34" t="s">
        <v>148</v>
      </c>
      <c r="T168" s="34" t="s">
        <v>149</v>
      </c>
      <c r="U168" s="34" t="s">
        <v>150</v>
      </c>
      <c r="V168" s="34" t="s">
        <v>151</v>
      </c>
      <c r="W168" s="106" t="s">
        <v>152</v>
      </c>
      <c r="X168" s="34" t="s">
        <v>153</v>
      </c>
      <c r="Y168" s="34" t="s">
        <v>154</v>
      </c>
      <c r="Z168" s="34" t="s">
        <v>155</v>
      </c>
      <c r="AA168" s="34" t="s">
        <v>156</v>
      </c>
      <c r="AB168" s="106" t="s">
        <v>157</v>
      </c>
      <c r="AC168" s="34" t="s">
        <v>290</v>
      </c>
      <c r="AD168" s="34" t="s">
        <v>291</v>
      </c>
      <c r="AE168" s="34" t="s">
        <v>292</v>
      </c>
      <c r="AF168" s="34" t="s">
        <v>293</v>
      </c>
      <c r="AG168" s="106" t="s">
        <v>294</v>
      </c>
      <c r="AH168" s="34" t="s">
        <v>323</v>
      </c>
      <c r="AI168" s="34" t="s">
        <v>324</v>
      </c>
      <c r="AJ168" s="34" t="s">
        <v>325</v>
      </c>
      <c r="AK168" s="34" t="s">
        <v>326</v>
      </c>
      <c r="AL168" s="106" t="s">
        <v>327</v>
      </c>
    </row>
    <row r="169" spans="1:38" outlineLevel="1">
      <c r="A169" s="297"/>
      <c r="B169" s="522" t="s">
        <v>208</v>
      </c>
      <c r="C169" s="523"/>
      <c r="D169" s="301">
        <f>-(22+5.3+0.6+20.9)</f>
        <v>-48.8</v>
      </c>
      <c r="E169" s="301">
        <v>-45.1</v>
      </c>
      <c r="F169" s="301">
        <v>-39.6</v>
      </c>
      <c r="G169" s="301">
        <f>-146.2+133.5</f>
        <v>-12.699999999999989</v>
      </c>
      <c r="H169" s="448">
        <f>SUM(D169:G169)</f>
        <v>-146.19999999999999</v>
      </c>
      <c r="I169" s="301">
        <v>-7.1</v>
      </c>
      <c r="J169" s="301">
        <v>0.1</v>
      </c>
      <c r="K169" s="304">
        <f>-K22</f>
        <v>-78.099999999999994</v>
      </c>
      <c r="L169" s="401">
        <f>-0.11*1169</f>
        <v>-128.59</v>
      </c>
      <c r="M169" s="39"/>
      <c r="N169" s="38">
        <f>-N22</f>
        <v>-65.067089914747783</v>
      </c>
      <c r="O169" s="38">
        <f>-O22</f>
        <v>-56.124480844450346</v>
      </c>
      <c r="P169" s="38">
        <f>-P22</f>
        <v>-58.33086682349721</v>
      </c>
      <c r="Q169" s="38">
        <f>-Q22</f>
        <v>-72.916719461485314</v>
      </c>
      <c r="R169" s="39"/>
      <c r="S169" s="38">
        <f>-S22</f>
        <v>-74.759495165327479</v>
      </c>
      <c r="T169" s="38">
        <f>-T22</f>
        <v>-59.284927533944973</v>
      </c>
      <c r="U169" s="38">
        <f>-U22</f>
        <v>-60.71387801436272</v>
      </c>
      <c r="V169" s="38">
        <f>-V22</f>
        <v>-76.942840167741792</v>
      </c>
      <c r="W169" s="39"/>
      <c r="X169" s="38">
        <f>-X22</f>
        <v>-79.736576811111462</v>
      </c>
      <c r="Y169" s="38">
        <f>-Y22</f>
        <v>-61.910561785175396</v>
      </c>
      <c r="Z169" s="38">
        <f>-Z22</f>
        <v>-63.318698822569289</v>
      </c>
      <c r="AA169" s="38">
        <f>-AA22</f>
        <v>-79.555696294019981</v>
      </c>
      <c r="AB169" s="39"/>
      <c r="AC169" s="38">
        <f>-AC22</f>
        <v>-84.716442408142768</v>
      </c>
      <c r="AD169" s="38">
        <f>-AD22</f>
        <v>-64.648230195555811</v>
      </c>
      <c r="AE169" s="38">
        <f>-AE22</f>
        <v>-66.264795866964747</v>
      </c>
      <c r="AF169" s="38">
        <f>-AF22</f>
        <v>-83.042776480194846</v>
      </c>
      <c r="AG169" s="39"/>
      <c r="AH169" s="38">
        <f>-AH22</f>
        <v>-89.940014972046555</v>
      </c>
      <c r="AI169" s="38">
        <f>-AI22</f>
        <v>-67.964479396838385</v>
      </c>
      <c r="AJ169" s="38">
        <f>-AJ22</f>
        <v>-69.725505271851347</v>
      </c>
      <c r="AK169" s="38">
        <f>-AK22</f>
        <v>-87.580427588695201</v>
      </c>
      <c r="AL169" s="39"/>
    </row>
    <row r="170" spans="1:38" outlineLevel="1">
      <c r="A170" s="297"/>
      <c r="B170" s="84" t="s">
        <v>207</v>
      </c>
      <c r="C170" s="85"/>
      <c r="D170" s="301">
        <f>-(5.3+0.5)</f>
        <v>-5.8</v>
      </c>
      <c r="E170" s="301">
        <v>-4.3</v>
      </c>
      <c r="F170" s="301">
        <v>-2.2999999999999998</v>
      </c>
      <c r="G170" s="301">
        <v>-0.2</v>
      </c>
      <c r="H170" s="448">
        <f t="shared" ref="H170:H173" si="683">SUM(D170:G170)</f>
        <v>-12.599999999999998</v>
      </c>
      <c r="I170" s="301">
        <v>-5.6</v>
      </c>
      <c r="J170" s="301">
        <v>-6.8</v>
      </c>
      <c r="K170" s="304">
        <v>-35.04</v>
      </c>
      <c r="L170" s="401">
        <v>0</v>
      </c>
      <c r="M170" s="39"/>
      <c r="N170" s="38"/>
      <c r="O170" s="38"/>
      <c r="P170" s="38"/>
      <c r="Q170" s="38"/>
      <c r="R170" s="39"/>
      <c r="S170" s="38"/>
      <c r="T170" s="38"/>
      <c r="U170" s="38"/>
      <c r="V170" s="38"/>
      <c r="W170" s="39"/>
      <c r="X170" s="38"/>
      <c r="Y170" s="38"/>
      <c r="Z170" s="38"/>
      <c r="AA170" s="38"/>
      <c r="AB170" s="39"/>
      <c r="AC170" s="38"/>
      <c r="AD170" s="38"/>
      <c r="AE170" s="38"/>
      <c r="AF170" s="38"/>
      <c r="AG170" s="39"/>
      <c r="AH170" s="38"/>
      <c r="AI170" s="38"/>
      <c r="AJ170" s="38"/>
      <c r="AK170" s="38"/>
      <c r="AL170" s="39"/>
    </row>
    <row r="171" spans="1:38" outlineLevel="1">
      <c r="A171" s="297"/>
      <c r="B171" s="522" t="s">
        <v>345</v>
      </c>
      <c r="C171" s="523"/>
      <c r="D171" s="301">
        <f>-(60.6-0.3)</f>
        <v>-60.300000000000004</v>
      </c>
      <c r="E171" s="301">
        <v>-68.2</v>
      </c>
      <c r="F171" s="301">
        <v>-69</v>
      </c>
      <c r="G171" s="301">
        <f>-262+197.5</f>
        <v>-64.5</v>
      </c>
      <c r="H171" s="448">
        <f>SUM(D171:G171)</f>
        <v>-262</v>
      </c>
      <c r="I171" s="301">
        <v>-58.9</v>
      </c>
      <c r="J171" s="301">
        <v>-60.1</v>
      </c>
      <c r="K171" s="304">
        <v>-60.54</v>
      </c>
      <c r="L171" s="401">
        <f>-0.05*1169</f>
        <v>-58.45</v>
      </c>
      <c r="M171" s="39"/>
      <c r="N171" s="38"/>
      <c r="O171" s="38"/>
      <c r="P171" s="38"/>
      <c r="Q171" s="38"/>
      <c r="R171" s="39"/>
      <c r="S171" s="38"/>
      <c r="T171" s="38"/>
      <c r="U171" s="38"/>
      <c r="V171" s="38"/>
      <c r="W171" s="39"/>
      <c r="X171" s="38"/>
      <c r="Y171" s="38"/>
      <c r="Z171" s="38"/>
      <c r="AA171" s="38"/>
      <c r="AB171" s="39"/>
      <c r="AC171" s="38"/>
      <c r="AD171" s="38"/>
      <c r="AE171" s="38"/>
      <c r="AF171" s="38"/>
      <c r="AG171" s="39"/>
      <c r="AH171" s="38"/>
      <c r="AI171" s="38"/>
      <c r="AJ171" s="38"/>
      <c r="AK171" s="38"/>
      <c r="AL171" s="39"/>
    </row>
    <row r="172" spans="1:38" outlineLevel="1">
      <c r="A172" s="297"/>
      <c r="B172" s="84" t="s">
        <v>209</v>
      </c>
      <c r="C172" s="85"/>
      <c r="D172" s="301">
        <v>-23.1</v>
      </c>
      <c r="E172" s="301">
        <v>-23.8</v>
      </c>
      <c r="F172" s="301">
        <v>-14.4</v>
      </c>
      <c r="G172" s="301">
        <v>0</v>
      </c>
      <c r="H172" s="448">
        <f t="shared" si="683"/>
        <v>-61.300000000000004</v>
      </c>
      <c r="I172" s="301"/>
      <c r="J172" s="301"/>
      <c r="K172" s="299"/>
      <c r="L172" s="38"/>
      <c r="M172" s="39"/>
      <c r="N172" s="38"/>
      <c r="O172" s="38"/>
      <c r="P172" s="38"/>
      <c r="Q172" s="38"/>
      <c r="R172" s="39"/>
      <c r="S172" s="38"/>
      <c r="T172" s="38"/>
      <c r="U172" s="38"/>
      <c r="V172" s="38"/>
      <c r="W172" s="39"/>
      <c r="X172" s="38"/>
      <c r="Y172" s="38"/>
      <c r="Z172" s="38"/>
      <c r="AA172" s="38"/>
      <c r="AB172" s="39"/>
      <c r="AC172" s="38"/>
      <c r="AD172" s="38"/>
      <c r="AE172" s="38"/>
      <c r="AF172" s="38"/>
      <c r="AG172" s="39"/>
      <c r="AH172" s="38"/>
      <c r="AI172" s="38"/>
      <c r="AJ172" s="38"/>
      <c r="AK172" s="38"/>
      <c r="AL172" s="39"/>
    </row>
    <row r="173" spans="1:38" ht="17.25" outlineLevel="1">
      <c r="A173" s="297"/>
      <c r="B173" s="84" t="s">
        <v>257</v>
      </c>
      <c r="C173" s="85"/>
      <c r="D173" s="395">
        <v>0</v>
      </c>
      <c r="E173" s="395">
        <v>0</v>
      </c>
      <c r="F173" s="395">
        <v>0</v>
      </c>
      <c r="G173" s="395">
        <v>0</v>
      </c>
      <c r="H173" s="449">
        <f t="shared" si="683"/>
        <v>0</v>
      </c>
      <c r="I173" s="395">
        <v>0</v>
      </c>
      <c r="J173" s="395">
        <v>0</v>
      </c>
      <c r="K173" s="314">
        <v>0</v>
      </c>
      <c r="L173" s="314">
        <v>0</v>
      </c>
      <c r="M173" s="39"/>
      <c r="N173" s="69">
        <f>AVERAGE(D174,E174,F174,G174,I174,J174,K174,L174)-N169</f>
        <v>-57.585410085252192</v>
      </c>
      <c r="O173" s="69">
        <f>AVERAGE(E174,F174,G174,I174,J174,K174,L174,N174)-O169</f>
        <v>-64.609581655549647</v>
      </c>
      <c r="P173" s="69">
        <f>AVERAGE(F174,G174,I174,J174,K174,L174,N174,O174)-P169</f>
        <v>-59.819953489002764</v>
      </c>
      <c r="Q173" s="69">
        <f>AVERAGE(G174,I174,J174,K174,L174,N174,O174,P174)-Q169</f>
        <v>-44.340453390077158</v>
      </c>
      <c r="R173" s="39"/>
      <c r="S173" s="69">
        <f>AVERAGE(I174,J174,K174,L174,N174,O174,P174,Q174)-S169</f>
        <v>-47.47982429268032</v>
      </c>
      <c r="T173" s="69">
        <f>AVERAGE(J174,K174,L174,N174,O174,P174,Q174,S174)-T169</f>
        <v>-69.284306856313805</v>
      </c>
      <c r="U173" s="69">
        <f>AVERAGE(K174,L174,N174,O174,P174,Q174,S174,T174)-U169</f>
        <v>-75.576510674678403</v>
      </c>
      <c r="V173" s="69">
        <f>AVERAGE(L174,N174,O174,P174,Q174,S174,T174,U174)-V169</f>
        <v>-54.673847107429481</v>
      </c>
      <c r="W173" s="39"/>
      <c r="X173" s="69">
        <f>AVERAGE(N174,O174,P174,Q174,S174,T174,U174,V174)-X169</f>
        <v>-44.952196373456218</v>
      </c>
      <c r="Y173" s="69">
        <f>AVERAGE(O174,P174,Q174,S174,T174,U174,V174,X174)-Y169</f>
        <v>-63.032745547463257</v>
      </c>
      <c r="Z173" s="69">
        <f>AVERAGE(P174,Q174,S174,T174,U174,V174,X174,Y174)-Z169</f>
        <v>-62.150764114149169</v>
      </c>
      <c r="AA173" s="69">
        <f>AVERAGE(Q174,S174,T174,U174,V174,X174,Y174,Z174)-AA169</f>
        <v>-46.828596970725783</v>
      </c>
      <c r="AB173" s="39"/>
      <c r="AC173" s="69">
        <f>AVERAGE(S174,T174,U174,V174,X174,Y174,Z174,AA174)-AC169</f>
        <v>-42.808740908250911</v>
      </c>
      <c r="AD173" s="69">
        <f>AVERAGE(T174,U174,V174,X174,Y174,Z174,AA174,AC174)-AD169</f>
        <v>-63.53768610313611</v>
      </c>
      <c r="AE173" s="69">
        <f>AVERAGE(U174,V174,X174,Y174,Z174,AA174,AC174,AD174)-AE169</f>
        <v>-61.873205670281308</v>
      </c>
      <c r="AF173" s="69">
        <f>AVERAGE(V174,X174,Y174,Z174,AA174,AC174,AD174,AE174)-AF169</f>
        <v>-44.076176663076851</v>
      </c>
      <c r="AG173" s="39"/>
      <c r="AH173" s="69">
        <f>AVERAGE(X174,Y174,Z174,AA174,AC174,AD174,AE174,AF174)-AH169</f>
        <v>-36.616721404737703</v>
      </c>
      <c r="AI173" s="69">
        <f>AVERAGE(Y174,Z174,AA174,AC174,AD174,AE174,AF174,AH174)-AI169</f>
        <v>-58.825752378972922</v>
      </c>
      <c r="AJ173" s="69">
        <f>AVERAGE(Z174,AA174,AC174,AD174,AE174,AF174,AH174,AI174)-AJ169</f>
        <v>-57.295592059356551</v>
      </c>
      <c r="AK173" s="69">
        <f>AVERAGE(AA174,AC174,AD174,AE174,AF174,AH174,AI174,AJ174)-AK169</f>
        <v>-39.634624041823869</v>
      </c>
      <c r="AL173" s="39"/>
    </row>
    <row r="174" spans="1:38" s="20" customFormat="1" outlineLevel="1">
      <c r="A174" s="312"/>
      <c r="B174" s="340" t="s">
        <v>210</v>
      </c>
      <c r="C174" s="93"/>
      <c r="D174" s="192">
        <f t="shared" ref="D174:L174" si="684">SUM(D169:D173)</f>
        <v>-138</v>
      </c>
      <c r="E174" s="192">
        <f t="shared" si="684"/>
        <v>-141.4</v>
      </c>
      <c r="F174" s="192">
        <f t="shared" si="684"/>
        <v>-125.30000000000001</v>
      </c>
      <c r="G174" s="192">
        <f t="shared" si="684"/>
        <v>-77.399999999999991</v>
      </c>
      <c r="H174" s="193">
        <f t="shared" si="684"/>
        <v>-482.09999999999997</v>
      </c>
      <c r="I174" s="192">
        <f t="shared" si="684"/>
        <v>-71.599999999999994</v>
      </c>
      <c r="J174" s="192">
        <f t="shared" si="684"/>
        <v>-66.8</v>
      </c>
      <c r="K174" s="192">
        <f t="shared" si="684"/>
        <v>-173.67999999999998</v>
      </c>
      <c r="L174" s="192">
        <f t="shared" si="684"/>
        <v>-187.04000000000002</v>
      </c>
      <c r="M174" s="46"/>
      <c r="N174" s="192">
        <f>SUM(N169:N173)</f>
        <v>-122.65249999999997</v>
      </c>
      <c r="O174" s="192">
        <f>SUM(O169:O173)</f>
        <v>-120.73406249999999</v>
      </c>
      <c r="P174" s="192">
        <f>SUM(P169:P173)</f>
        <v>-118.15082031249997</v>
      </c>
      <c r="Q174" s="192">
        <f>SUM(Q169:Q173)</f>
        <v>-117.25717285156247</v>
      </c>
      <c r="R174" s="46"/>
      <c r="S174" s="192">
        <f>SUM(S169:S173)</f>
        <v>-122.2393194580078</v>
      </c>
      <c r="T174" s="192">
        <f>SUM(T169:T173)</f>
        <v>-128.56923439025877</v>
      </c>
      <c r="U174" s="192">
        <f>SUM(U169:U173)</f>
        <v>-136.29038868904112</v>
      </c>
      <c r="V174" s="192">
        <f>SUM(V169:V173)</f>
        <v>-131.61668727517127</v>
      </c>
      <c r="W174" s="46"/>
      <c r="X174" s="192">
        <f>SUM(X169:X173)</f>
        <v>-124.68877318456768</v>
      </c>
      <c r="Y174" s="192">
        <f>SUM(Y169:Y173)</f>
        <v>-124.94330733263865</v>
      </c>
      <c r="Z174" s="192">
        <f>SUM(Z169:Z173)</f>
        <v>-125.46946293671846</v>
      </c>
      <c r="AA174" s="192">
        <f>SUM(AA169:AA173)</f>
        <v>-126.38429326474576</v>
      </c>
      <c r="AB174" s="46"/>
      <c r="AC174" s="192">
        <f>SUM(AC169:AC173)</f>
        <v>-127.52518331639368</v>
      </c>
      <c r="AD174" s="192">
        <f>SUM(AD169:AD173)</f>
        <v>-128.18591629869192</v>
      </c>
      <c r="AE174" s="192">
        <f>SUM(AE169:AE173)</f>
        <v>-128.13800153724605</v>
      </c>
      <c r="AF174" s="192">
        <f>SUM(AF169:AF173)</f>
        <v>-127.1189531432717</v>
      </c>
      <c r="AG174" s="46"/>
      <c r="AH174" s="192">
        <f>SUM(AH169:AH173)</f>
        <v>-126.55673637678426</v>
      </c>
      <c r="AI174" s="192">
        <f>SUM(AI169:AI173)</f>
        <v>-126.79023177581131</v>
      </c>
      <c r="AJ174" s="192">
        <f>SUM(AJ169:AJ173)</f>
        <v>-127.0210973312079</v>
      </c>
      <c r="AK174" s="192">
        <f>SUM(AK169:AK173)</f>
        <v>-127.21505163051907</v>
      </c>
      <c r="AL174" s="46"/>
    </row>
    <row r="175" spans="1:38" ht="17.25" outlineLevel="1">
      <c r="A175" s="297"/>
      <c r="B175" s="84" t="s">
        <v>213</v>
      </c>
      <c r="C175" s="85"/>
      <c r="D175" s="194">
        <v>0</v>
      </c>
      <c r="E175" s="194">
        <v>0</v>
      </c>
      <c r="F175" s="194">
        <v>0</v>
      </c>
      <c r="G175" s="194">
        <v>0</v>
      </c>
      <c r="H175" s="39"/>
      <c r="I175" s="194">
        <v>0</v>
      </c>
      <c r="J175" s="194">
        <v>0</v>
      </c>
      <c r="K175" s="194">
        <v>0</v>
      </c>
      <c r="L175" s="194">
        <v>0</v>
      </c>
      <c r="M175" s="39"/>
      <c r="N175" s="194">
        <v>0</v>
      </c>
      <c r="O175" s="194">
        <v>0</v>
      </c>
      <c r="P175" s="194">
        <v>0</v>
      </c>
      <c r="Q175" s="194">
        <f>-Q25/13</f>
        <v>-95.694945728441041</v>
      </c>
      <c r="R175" s="39"/>
      <c r="S175" s="194">
        <v>0</v>
      </c>
      <c r="T175" s="194">
        <v>0</v>
      </c>
      <c r="U175" s="194">
        <v>0</v>
      </c>
      <c r="V175" s="194">
        <v>0</v>
      </c>
      <c r="W175" s="39"/>
      <c r="X175" s="194">
        <v>0</v>
      </c>
      <c r="Y175" s="194">
        <v>0</v>
      </c>
      <c r="Z175" s="194">
        <v>0</v>
      </c>
      <c r="AA175" s="194">
        <v>0</v>
      </c>
      <c r="AB175" s="39"/>
      <c r="AC175" s="194">
        <v>0</v>
      </c>
      <c r="AD175" s="194">
        <v>0</v>
      </c>
      <c r="AE175" s="194">
        <v>0</v>
      </c>
      <c r="AF175" s="194">
        <v>0</v>
      </c>
      <c r="AG175" s="39"/>
      <c r="AH175" s="194">
        <v>0</v>
      </c>
      <c r="AI175" s="194">
        <v>0</v>
      </c>
      <c r="AJ175" s="194">
        <v>0</v>
      </c>
      <c r="AK175" s="194">
        <v>0</v>
      </c>
      <c r="AL175" s="39"/>
    </row>
    <row r="176" spans="1:38" s="20" customFormat="1" outlineLevel="1">
      <c r="A176" s="312"/>
      <c r="B176" s="340" t="s">
        <v>211</v>
      </c>
      <c r="C176" s="93"/>
      <c r="D176" s="192">
        <f t="shared" ref="D176" si="685">-D174+D175</f>
        <v>138</v>
      </c>
      <c r="E176" s="192">
        <f t="shared" ref="E176:G176" si="686">-E174+E175</f>
        <v>141.4</v>
      </c>
      <c r="F176" s="192">
        <f t="shared" si="686"/>
        <v>125.30000000000001</v>
      </c>
      <c r="G176" s="192">
        <f t="shared" si="686"/>
        <v>77.399999999999991</v>
      </c>
      <c r="H176" s="46"/>
      <c r="I176" s="192">
        <f t="shared" ref="I176:L176" si="687">-I174+I175</f>
        <v>71.599999999999994</v>
      </c>
      <c r="J176" s="192">
        <f t="shared" si="687"/>
        <v>66.8</v>
      </c>
      <c r="K176" s="192">
        <f t="shared" si="687"/>
        <v>173.67999999999998</v>
      </c>
      <c r="L176" s="192">
        <f t="shared" si="687"/>
        <v>187.04000000000002</v>
      </c>
      <c r="M176" s="46"/>
      <c r="N176" s="192">
        <f t="shared" ref="N176:Q176" si="688">-N174+N175</f>
        <v>122.65249999999997</v>
      </c>
      <c r="O176" s="192">
        <f t="shared" si="688"/>
        <v>120.73406249999999</v>
      </c>
      <c r="P176" s="192">
        <f t="shared" si="688"/>
        <v>118.15082031249997</v>
      </c>
      <c r="Q176" s="192">
        <f t="shared" si="688"/>
        <v>21.562227123121431</v>
      </c>
      <c r="R176" s="46"/>
      <c r="S176" s="192">
        <f t="shared" ref="S176:V176" si="689">-S174+S175</f>
        <v>122.2393194580078</v>
      </c>
      <c r="T176" s="192">
        <f t="shared" si="689"/>
        <v>128.56923439025877</v>
      </c>
      <c r="U176" s="192">
        <f t="shared" si="689"/>
        <v>136.29038868904112</v>
      </c>
      <c r="V176" s="192">
        <f t="shared" si="689"/>
        <v>131.61668727517127</v>
      </c>
      <c r="W176" s="46"/>
      <c r="X176" s="192">
        <f t="shared" ref="X176:AA176" si="690">-X174+X175</f>
        <v>124.68877318456768</v>
      </c>
      <c r="Y176" s="192">
        <f t="shared" si="690"/>
        <v>124.94330733263865</v>
      </c>
      <c r="Z176" s="192">
        <f t="shared" si="690"/>
        <v>125.46946293671846</v>
      </c>
      <c r="AA176" s="192">
        <f t="shared" si="690"/>
        <v>126.38429326474576</v>
      </c>
      <c r="AB176" s="46"/>
      <c r="AC176" s="192">
        <f t="shared" ref="AC176:AF176" si="691">-AC174+AC175</f>
        <v>127.52518331639368</v>
      </c>
      <c r="AD176" s="192">
        <f t="shared" si="691"/>
        <v>128.18591629869192</v>
      </c>
      <c r="AE176" s="192">
        <f t="shared" si="691"/>
        <v>128.13800153724605</v>
      </c>
      <c r="AF176" s="192">
        <f t="shared" si="691"/>
        <v>127.1189531432717</v>
      </c>
      <c r="AG176" s="46"/>
      <c r="AH176" s="192">
        <f t="shared" ref="AH176:AK176" si="692">-AH174+AH175</f>
        <v>126.55673637678426</v>
      </c>
      <c r="AI176" s="192">
        <f t="shared" si="692"/>
        <v>126.79023177581131</v>
      </c>
      <c r="AJ176" s="192">
        <f t="shared" si="692"/>
        <v>127.0210973312079</v>
      </c>
      <c r="AK176" s="192">
        <f t="shared" si="692"/>
        <v>127.21505163051907</v>
      </c>
      <c r="AL176" s="46"/>
    </row>
    <row r="177" spans="1:38" outlineLevel="1">
      <c r="A177" s="297"/>
      <c r="B177" s="84" t="s">
        <v>212</v>
      </c>
      <c r="C177" s="85"/>
      <c r="D177" s="190">
        <v>0</v>
      </c>
      <c r="E177" s="299">
        <f>-0.02*E39</f>
        <v>-25.014000000000003</v>
      </c>
      <c r="F177" s="299">
        <f>0.49*F39</f>
        <v>599.27</v>
      </c>
      <c r="G177" s="299">
        <v>0</v>
      </c>
      <c r="H177" s="300"/>
      <c r="I177" s="299">
        <v>0</v>
      </c>
      <c r="J177" s="299">
        <v>0</v>
      </c>
      <c r="K177" s="299">
        <v>0</v>
      </c>
      <c r="L177" s="299">
        <v>0</v>
      </c>
      <c r="M177" s="39"/>
      <c r="N177" s="71">
        <v>0</v>
      </c>
      <c r="O177" s="71">
        <v>0</v>
      </c>
      <c r="P177" s="71">
        <v>0</v>
      </c>
      <c r="Q177" s="71">
        <v>0</v>
      </c>
      <c r="R177" s="39"/>
      <c r="S177" s="71">
        <v>0</v>
      </c>
      <c r="T177" s="71">
        <v>0</v>
      </c>
      <c r="U177" s="71">
        <v>0</v>
      </c>
      <c r="V177" s="71">
        <v>0</v>
      </c>
      <c r="W177" s="39"/>
      <c r="X177" s="71">
        <v>0</v>
      </c>
      <c r="Y177" s="71">
        <v>0</v>
      </c>
      <c r="Z177" s="71">
        <v>0</v>
      </c>
      <c r="AA177" s="71">
        <v>0</v>
      </c>
      <c r="AB177" s="39"/>
      <c r="AC177" s="71">
        <v>0</v>
      </c>
      <c r="AD177" s="71">
        <v>0</v>
      </c>
      <c r="AE177" s="71">
        <v>0</v>
      </c>
      <c r="AF177" s="71">
        <v>0</v>
      </c>
      <c r="AG177" s="39"/>
      <c r="AH177" s="71">
        <v>0</v>
      </c>
      <c r="AI177" s="71">
        <v>0</v>
      </c>
      <c r="AJ177" s="71">
        <v>0</v>
      </c>
      <c r="AK177" s="71">
        <v>0</v>
      </c>
      <c r="AL177" s="39"/>
    </row>
    <row r="178" spans="1:38" outlineLevel="1">
      <c r="A178" s="297"/>
      <c r="B178" s="522" t="s">
        <v>219</v>
      </c>
      <c r="C178" s="523"/>
      <c r="D178" s="190">
        <v>-41.449999999998646</v>
      </c>
      <c r="E178" s="38">
        <v>79.193999999999548</v>
      </c>
      <c r="F178" s="38">
        <v>-55.109999999999197</v>
      </c>
      <c r="G178" s="38">
        <v>30</v>
      </c>
      <c r="H178" s="39"/>
      <c r="I178" s="38">
        <v>11</v>
      </c>
      <c r="J178" s="38">
        <v>23</v>
      </c>
      <c r="K178" s="38">
        <f>0.03*K39</f>
        <v>35.055</v>
      </c>
      <c r="L178" s="401">
        <f>0.04*1169</f>
        <v>46.76</v>
      </c>
      <c r="M178" s="39"/>
      <c r="N178" s="38">
        <f>+N176*N179</f>
        <v>24.530499999999996</v>
      </c>
      <c r="O178" s="38">
        <f>+O176*O179</f>
        <v>24.146812499999999</v>
      </c>
      <c r="P178" s="38">
        <f t="shared" ref="P178" si="693">+P176*P179</f>
        <v>23.630164062499997</v>
      </c>
      <c r="Q178" s="38">
        <f t="shared" ref="Q178" si="694">+Q176*Q179</f>
        <v>4.3124454246242863</v>
      </c>
      <c r="R178" s="39"/>
      <c r="S178" s="38">
        <f>+S176*S179</f>
        <v>24.44786389160156</v>
      </c>
      <c r="T178" s="38">
        <f>+T176*T179</f>
        <v>25.713846878051754</v>
      </c>
      <c r="U178" s="38">
        <f t="shared" ref="U178" si="695">+U176*U179</f>
        <v>27.258077737808225</v>
      </c>
      <c r="V178" s="38">
        <f t="shared" ref="V178" si="696">+V176*V179</f>
        <v>26.323337455034256</v>
      </c>
      <c r="W178" s="39"/>
      <c r="X178" s="38">
        <f>+X176*X179</f>
        <v>24.937754636913539</v>
      </c>
      <c r="Y178" s="38">
        <f>+Y176*Y179</f>
        <v>24.988661466527731</v>
      </c>
      <c r="Z178" s="38">
        <f t="shared" ref="Z178" si="697">+Z176*Z179</f>
        <v>25.093892587343692</v>
      </c>
      <c r="AA178" s="38">
        <f t="shared" ref="AA178" si="698">+AA176*AA179</f>
        <v>25.276858652949155</v>
      </c>
      <c r="AB178" s="39"/>
      <c r="AC178" s="38">
        <f>+AC176*AC179</f>
        <v>25.505036663278737</v>
      </c>
      <c r="AD178" s="38">
        <f>+AD176*AD179</f>
        <v>25.637183259738386</v>
      </c>
      <c r="AE178" s="38">
        <f t="shared" ref="AE178:AF178" si="699">+AE176*AE179</f>
        <v>25.627600307449214</v>
      </c>
      <c r="AF178" s="38">
        <f t="shared" si="699"/>
        <v>25.423790628654341</v>
      </c>
      <c r="AG178" s="39"/>
      <c r="AH178" s="38">
        <f>+AH176*AH179</f>
        <v>25.311347275356852</v>
      </c>
      <c r="AI178" s="38">
        <f>+AI176*AI179</f>
        <v>25.358046355162262</v>
      </c>
      <c r="AJ178" s="38">
        <f t="shared" ref="AJ178:AK178" si="700">+AJ176*AJ179</f>
        <v>25.404219466241582</v>
      </c>
      <c r="AK178" s="38">
        <f t="shared" si="700"/>
        <v>25.443010326103817</v>
      </c>
      <c r="AL178" s="39"/>
    </row>
    <row r="179" spans="1:38" outlineLevel="1">
      <c r="A179" s="297"/>
      <c r="B179" s="95" t="s">
        <v>220</v>
      </c>
      <c r="C179" s="157"/>
      <c r="D179" s="259">
        <f t="shared" ref="D179:G179" si="701">D178/D176</f>
        <v>-0.30036231884056991</v>
      </c>
      <c r="E179" s="259">
        <f t="shared" si="701"/>
        <v>0.56007072135784686</v>
      </c>
      <c r="F179" s="259">
        <f t="shared" si="701"/>
        <v>-0.43982442138866074</v>
      </c>
      <c r="G179" s="259">
        <f t="shared" si="701"/>
        <v>0.38759689922480622</v>
      </c>
      <c r="H179" s="82"/>
      <c r="I179" s="259">
        <f t="shared" ref="I179:L179" si="702">I178/I176</f>
        <v>0.15363128491620112</v>
      </c>
      <c r="J179" s="259">
        <f t="shared" si="702"/>
        <v>0.34431137724550898</v>
      </c>
      <c r="K179" s="259">
        <f t="shared" si="702"/>
        <v>0.20183671119299865</v>
      </c>
      <c r="L179" s="259">
        <f t="shared" si="702"/>
        <v>0.24999999999999997</v>
      </c>
      <c r="M179" s="82"/>
      <c r="N179" s="260">
        <v>0.2</v>
      </c>
      <c r="O179" s="260">
        <v>0.2</v>
      </c>
      <c r="P179" s="260">
        <v>0.2</v>
      </c>
      <c r="Q179" s="260">
        <v>0.2</v>
      </c>
      <c r="R179" s="82"/>
      <c r="S179" s="260">
        <v>0.2</v>
      </c>
      <c r="T179" s="260">
        <v>0.2</v>
      </c>
      <c r="U179" s="260">
        <v>0.2</v>
      </c>
      <c r="V179" s="260">
        <v>0.2</v>
      </c>
      <c r="W179" s="82"/>
      <c r="X179" s="260">
        <v>0.2</v>
      </c>
      <c r="Y179" s="260">
        <v>0.2</v>
      </c>
      <c r="Z179" s="260">
        <v>0.2</v>
      </c>
      <c r="AA179" s="260">
        <v>0.2</v>
      </c>
      <c r="AB179" s="82"/>
      <c r="AC179" s="260">
        <v>0.2</v>
      </c>
      <c r="AD179" s="260">
        <v>0.2</v>
      </c>
      <c r="AE179" s="260">
        <v>0.2</v>
      </c>
      <c r="AF179" s="260">
        <v>0.2</v>
      </c>
      <c r="AG179" s="82"/>
      <c r="AH179" s="260">
        <v>0.2</v>
      </c>
      <c r="AI179" s="260">
        <v>0.2</v>
      </c>
      <c r="AJ179" s="260">
        <v>0.2</v>
      </c>
      <c r="AK179" s="260">
        <v>0.2</v>
      </c>
      <c r="AL179" s="82"/>
    </row>
    <row r="180" spans="1:38">
      <c r="A180" s="297"/>
      <c r="B180" s="19"/>
      <c r="C180" s="19"/>
      <c r="D180" s="266"/>
      <c r="E180" s="119"/>
      <c r="F180" s="119"/>
      <c r="G180" s="119"/>
      <c r="H180" s="119"/>
      <c r="I180" s="119"/>
      <c r="J180" s="119"/>
      <c r="K180" s="119"/>
      <c r="L180" s="119"/>
      <c r="M180" s="119"/>
      <c r="N180" s="28"/>
      <c r="P180" s="3"/>
      <c r="Q180" s="3"/>
      <c r="R180" s="119"/>
      <c r="U180" s="3"/>
      <c r="V180" s="3"/>
      <c r="W180" s="119"/>
      <c r="Z180" s="3"/>
      <c r="AA180" s="3"/>
      <c r="AB180" s="119"/>
      <c r="AE180" s="3"/>
      <c r="AF180" s="3"/>
      <c r="AG180" s="119"/>
      <c r="AJ180" s="3"/>
      <c r="AK180" s="3"/>
      <c r="AL180" s="119"/>
    </row>
    <row r="181" spans="1:38" ht="15.75">
      <c r="A181" s="297"/>
      <c r="B181" s="524" t="s">
        <v>121</v>
      </c>
      <c r="C181" s="525"/>
      <c r="D181" s="35" t="s">
        <v>110</v>
      </c>
      <c r="E181" s="35" t="s">
        <v>282</v>
      </c>
      <c r="F181" s="35" t="s">
        <v>284</v>
      </c>
      <c r="G181" s="35" t="s">
        <v>124</v>
      </c>
      <c r="H181" s="102" t="s">
        <v>124</v>
      </c>
      <c r="I181" s="35" t="s">
        <v>125</v>
      </c>
      <c r="J181" s="35" t="s">
        <v>126</v>
      </c>
      <c r="K181" s="35" t="s">
        <v>127</v>
      </c>
      <c r="L181" s="37" t="s">
        <v>128</v>
      </c>
      <c r="M181" s="105" t="s">
        <v>128</v>
      </c>
      <c r="N181" s="37" t="s">
        <v>129</v>
      </c>
      <c r="O181" s="37" t="s">
        <v>130</v>
      </c>
      <c r="P181" s="37" t="s">
        <v>131</v>
      </c>
      <c r="Q181" s="37" t="s">
        <v>132</v>
      </c>
      <c r="R181" s="105" t="s">
        <v>132</v>
      </c>
      <c r="S181" s="37" t="s">
        <v>133</v>
      </c>
      <c r="T181" s="37" t="s">
        <v>134</v>
      </c>
      <c r="U181" s="37" t="s">
        <v>135</v>
      </c>
      <c r="V181" s="37" t="s">
        <v>136</v>
      </c>
      <c r="W181" s="105" t="s">
        <v>136</v>
      </c>
      <c r="X181" s="37" t="s">
        <v>137</v>
      </c>
      <c r="Y181" s="37" t="s">
        <v>138</v>
      </c>
      <c r="Z181" s="37" t="s">
        <v>139</v>
      </c>
      <c r="AA181" s="37" t="s">
        <v>140</v>
      </c>
      <c r="AB181" s="105" t="s">
        <v>140</v>
      </c>
      <c r="AC181" s="37" t="s">
        <v>286</v>
      </c>
      <c r="AD181" s="37" t="s">
        <v>287</v>
      </c>
      <c r="AE181" s="37" t="s">
        <v>288</v>
      </c>
      <c r="AF181" s="37" t="s">
        <v>289</v>
      </c>
      <c r="AG181" s="105" t="s">
        <v>289</v>
      </c>
      <c r="AH181" s="37" t="s">
        <v>319</v>
      </c>
      <c r="AI181" s="37" t="s">
        <v>320</v>
      </c>
      <c r="AJ181" s="37" t="s">
        <v>321</v>
      </c>
      <c r="AK181" s="37" t="s">
        <v>322</v>
      </c>
      <c r="AL181" s="105" t="s">
        <v>322</v>
      </c>
    </row>
    <row r="182" spans="1:38" ht="17.25">
      <c r="A182" s="297"/>
      <c r="B182" s="88" t="s">
        <v>3</v>
      </c>
      <c r="C182" s="107"/>
      <c r="D182" s="36" t="s">
        <v>123</v>
      </c>
      <c r="E182" s="36" t="s">
        <v>281</v>
      </c>
      <c r="F182" s="36" t="s">
        <v>285</v>
      </c>
      <c r="G182" s="36" t="s">
        <v>295</v>
      </c>
      <c r="H182" s="103" t="s">
        <v>296</v>
      </c>
      <c r="I182" s="36" t="s">
        <v>297</v>
      </c>
      <c r="J182" s="36" t="s">
        <v>298</v>
      </c>
      <c r="K182" s="36" t="s">
        <v>299</v>
      </c>
      <c r="L182" s="34" t="s">
        <v>141</v>
      </c>
      <c r="M182" s="106" t="s">
        <v>142</v>
      </c>
      <c r="N182" s="34" t="s">
        <v>143</v>
      </c>
      <c r="O182" s="34" t="s">
        <v>144</v>
      </c>
      <c r="P182" s="34" t="s">
        <v>145</v>
      </c>
      <c r="Q182" s="34" t="s">
        <v>146</v>
      </c>
      <c r="R182" s="106" t="s">
        <v>147</v>
      </c>
      <c r="S182" s="34" t="s">
        <v>148</v>
      </c>
      <c r="T182" s="34" t="s">
        <v>149</v>
      </c>
      <c r="U182" s="34" t="s">
        <v>150</v>
      </c>
      <c r="V182" s="34" t="s">
        <v>151</v>
      </c>
      <c r="W182" s="106" t="s">
        <v>152</v>
      </c>
      <c r="X182" s="34" t="s">
        <v>153</v>
      </c>
      <c r="Y182" s="34" t="s">
        <v>154</v>
      </c>
      <c r="Z182" s="34" t="s">
        <v>155</v>
      </c>
      <c r="AA182" s="34" t="s">
        <v>156</v>
      </c>
      <c r="AB182" s="106" t="s">
        <v>157</v>
      </c>
      <c r="AC182" s="34" t="s">
        <v>290</v>
      </c>
      <c r="AD182" s="34" t="s">
        <v>291</v>
      </c>
      <c r="AE182" s="34" t="s">
        <v>292</v>
      </c>
      <c r="AF182" s="34" t="s">
        <v>293</v>
      </c>
      <c r="AG182" s="106" t="s">
        <v>294</v>
      </c>
      <c r="AH182" s="34" t="s">
        <v>323</v>
      </c>
      <c r="AI182" s="34" t="s">
        <v>324</v>
      </c>
      <c r="AJ182" s="34" t="s">
        <v>325</v>
      </c>
      <c r="AK182" s="34" t="s">
        <v>326</v>
      </c>
      <c r="AL182" s="106" t="s">
        <v>327</v>
      </c>
    </row>
    <row r="183" spans="1:38" ht="14.45" customHeight="1">
      <c r="A183" s="297"/>
      <c r="B183" s="524" t="s">
        <v>6</v>
      </c>
      <c r="C183" s="525"/>
      <c r="D183" s="35"/>
      <c r="E183" s="35"/>
      <c r="F183" s="35"/>
      <c r="G183" s="352"/>
      <c r="H183" s="353"/>
      <c r="I183" s="352"/>
      <c r="J183" s="35"/>
      <c r="K183" s="35"/>
      <c r="L183" s="37"/>
      <c r="M183" s="105"/>
      <c r="N183" s="37"/>
      <c r="O183" s="37"/>
      <c r="P183" s="37"/>
      <c r="Q183" s="37"/>
      <c r="R183" s="105"/>
      <c r="S183" s="37"/>
      <c r="T183" s="37"/>
      <c r="U183" s="37"/>
      <c r="V183" s="37"/>
      <c r="W183" s="105"/>
      <c r="X183" s="37"/>
      <c r="Y183" s="37"/>
      <c r="Z183" s="37"/>
      <c r="AA183" s="37"/>
      <c r="AB183" s="105"/>
      <c r="AC183" s="37"/>
      <c r="AD183" s="37"/>
      <c r="AE183" s="37"/>
      <c r="AF183" s="37"/>
      <c r="AG183" s="105"/>
      <c r="AH183" s="37"/>
      <c r="AI183" s="37"/>
      <c r="AJ183" s="37"/>
      <c r="AK183" s="37"/>
      <c r="AL183" s="105"/>
    </row>
    <row r="184" spans="1:38" ht="14.45" customHeight="1" outlineLevel="1">
      <c r="A184" s="297"/>
      <c r="B184" s="522" t="s">
        <v>36</v>
      </c>
      <c r="C184" s="523"/>
      <c r="D184" s="38">
        <f>D276</f>
        <v>4761.6000000000004</v>
      </c>
      <c r="E184" s="38">
        <f t="shared" ref="E184:G184" si="703">E276</f>
        <v>2055.1000000000004</v>
      </c>
      <c r="F184" s="38">
        <f t="shared" si="703"/>
        <v>4763.4000000000015</v>
      </c>
      <c r="G184" s="299">
        <f t="shared" si="703"/>
        <v>2686.6000000000022</v>
      </c>
      <c r="H184" s="39">
        <f>G184</f>
        <v>2686.6000000000022</v>
      </c>
      <c r="I184" s="38">
        <f>I276</f>
        <v>3040.5000000000036</v>
      </c>
      <c r="J184" s="38">
        <f>J276</f>
        <v>2572.3000000000029</v>
      </c>
      <c r="K184" s="38">
        <f>K276</f>
        <v>3965.9000000000042</v>
      </c>
      <c r="L184" s="299">
        <f>L276</f>
        <v>3633.3961136091634</v>
      </c>
      <c r="M184" s="39">
        <f>L184</f>
        <v>3633.3961136091634</v>
      </c>
      <c r="N184" s="38">
        <f>N276</f>
        <v>3772.4817935946212</v>
      </c>
      <c r="O184" s="38">
        <f>O276</f>
        <v>3088.7842982877137</v>
      </c>
      <c r="P184" s="38">
        <f>P276</f>
        <v>2430.0631134040859</v>
      </c>
      <c r="Q184" s="38">
        <f>Q276</f>
        <v>2422.6837669331612</v>
      </c>
      <c r="R184" s="39">
        <f>Q184</f>
        <v>2422.6837669331612</v>
      </c>
      <c r="S184" s="38">
        <f>S276</f>
        <v>2801.4495776116964</v>
      </c>
      <c r="T184" s="38">
        <f>T276</f>
        <v>2260.4458224708537</v>
      </c>
      <c r="U184" s="38">
        <f>U276</f>
        <v>1800.0000293424655</v>
      </c>
      <c r="V184" s="38">
        <f>V276</f>
        <v>2440.1334893953722</v>
      </c>
      <c r="W184" s="39">
        <f>V184</f>
        <v>2440.1334893953722</v>
      </c>
      <c r="X184" s="38">
        <f>X276</f>
        <v>2785.6663317179837</v>
      </c>
      <c r="Y184" s="38">
        <f>Y276</f>
        <v>2162.114776934056</v>
      </c>
      <c r="Z184" s="38">
        <f>Z276</f>
        <v>1774.291899770431</v>
      </c>
      <c r="AA184" s="38">
        <f>AA276</f>
        <v>2992.990176608294</v>
      </c>
      <c r="AB184" s="39">
        <f>AA184</f>
        <v>2992.990176608294</v>
      </c>
      <c r="AC184" s="38">
        <f>AC276</f>
        <v>3235.3409355771855</v>
      </c>
      <c r="AD184" s="38">
        <f>AD276</f>
        <v>2489.9219091105197</v>
      </c>
      <c r="AE184" s="38">
        <f>AE276</f>
        <v>1978.5245525599169</v>
      </c>
      <c r="AF184" s="38">
        <f>AF276</f>
        <v>4491.021665224247</v>
      </c>
      <c r="AG184" s="39">
        <f>AF184</f>
        <v>4491.021665224247</v>
      </c>
      <c r="AH184" s="38">
        <f>AH276</f>
        <v>4468.7166032384075</v>
      </c>
      <c r="AI184" s="38">
        <f>AI276</f>
        <v>3365.3635322235596</v>
      </c>
      <c r="AJ184" s="38">
        <f>AJ276</f>
        <v>2527.9373727861698</v>
      </c>
      <c r="AK184" s="38">
        <f>AK276</f>
        <v>3737.570219607836</v>
      </c>
      <c r="AL184" s="39">
        <f>AK184</f>
        <v>3737.570219607836</v>
      </c>
    </row>
    <row r="185" spans="1:38" ht="14.45" customHeight="1" outlineLevel="1">
      <c r="A185" s="453"/>
      <c r="B185" s="84" t="s">
        <v>221</v>
      </c>
      <c r="C185" s="85"/>
      <c r="D185" s="38">
        <v>230.2</v>
      </c>
      <c r="E185" s="38">
        <v>76.599999999999994</v>
      </c>
      <c r="F185" s="38">
        <v>72.099999999999994</v>
      </c>
      <c r="G185" s="38">
        <v>70.5</v>
      </c>
      <c r="H185" s="39">
        <f>+G185</f>
        <v>70.5</v>
      </c>
      <c r="I185" s="38">
        <v>68.400000000000006</v>
      </c>
      <c r="J185" s="38">
        <v>52.9</v>
      </c>
      <c r="K185" s="38">
        <v>229.9</v>
      </c>
      <c r="L185" s="38">
        <f>+L231*L220*L232</f>
        <v>107.00593554304855</v>
      </c>
      <c r="M185" s="39">
        <f>+L185</f>
        <v>107.00593554304855</v>
      </c>
      <c r="N185" s="38">
        <f>+N231*N220*N232</f>
        <v>105.75308783458348</v>
      </c>
      <c r="O185" s="38">
        <f>+O231*O220*O232</f>
        <v>110.85704503843057</v>
      </c>
      <c r="P185" s="38">
        <f>+P231*P220*P232</f>
        <v>124.84287006335677</v>
      </c>
      <c r="Q185" s="38">
        <f>+Q231*Q220*Q232</f>
        <v>109.6808679818833</v>
      </c>
      <c r="R185" s="39">
        <f>+Q185</f>
        <v>109.6808679818833</v>
      </c>
      <c r="S185" s="38">
        <f>+S231*S220*S232</f>
        <v>113.58471953846035</v>
      </c>
      <c r="T185" s="38">
        <f>+T231*T220*T232</f>
        <v>111.39834371980564</v>
      </c>
      <c r="U185" s="38">
        <f>+U231*U220*U232</f>
        <v>110.07859217900497</v>
      </c>
      <c r="V185" s="38">
        <f>+V231*V220*V232</f>
        <v>112.91853480418632</v>
      </c>
      <c r="W185" s="39">
        <f>+V185</f>
        <v>112.91853480418632</v>
      </c>
      <c r="X185" s="38">
        <f>+X231*X220*X232</f>
        <v>115.35541105696029</v>
      </c>
      <c r="Y185" s="38">
        <f>+Y231*Y220*Y232</f>
        <v>109.92109539238189</v>
      </c>
      <c r="Z185" s="38">
        <f>+Z231*Z220*Z232</f>
        <v>107.5802060644114</v>
      </c>
      <c r="AA185" s="38">
        <f>+AA231*AA220*AA232</f>
        <v>115.14518566447313</v>
      </c>
      <c r="AB185" s="39">
        <f>+AA185</f>
        <v>115.14518566447313</v>
      </c>
      <c r="AC185" s="38">
        <f>+AC231*AC220*AC232</f>
        <v>117.03499152372628</v>
      </c>
      <c r="AD185" s="38">
        <f>+AD231*AD220*AD232</f>
        <v>110.42952910027974</v>
      </c>
      <c r="AE185" s="38">
        <f>+AE231*AE220*AE232</f>
        <v>107.73095390678702</v>
      </c>
      <c r="AF185" s="38">
        <f>+AF231*AF220*AF232</f>
        <v>121.56555399562251</v>
      </c>
      <c r="AG185" s="39">
        <f>+AF185</f>
        <v>121.56555399562251</v>
      </c>
      <c r="AH185" s="38">
        <f>+AH231*AH220*AH232</f>
        <v>122.51217098269341</v>
      </c>
      <c r="AI185" s="38">
        <f>+AI231*AI220*AI232</f>
        <v>114.11853212547359</v>
      </c>
      <c r="AJ185" s="38">
        <f>+AJ231*AJ220*AJ232</f>
        <v>110.16737843641833</v>
      </c>
      <c r="AK185" s="38">
        <f>+AK231*AK220*AK232</f>
        <v>118.69929484122112</v>
      </c>
      <c r="AL185" s="39">
        <f>+AK185</f>
        <v>118.69929484122112</v>
      </c>
    </row>
    <row r="186" spans="1:38" s="47" customFormat="1" ht="14.45" customHeight="1" outlineLevel="1">
      <c r="A186" s="453"/>
      <c r="B186" s="522" t="s">
        <v>222</v>
      </c>
      <c r="C186" s="523"/>
      <c r="D186" s="38">
        <v>721.4</v>
      </c>
      <c r="E186" s="38">
        <v>703.6</v>
      </c>
      <c r="F186" s="38">
        <v>790.6</v>
      </c>
      <c r="G186" s="38">
        <v>879</v>
      </c>
      <c r="H186" s="39">
        <f>G186</f>
        <v>879</v>
      </c>
      <c r="I186" s="38">
        <v>908.1</v>
      </c>
      <c r="J186" s="38">
        <v>941</v>
      </c>
      <c r="K186" s="38">
        <v>881.1</v>
      </c>
      <c r="L186" s="38">
        <f>L16/L225</f>
        <v>894.2134034983751</v>
      </c>
      <c r="M186" s="39">
        <f>L186</f>
        <v>894.2134034983751</v>
      </c>
      <c r="N186" s="38">
        <f>N16/N225</f>
        <v>864.77154662684188</v>
      </c>
      <c r="O186" s="38">
        <f>O16/O225</f>
        <v>728.76314519334574</v>
      </c>
      <c r="P186" s="38">
        <f>P16/P225</f>
        <v>715.08746795491334</v>
      </c>
      <c r="Q186" s="38">
        <f>Q16/Q225</f>
        <v>968.72303184002487</v>
      </c>
      <c r="R186" s="39">
        <f>Q186</f>
        <v>968.72303184002487</v>
      </c>
      <c r="S186" s="38">
        <f>S16/S225</f>
        <v>1024.6908666874506</v>
      </c>
      <c r="T186" s="38">
        <f>T16/T225</f>
        <v>804.04363272976207</v>
      </c>
      <c r="U186" s="38">
        <f>U16/U225</f>
        <v>781.84096631342697</v>
      </c>
      <c r="V186" s="38">
        <f>V16/V225</f>
        <v>1030.2442414863015</v>
      </c>
      <c r="W186" s="39">
        <f>V186</f>
        <v>1030.2442414863015</v>
      </c>
      <c r="X186" s="38">
        <f>X16/X225</f>
        <v>1096.4920859281524</v>
      </c>
      <c r="Y186" s="38">
        <f>Y16/Y225</f>
        <v>849.02108118891385</v>
      </c>
      <c r="Z186" s="38">
        <f>Z16/Z225</f>
        <v>826.20939415571206</v>
      </c>
      <c r="AA186" s="38">
        <f>AA16/AA225</f>
        <v>1075.2807853705706</v>
      </c>
      <c r="AB186" s="39">
        <f>AA186</f>
        <v>1075.2807853705706</v>
      </c>
      <c r="AC186" s="38">
        <f>AC16/AC225</f>
        <v>1173.4147700284125</v>
      </c>
      <c r="AD186" s="38">
        <f>AD16/AD225</f>
        <v>897.37935729831997</v>
      </c>
      <c r="AE186" s="38">
        <f>AE16/AE225</f>
        <v>875.09483101984858</v>
      </c>
      <c r="AF186" s="38">
        <f>AF16/AF225</f>
        <v>1135.0706898685971</v>
      </c>
      <c r="AG186" s="39">
        <f>AF186</f>
        <v>1135.0706898685971</v>
      </c>
      <c r="AH186" s="38">
        <f>AH16/AH225</f>
        <v>1255.4615709934578</v>
      </c>
      <c r="AI186" s="38">
        <f>AI16/AI225</f>
        <v>953.83579204603097</v>
      </c>
      <c r="AJ186" s="38">
        <f>AJ16/AJ225</f>
        <v>931.75142074499718</v>
      </c>
      <c r="AK186" s="38">
        <f>AK16/AK225</f>
        <v>1210.4438747943718</v>
      </c>
      <c r="AL186" s="39">
        <f>AK186</f>
        <v>1210.4438747943718</v>
      </c>
    </row>
    <row r="187" spans="1:38" s="47" customFormat="1" ht="14.45" customHeight="1" outlineLevel="1">
      <c r="A187" s="453"/>
      <c r="B187" s="84" t="s">
        <v>223</v>
      </c>
      <c r="C187" s="85"/>
      <c r="D187" s="38">
        <v>1354.6</v>
      </c>
      <c r="E187" s="38">
        <v>1443</v>
      </c>
      <c r="F187" s="38">
        <v>1517.2</v>
      </c>
      <c r="G187" s="38">
        <v>1529.4</v>
      </c>
      <c r="H187" s="39">
        <f>G187</f>
        <v>1529.4</v>
      </c>
      <c r="I187" s="38">
        <v>1408.7</v>
      </c>
      <c r="J187" s="38">
        <v>1492.2</v>
      </c>
      <c r="K187" s="38">
        <v>1583.8</v>
      </c>
      <c r="L187" s="38">
        <f>L17/L227</f>
        <v>1627.7456098533191</v>
      </c>
      <c r="M187" s="39">
        <f>L187</f>
        <v>1627.7456098533191</v>
      </c>
      <c r="N187" s="38">
        <f>N17/N227</f>
        <v>1522.5322264152096</v>
      </c>
      <c r="O187" s="38">
        <f>O17/O227</f>
        <v>1378.1624275264999</v>
      </c>
      <c r="P187" s="38">
        <f>P17/P227</f>
        <v>1397.7453893435329</v>
      </c>
      <c r="Q187" s="38">
        <f>Q17/Q227</f>
        <v>1821.6279797045418</v>
      </c>
      <c r="R187" s="39">
        <f>Q187</f>
        <v>1821.6279797045418</v>
      </c>
      <c r="S187" s="38">
        <f>S17/S227</f>
        <v>1722.8130948934736</v>
      </c>
      <c r="T187" s="38">
        <f>T17/T227</f>
        <v>1489.2242563739883</v>
      </c>
      <c r="U187" s="38">
        <f>U17/U227</f>
        <v>1520.6407430660922</v>
      </c>
      <c r="V187" s="38">
        <f>V17/V227</f>
        <v>1919.112934682116</v>
      </c>
      <c r="W187" s="39">
        <f>V187</f>
        <v>1919.112934682116</v>
      </c>
      <c r="X187" s="38">
        <f>X17/X227</f>
        <v>1826.4645415772934</v>
      </c>
      <c r="Y187" s="38">
        <f>Y17/Y227</f>
        <v>1565.7637054063191</v>
      </c>
      <c r="Z187" s="38">
        <f>Z17/Z227</f>
        <v>1604.9965160467793</v>
      </c>
      <c r="AA187" s="38">
        <f>AA17/AA227</f>
        <v>2006.1308251618486</v>
      </c>
      <c r="AB187" s="39">
        <f>AA187</f>
        <v>2006.1308251618486</v>
      </c>
      <c r="AC187" s="38">
        <f>AC17/AC227</f>
        <v>1949.7979386128475</v>
      </c>
      <c r="AD187" s="38">
        <f>AD17/AD227</f>
        <v>1653.7924683907695</v>
      </c>
      <c r="AE187" s="38">
        <f>AE17/AE227</f>
        <v>1698.31945786083</v>
      </c>
      <c r="AF187" s="38">
        <f>AF17/AF227</f>
        <v>2118.20297687518</v>
      </c>
      <c r="AG187" s="39">
        <f>AF187</f>
        <v>2118.20297687518</v>
      </c>
      <c r="AH187" s="38">
        <f>AH17/AH227</f>
        <v>2081.500313536148</v>
      </c>
      <c r="AI187" s="38">
        <f>AI17/AI227</f>
        <v>1755.0802642166586</v>
      </c>
      <c r="AJ187" s="38">
        <f>AJ17/AJ227</f>
        <v>1805.424235136469</v>
      </c>
      <c r="AK187" s="38">
        <f>AK17/AK227</f>
        <v>2256.6634751651163</v>
      </c>
      <c r="AL187" s="39">
        <f>AK187</f>
        <v>2256.6634751651163</v>
      </c>
    </row>
    <row r="188" spans="1:38" ht="16.350000000000001" customHeight="1" outlineLevel="1">
      <c r="A188" s="453"/>
      <c r="B188" s="522" t="s">
        <v>74</v>
      </c>
      <c r="C188" s="523"/>
      <c r="D188" s="41">
        <v>608.5</v>
      </c>
      <c r="E188" s="314">
        <v>674</v>
      </c>
      <c r="F188" s="314">
        <v>591.6</v>
      </c>
      <c r="G188" s="314">
        <v>488.2</v>
      </c>
      <c r="H188" s="42">
        <f>G188</f>
        <v>488.2</v>
      </c>
      <c r="I188" s="314">
        <v>474</v>
      </c>
      <c r="J188" s="314">
        <v>691.5</v>
      </c>
      <c r="K188" s="314">
        <v>920.3</v>
      </c>
      <c r="L188" s="69">
        <f>+K188*0.85</f>
        <v>782.255</v>
      </c>
      <c r="M188" s="42">
        <f>L188</f>
        <v>782.255</v>
      </c>
      <c r="N188" s="69">
        <f>L188*0.9</f>
        <v>704.02949999999998</v>
      </c>
      <c r="O188" s="69">
        <f>N188*0.95</f>
        <v>668.82802499999991</v>
      </c>
      <c r="P188" s="69">
        <f>O188*0.95</f>
        <v>635.3866237499999</v>
      </c>
      <c r="Q188" s="69">
        <f>P188*0.95</f>
        <v>603.61729256249987</v>
      </c>
      <c r="R188" s="42">
        <f>Q188</f>
        <v>603.61729256249987</v>
      </c>
      <c r="S188" s="69">
        <f>Q188*1.02</f>
        <v>615.68963841374989</v>
      </c>
      <c r="T188" s="69">
        <f>S188*1.02</f>
        <v>628.00343118202488</v>
      </c>
      <c r="U188" s="69">
        <f>T188*1.02</f>
        <v>640.5634998056654</v>
      </c>
      <c r="V188" s="69">
        <f>U188*1.02</f>
        <v>653.37476980177871</v>
      </c>
      <c r="W188" s="42">
        <f>V188</f>
        <v>653.37476980177871</v>
      </c>
      <c r="X188" s="69">
        <f>V188*1.02</f>
        <v>666.44226519781432</v>
      </c>
      <c r="Y188" s="69">
        <f>X188*1.02</f>
        <v>679.77111050177064</v>
      </c>
      <c r="Z188" s="69">
        <f>Y188*1.02</f>
        <v>693.36653271180603</v>
      </c>
      <c r="AA188" s="69">
        <f>Z188*1.02</f>
        <v>707.23386336604221</v>
      </c>
      <c r="AB188" s="42">
        <f>AA188</f>
        <v>707.23386336604221</v>
      </c>
      <c r="AC188" s="69">
        <f>AA188*1.02</f>
        <v>721.37854063336306</v>
      </c>
      <c r="AD188" s="69">
        <f>AC188*1.02</f>
        <v>735.80611144603029</v>
      </c>
      <c r="AE188" s="69">
        <f>AD188*1.02</f>
        <v>750.52223367495094</v>
      </c>
      <c r="AF188" s="69">
        <f>AE188*1.02</f>
        <v>765.53267834844996</v>
      </c>
      <c r="AG188" s="42">
        <f>AF188</f>
        <v>765.53267834844996</v>
      </c>
      <c r="AH188" s="69">
        <f>AF188*1.02</f>
        <v>780.84333191541896</v>
      </c>
      <c r="AI188" s="69">
        <f>AH188*1.02</f>
        <v>796.46019855372731</v>
      </c>
      <c r="AJ188" s="69">
        <f>AI188*1.02</f>
        <v>812.38940252480188</v>
      </c>
      <c r="AK188" s="69">
        <f>AJ188*1.02</f>
        <v>828.63719057529795</v>
      </c>
      <c r="AL188" s="42">
        <f>AK188</f>
        <v>828.63719057529795</v>
      </c>
    </row>
    <row r="189" spans="1:38" ht="14.45" customHeight="1" outlineLevel="1">
      <c r="A189" s="453"/>
      <c r="B189" s="86" t="s">
        <v>4</v>
      </c>
      <c r="C189" s="87"/>
      <c r="D189" s="45">
        <f t="shared" ref="D189:AB189" si="704">SUM(D184:D188)</f>
        <v>7676.2999999999993</v>
      </c>
      <c r="E189" s="45">
        <f t="shared" si="704"/>
        <v>4952.3</v>
      </c>
      <c r="F189" s="45">
        <f t="shared" si="704"/>
        <v>7734.9000000000024</v>
      </c>
      <c r="G189" s="45">
        <f t="shared" si="704"/>
        <v>5653.7000000000016</v>
      </c>
      <c r="H189" s="46">
        <f t="shared" si="704"/>
        <v>5653.7000000000016</v>
      </c>
      <c r="I189" s="45">
        <f t="shared" si="704"/>
        <v>5899.7000000000035</v>
      </c>
      <c r="J189" s="45">
        <f t="shared" si="704"/>
        <v>5749.9000000000033</v>
      </c>
      <c r="K189" s="45">
        <f t="shared" si="704"/>
        <v>7581.0000000000045</v>
      </c>
      <c r="L189" s="45">
        <f t="shared" si="704"/>
        <v>7044.6160625039065</v>
      </c>
      <c r="M189" s="46">
        <f t="shared" si="704"/>
        <v>7044.6160625039065</v>
      </c>
      <c r="N189" s="45">
        <f t="shared" si="704"/>
        <v>6969.5681544712561</v>
      </c>
      <c r="O189" s="45">
        <f t="shared" si="704"/>
        <v>5975.3949410459891</v>
      </c>
      <c r="P189" s="45">
        <f t="shared" si="704"/>
        <v>5303.1254645158888</v>
      </c>
      <c r="Q189" s="45">
        <f t="shared" si="704"/>
        <v>5926.3329390221106</v>
      </c>
      <c r="R189" s="46">
        <f t="shared" si="704"/>
        <v>5926.3329390221106</v>
      </c>
      <c r="S189" s="45">
        <f t="shared" si="704"/>
        <v>6278.2278971448313</v>
      </c>
      <c r="T189" s="45">
        <f t="shared" si="704"/>
        <v>5293.1154864764349</v>
      </c>
      <c r="U189" s="45">
        <f t="shared" si="704"/>
        <v>4853.1238307066551</v>
      </c>
      <c r="V189" s="45">
        <f t="shared" si="704"/>
        <v>6155.7839701697549</v>
      </c>
      <c r="W189" s="46">
        <f t="shared" si="704"/>
        <v>6155.7839701697549</v>
      </c>
      <c r="X189" s="45">
        <f t="shared" si="704"/>
        <v>6490.4206354782036</v>
      </c>
      <c r="Y189" s="45">
        <f t="shared" si="704"/>
        <v>5366.5917694234413</v>
      </c>
      <c r="Z189" s="45">
        <f t="shared" si="704"/>
        <v>5006.4445487491394</v>
      </c>
      <c r="AA189" s="45">
        <f t="shared" si="704"/>
        <v>6896.7808361712277</v>
      </c>
      <c r="AB189" s="46">
        <f t="shared" si="704"/>
        <v>6896.7808361712277</v>
      </c>
      <c r="AC189" s="45">
        <f>SUM(AC184:AC188)</f>
        <v>7196.9671763755341</v>
      </c>
      <c r="AD189" s="45">
        <f t="shared" ref="AD189:AG189" si="705">SUM(AD184:AD188)</f>
        <v>5887.3293753459193</v>
      </c>
      <c r="AE189" s="45">
        <f t="shared" si="705"/>
        <v>5410.1920290223343</v>
      </c>
      <c r="AF189" s="45">
        <f t="shared" si="705"/>
        <v>8631.3935643120967</v>
      </c>
      <c r="AG189" s="46">
        <f t="shared" si="705"/>
        <v>8631.3935643120967</v>
      </c>
      <c r="AH189" s="45">
        <f t="shared" ref="AH189:AL189" si="706">SUM(AH184:AH188)</f>
        <v>8709.0339906661266</v>
      </c>
      <c r="AI189" s="45">
        <f t="shared" si="706"/>
        <v>6984.8583191654498</v>
      </c>
      <c r="AJ189" s="45">
        <f t="shared" si="706"/>
        <v>6187.6698096288565</v>
      </c>
      <c r="AK189" s="45">
        <f t="shared" si="706"/>
        <v>8152.0140549838425</v>
      </c>
      <c r="AL189" s="46">
        <f t="shared" si="706"/>
        <v>8152.0140549838425</v>
      </c>
    </row>
    <row r="190" spans="1:38" ht="14.45" customHeight="1" outlineLevel="1">
      <c r="A190" s="453"/>
      <c r="B190" s="84" t="s">
        <v>224</v>
      </c>
      <c r="C190" s="186"/>
      <c r="D190" s="38">
        <v>265</v>
      </c>
      <c r="E190" s="38">
        <v>251.9</v>
      </c>
      <c r="F190" s="38">
        <v>222.6</v>
      </c>
      <c r="G190" s="38">
        <v>220</v>
      </c>
      <c r="H190" s="39">
        <f t="shared" ref="H190:H191" si="707">+G190</f>
        <v>220</v>
      </c>
      <c r="I190" s="38">
        <v>199.8</v>
      </c>
      <c r="J190" s="38">
        <v>198.8</v>
      </c>
      <c r="K190" s="38">
        <v>223.4</v>
      </c>
      <c r="L190" s="38">
        <f>+L231*L220*(1-L232)</f>
        <v>245.25985478141237</v>
      </c>
      <c r="M190" s="39">
        <f t="shared" ref="M190:M191" si="708">+L190</f>
        <v>245.25985478141237</v>
      </c>
      <c r="N190" s="38">
        <f>+N231*N220*(1-N232)</f>
        <v>225.72523499911546</v>
      </c>
      <c r="O190" s="38">
        <f>+O231*O220*(1-O232)</f>
        <v>220.02494958180122</v>
      </c>
      <c r="P190" s="38">
        <f>+P231*P220*(1-P232)</f>
        <v>216.02408039467713</v>
      </c>
      <c r="Q190" s="38">
        <f>+Q231*Q220*(1-Q232)</f>
        <v>221.65987863854917</v>
      </c>
      <c r="R190" s="39">
        <f t="shared" ref="R190:R191" si="709">+Q190</f>
        <v>221.65987863854917</v>
      </c>
      <c r="S190" s="38">
        <f>+S231*S220*(1-S232)</f>
        <v>222.62835574388922</v>
      </c>
      <c r="T190" s="38">
        <f>+T231*T220*(1-T232)</f>
        <v>213.81837155273553</v>
      </c>
      <c r="U190" s="38">
        <f>+U231*U220*(1-U232)</f>
        <v>209.53553371444619</v>
      </c>
      <c r="V190" s="38">
        <f>+V231*V220*(1-V232)</f>
        <v>220.22275724238114</v>
      </c>
      <c r="W190" s="39">
        <f t="shared" ref="W190:W191" si="710">+V190</f>
        <v>220.22275724238114</v>
      </c>
      <c r="X190" s="38">
        <f>+X231*X220*(1-X232)</f>
        <v>222.99647352749884</v>
      </c>
      <c r="Y190" s="38">
        <f>+Y231*Y220*(1-Y232)</f>
        <v>211.76055556033947</v>
      </c>
      <c r="Z190" s="38">
        <f>+Z231*Z220*(1-Z232)</f>
        <v>207.44172562790067</v>
      </c>
      <c r="AA190" s="38">
        <f>+AA231*AA220*(1-AA232)</f>
        <v>222.74878309276758</v>
      </c>
      <c r="AB190" s="39">
        <f t="shared" ref="AB190:AB191" si="711">+AA190</f>
        <v>222.74878309276758</v>
      </c>
      <c r="AC190" s="38">
        <f>+AC231*AC220*(1-AC232)</f>
        <v>225.94610551372841</v>
      </c>
      <c r="AD190" s="38">
        <f>+AD231*AD220*(1-AD232)</f>
        <v>213.1236603849315</v>
      </c>
      <c r="AE190" s="38">
        <f>+AE231*AE220*(1-AE232)</f>
        <v>208.00924040613421</v>
      </c>
      <c r="AF190" s="38">
        <f>+AF231*AF220*(1-AF232)</f>
        <v>234.7995655780249</v>
      </c>
      <c r="AG190" s="39">
        <f t="shared" ref="AG190:AG191" si="712">+AF190</f>
        <v>234.7995655780249</v>
      </c>
      <c r="AH190" s="38">
        <f>+AH231*AH220*(1-AH232)</f>
        <v>236.53496316265989</v>
      </c>
      <c r="AI190" s="38">
        <f>+AI231*AI220*(1-AI232)</f>
        <v>220.33273722464921</v>
      </c>
      <c r="AJ190" s="38">
        <f>+AJ231*AJ220*(1-AJ232)</f>
        <v>212.7257057639554</v>
      </c>
      <c r="AK190" s="38">
        <f>+AK231*AK220*(1-AK232)</f>
        <v>229.20353215647978</v>
      </c>
      <c r="AL190" s="39">
        <f t="shared" ref="AL190:AL191" si="713">+AK190</f>
        <v>229.20353215647978</v>
      </c>
    </row>
    <row r="191" spans="1:38" ht="14.45" customHeight="1" outlineLevel="1">
      <c r="A191" s="453"/>
      <c r="B191" s="84" t="s">
        <v>313</v>
      </c>
      <c r="C191" s="186"/>
      <c r="D191" s="38">
        <v>336.1</v>
      </c>
      <c r="E191" s="38">
        <v>309.3</v>
      </c>
      <c r="F191" s="38">
        <v>340.3</v>
      </c>
      <c r="G191" s="38">
        <v>396</v>
      </c>
      <c r="H191" s="39">
        <f t="shared" si="707"/>
        <v>396</v>
      </c>
      <c r="I191" s="38">
        <v>411.3</v>
      </c>
      <c r="J191" s="38">
        <v>420.9</v>
      </c>
      <c r="K191" s="38">
        <v>426.1</v>
      </c>
      <c r="L191" s="38">
        <f>K191</f>
        <v>426.1</v>
      </c>
      <c r="M191" s="39">
        <f t="shared" si="708"/>
        <v>426.1</v>
      </c>
      <c r="N191" s="38">
        <f>L191</f>
        <v>426.1</v>
      </c>
      <c r="O191" s="38">
        <f>N191</f>
        <v>426.1</v>
      </c>
      <c r="P191" s="38">
        <f t="shared" ref="P191:Q191" si="714">O191</f>
        <v>426.1</v>
      </c>
      <c r="Q191" s="38">
        <f t="shared" si="714"/>
        <v>426.1</v>
      </c>
      <c r="R191" s="39">
        <f t="shared" si="709"/>
        <v>426.1</v>
      </c>
      <c r="S191" s="38">
        <f>Q191</f>
        <v>426.1</v>
      </c>
      <c r="T191" s="38">
        <f>S191</f>
        <v>426.1</v>
      </c>
      <c r="U191" s="38">
        <f t="shared" ref="U191:V191" si="715">T191</f>
        <v>426.1</v>
      </c>
      <c r="V191" s="38">
        <f t="shared" si="715"/>
        <v>426.1</v>
      </c>
      <c r="W191" s="39">
        <f t="shared" si="710"/>
        <v>426.1</v>
      </c>
      <c r="X191" s="38">
        <f>V191</f>
        <v>426.1</v>
      </c>
      <c r="Y191" s="38">
        <f>X191</f>
        <v>426.1</v>
      </c>
      <c r="Z191" s="38">
        <f t="shared" ref="Z191:AA191" si="716">Y191</f>
        <v>426.1</v>
      </c>
      <c r="AA191" s="38">
        <f t="shared" si="716"/>
        <v>426.1</v>
      </c>
      <c r="AB191" s="39">
        <f t="shared" si="711"/>
        <v>426.1</v>
      </c>
      <c r="AC191" s="38">
        <f>AA191</f>
        <v>426.1</v>
      </c>
      <c r="AD191" s="38">
        <f>AC191</f>
        <v>426.1</v>
      </c>
      <c r="AE191" s="38">
        <f t="shared" ref="AE191:AF191" si="717">AD191</f>
        <v>426.1</v>
      </c>
      <c r="AF191" s="38">
        <f t="shared" si="717"/>
        <v>426.1</v>
      </c>
      <c r="AG191" s="39">
        <f t="shared" si="712"/>
        <v>426.1</v>
      </c>
      <c r="AH191" s="38">
        <f>AF191</f>
        <v>426.1</v>
      </c>
      <c r="AI191" s="38">
        <f>AH191</f>
        <v>426.1</v>
      </c>
      <c r="AJ191" s="38">
        <f t="shared" ref="AJ191:AK191" si="718">AI191</f>
        <v>426.1</v>
      </c>
      <c r="AK191" s="38">
        <f t="shared" si="718"/>
        <v>426.1</v>
      </c>
      <c r="AL191" s="39">
        <f t="shared" si="713"/>
        <v>426.1</v>
      </c>
    </row>
    <row r="192" spans="1:38" s="20" customFormat="1" outlineLevel="1">
      <c r="A192" s="453"/>
      <c r="B192" s="84" t="s">
        <v>225</v>
      </c>
      <c r="C192" s="87"/>
      <c r="D192" s="38">
        <v>6039.3</v>
      </c>
      <c r="E192" s="38">
        <v>6135.5</v>
      </c>
      <c r="F192" s="38">
        <v>6187.8</v>
      </c>
      <c r="G192" s="38">
        <v>6431.7</v>
      </c>
      <c r="H192" s="39">
        <f>+G192</f>
        <v>6431.7</v>
      </c>
      <c r="I192" s="38">
        <v>6390.9</v>
      </c>
      <c r="J192" s="38">
        <v>6387</v>
      </c>
      <c r="K192" s="38">
        <v>6295.6</v>
      </c>
      <c r="L192" s="38">
        <f>+K192-L260-L242</f>
        <v>6290.4166439433375</v>
      </c>
      <c r="M192" s="39">
        <f>+L192</f>
        <v>6290.4166439433375</v>
      </c>
      <c r="N192" s="38">
        <f>+L192-N260-N242</f>
        <v>6321.1072880048523</v>
      </c>
      <c r="O192" s="38">
        <f>+N192-O260-O242</f>
        <v>6287.3862253983934</v>
      </c>
      <c r="P192" s="38">
        <f>+O192-P260-P242</f>
        <v>6275.7026103197959</v>
      </c>
      <c r="Q192" s="38">
        <f>+P192-Q260-Q242</f>
        <v>6371.993029953841</v>
      </c>
      <c r="R192" s="39">
        <f>+Q192</f>
        <v>6371.993029953841</v>
      </c>
      <c r="S192" s="38">
        <f>+Q192-S260-S242</f>
        <v>6458.2788200762225</v>
      </c>
      <c r="T192" s="38">
        <f>+S192-T260-T242</f>
        <v>6433.3318724932024</v>
      </c>
      <c r="U192" s="38">
        <f>+T192-U260-U242</f>
        <v>6423.7595829907723</v>
      </c>
      <c r="V192" s="38">
        <f>+U192-V260-V242</f>
        <v>6522.9470897471911</v>
      </c>
      <c r="W192" s="39">
        <f>+V192</f>
        <v>6522.9470897471911</v>
      </c>
      <c r="X192" s="38">
        <f>+V192-X260-X242</f>
        <v>6550.3441950405595</v>
      </c>
      <c r="Y192" s="38">
        <f>+X192-Y260-Y242</f>
        <v>6477.4758017501299</v>
      </c>
      <c r="Z192" s="38">
        <f>+Y192-Z260-Z242</f>
        <v>6421.2913460947429</v>
      </c>
      <c r="AA192" s="38">
        <f>+Z192-AA260-AA242</f>
        <v>6458.4242429366977</v>
      </c>
      <c r="AB192" s="39">
        <f>+AA192</f>
        <v>6458.4242429366977</v>
      </c>
      <c r="AC192" s="38">
        <f>+AA192-AC260-AC242</f>
        <v>6518.4672935204308</v>
      </c>
      <c r="AD192" s="38">
        <f>+AC192-AD260-AD242</f>
        <v>6465.3019847377363</v>
      </c>
      <c r="AE192" s="38">
        <f>+AD192-AE260-AE242</f>
        <v>6429.0554172316452</v>
      </c>
      <c r="AF192" s="38">
        <f>+AE192-AF260-AF242</f>
        <v>6488.7914914450084</v>
      </c>
      <c r="AG192" s="39">
        <f>+AF192</f>
        <v>6488.7914914450084</v>
      </c>
      <c r="AH192" s="38">
        <f>+AF192-AH260-AH242</f>
        <v>6577.8190468228422</v>
      </c>
      <c r="AI192" s="38">
        <f>+AH192-AI260-AI242</f>
        <v>6541.9488292968927</v>
      </c>
      <c r="AJ192" s="38">
        <f>+AI192-AJ260-AJ242</f>
        <v>6523.4716890135032</v>
      </c>
      <c r="AK192" s="38">
        <f>+AJ192-AK260-AK242</f>
        <v>6606.735570687063</v>
      </c>
      <c r="AL192" s="39">
        <f>+AK192</f>
        <v>6606.735570687063</v>
      </c>
    </row>
    <row r="193" spans="1:38" s="20" customFormat="1" outlineLevel="1">
      <c r="A193" s="453"/>
      <c r="B193" s="339" t="s">
        <v>314</v>
      </c>
      <c r="C193" s="341"/>
      <c r="D193" s="38">
        <v>0</v>
      </c>
      <c r="E193" s="38">
        <v>0</v>
      </c>
      <c r="F193" s="38">
        <v>0</v>
      </c>
      <c r="G193" s="38">
        <v>0</v>
      </c>
      <c r="H193" s="39">
        <f>+G193</f>
        <v>0</v>
      </c>
      <c r="I193" s="38">
        <v>8358.5</v>
      </c>
      <c r="J193" s="38">
        <v>8260.7999999999993</v>
      </c>
      <c r="K193" s="38">
        <v>8214</v>
      </c>
      <c r="L193" s="71">
        <f>K193*0.99</f>
        <v>8131.86</v>
      </c>
      <c r="M193" s="39">
        <f>L193</f>
        <v>8131.86</v>
      </c>
      <c r="N193" s="71">
        <f>L193*0.99</f>
        <v>8050.5413999999992</v>
      </c>
      <c r="O193" s="71">
        <f>N193*0.99</f>
        <v>7970.035985999999</v>
      </c>
      <c r="P193" s="71">
        <f>O193*0.99</f>
        <v>7890.3356261399986</v>
      </c>
      <c r="Q193" s="71">
        <f>P193*0.99</f>
        <v>7811.4322698785982</v>
      </c>
      <c r="R193" s="39">
        <f>Q193</f>
        <v>7811.4322698785982</v>
      </c>
      <c r="S193" s="71">
        <f>Q193*0.99</f>
        <v>7733.3179471798121</v>
      </c>
      <c r="T193" s="71">
        <f>S193*0.99</f>
        <v>7655.9847677080143</v>
      </c>
      <c r="U193" s="71">
        <f>T193*0.99</f>
        <v>7579.4249200309341</v>
      </c>
      <c r="V193" s="71">
        <f>U193*0.99</f>
        <v>7503.6306708306247</v>
      </c>
      <c r="W193" s="39">
        <f>V193</f>
        <v>7503.6306708306247</v>
      </c>
      <c r="X193" s="71">
        <f>V193*0.99</f>
        <v>7428.5943641223184</v>
      </c>
      <c r="Y193" s="71">
        <f>X193*0.99</f>
        <v>7354.3084204810948</v>
      </c>
      <c r="Z193" s="71">
        <f>Y193*0.99</f>
        <v>7280.765336276284</v>
      </c>
      <c r="AA193" s="71">
        <f>Z193*0.99</f>
        <v>7207.9576829135212</v>
      </c>
      <c r="AB193" s="39">
        <f>AA193</f>
        <v>7207.9576829135212</v>
      </c>
      <c r="AC193" s="71">
        <f>AA193*0.99</f>
        <v>7135.8781060843858</v>
      </c>
      <c r="AD193" s="71">
        <f>AC193*0.99</f>
        <v>7064.5193250235416</v>
      </c>
      <c r="AE193" s="71">
        <f>AD193*0.99</f>
        <v>6993.8741317733065</v>
      </c>
      <c r="AF193" s="71">
        <f>AE193*0.99</f>
        <v>6923.9353904555737</v>
      </c>
      <c r="AG193" s="39">
        <f>AF193</f>
        <v>6923.9353904555737</v>
      </c>
      <c r="AH193" s="71">
        <f>AF193*0.99</f>
        <v>6854.6960365510176</v>
      </c>
      <c r="AI193" s="71">
        <f>AH193*0.99</f>
        <v>6786.1490761855075</v>
      </c>
      <c r="AJ193" s="71">
        <f>AI193*0.99</f>
        <v>6718.2875854236527</v>
      </c>
      <c r="AK193" s="71">
        <f>AJ193*0.99</f>
        <v>6651.1047095694157</v>
      </c>
      <c r="AL193" s="39">
        <f>AK193</f>
        <v>6651.1047095694157</v>
      </c>
    </row>
    <row r="194" spans="1:38" s="20" customFormat="1" outlineLevel="1">
      <c r="A194" s="453"/>
      <c r="B194" s="84" t="s">
        <v>234</v>
      </c>
      <c r="C194" s="87"/>
      <c r="D194" s="38">
        <v>650</v>
      </c>
      <c r="E194" s="38">
        <v>1006.6</v>
      </c>
      <c r="F194" s="38">
        <v>1533</v>
      </c>
      <c r="G194" s="38">
        <v>1765.8</v>
      </c>
      <c r="H194" s="39">
        <f t="shared" ref="H194:H195" si="719">+G194</f>
        <v>1765.8</v>
      </c>
      <c r="I194" s="38">
        <v>1731.4</v>
      </c>
      <c r="J194" s="38">
        <v>1709.7</v>
      </c>
      <c r="K194" s="38">
        <v>1740</v>
      </c>
      <c r="L194" s="71">
        <f>L235*(L205+L211)</f>
        <v>1714.9448335996237</v>
      </c>
      <c r="M194" s="39">
        <f t="shared" ref="M194:M195" si="720">+L194</f>
        <v>1714.9448335996237</v>
      </c>
      <c r="N194" s="71">
        <f>N235*(N205+N211)</f>
        <v>1785.4082012153515</v>
      </c>
      <c r="O194" s="71">
        <f>O235*(O205+O211)</f>
        <v>1731.8584462332497</v>
      </c>
      <c r="P194" s="71">
        <f>P235*(P205+P211)</f>
        <v>1726.1959393485149</v>
      </c>
      <c r="Q194" s="71">
        <f>Q235*(Q205+Q211)</f>
        <v>1712.9922385283203</v>
      </c>
      <c r="R194" s="39">
        <f t="shared" ref="R194:R195" si="721">+Q194</f>
        <v>1712.9922385283203</v>
      </c>
      <c r="S194" s="71">
        <f>S235*(S205+S211)</f>
        <v>1805.9013362657138</v>
      </c>
      <c r="T194" s="71">
        <f>T235*(T205+T211)</f>
        <v>1737.9071699278941</v>
      </c>
      <c r="U194" s="71">
        <f>U235*(U205+U211)</f>
        <v>1728.74973828464</v>
      </c>
      <c r="V194" s="71">
        <f>V235*(V205+V211)</f>
        <v>1718.8271537825906</v>
      </c>
      <c r="W194" s="39">
        <f t="shared" ref="W194:W195" si="722">+V194</f>
        <v>1718.8271537825906</v>
      </c>
      <c r="X194" s="71">
        <f>X235*(X205+X211)</f>
        <v>1821.5230927659513</v>
      </c>
      <c r="Y194" s="71">
        <f>Y235*(Y205+Y211)</f>
        <v>1746.2386449563533</v>
      </c>
      <c r="Z194" s="71">
        <f>Z235*(Z205+Z211)</f>
        <v>1736.7634733964312</v>
      </c>
      <c r="AA194" s="71">
        <f>AA235*(AA205+AA211)</f>
        <v>1727.3254598326967</v>
      </c>
      <c r="AB194" s="39">
        <f t="shared" ref="AB194:AB195" si="723">+AA194</f>
        <v>1727.3254598326967</v>
      </c>
      <c r="AC194" s="71">
        <f>AC235*(AC205+AC211)</f>
        <v>1839.098585955828</v>
      </c>
      <c r="AD194" s="71">
        <f>AD235*(AD205+AD211)</f>
        <v>1757.7262891686987</v>
      </c>
      <c r="AE194" s="71">
        <f>AE235*(AE205+AE211)</f>
        <v>1748.0761801674507</v>
      </c>
      <c r="AF194" s="71">
        <f>AF235*(AF205+AF211)</f>
        <v>1738.5081247322018</v>
      </c>
      <c r="AG194" s="39">
        <f t="shared" ref="AG194:AG195" si="724">+AF194</f>
        <v>1738.5081247322018</v>
      </c>
      <c r="AH194" s="71">
        <f>AH235*(AH205+AH211)</f>
        <v>1860.0500713699641</v>
      </c>
      <c r="AI194" s="71">
        <f>AI235*(AI205+AI211)</f>
        <v>1772.3978146649681</v>
      </c>
      <c r="AJ194" s="71">
        <f>AJ235*(AJ205+AJ211)</f>
        <v>1762.4991607796385</v>
      </c>
      <c r="AK194" s="71">
        <f>AK235*(AK205+AK211)</f>
        <v>1752.6744218948118</v>
      </c>
      <c r="AL194" s="39">
        <f t="shared" ref="AL194:AL195" si="725">+AK194</f>
        <v>1752.6744218948118</v>
      </c>
    </row>
    <row r="195" spans="1:38" s="20" customFormat="1" outlineLevel="1">
      <c r="A195" s="453"/>
      <c r="B195" s="84" t="s">
        <v>315</v>
      </c>
      <c r="C195" s="87"/>
      <c r="D195" s="38">
        <v>472.7</v>
      </c>
      <c r="E195" s="38">
        <v>464.5</v>
      </c>
      <c r="F195" s="38">
        <v>458</v>
      </c>
      <c r="G195" s="38">
        <v>479.6</v>
      </c>
      <c r="H195" s="39">
        <f t="shared" si="719"/>
        <v>479.6</v>
      </c>
      <c r="I195" s="38">
        <v>484.7</v>
      </c>
      <c r="J195" s="38">
        <v>580.1</v>
      </c>
      <c r="K195" s="38">
        <v>550.79999999999995</v>
      </c>
      <c r="L195" s="71">
        <f>+K195*(L220/K220)</f>
        <v>538.02923784956226</v>
      </c>
      <c r="M195" s="39">
        <f t="shared" si="720"/>
        <v>538.02923784956226</v>
      </c>
      <c r="N195" s="71">
        <f>+L195*(N220/L220)</f>
        <v>535.93960177233726</v>
      </c>
      <c r="O195" s="71">
        <f>+N195*(O220/N220)</f>
        <v>512.83169200324642</v>
      </c>
      <c r="P195" s="71">
        <f>+O195*(P220/O220)</f>
        <v>497.35759239525601</v>
      </c>
      <c r="Q195" s="71">
        <f>+P195*(Q220/P220)</f>
        <v>509.01210122789007</v>
      </c>
      <c r="R195" s="39">
        <f t="shared" si="721"/>
        <v>509.01210122789007</v>
      </c>
      <c r="S195" s="71">
        <f>+Q195*(S220/Q220)</f>
        <v>517.24894167304808</v>
      </c>
      <c r="T195" s="71">
        <f>+S195*(T220/S220)</f>
        <v>494.34183122536047</v>
      </c>
      <c r="U195" s="71">
        <f>+T195*(U220/T220)</f>
        <v>483.4973396321484</v>
      </c>
      <c r="V195" s="71">
        <f>+U195*(V220/U220)</f>
        <v>508.63680936256975</v>
      </c>
      <c r="W195" s="39">
        <f t="shared" si="722"/>
        <v>508.63680936256975</v>
      </c>
      <c r="X195" s="71">
        <f>+V195*(X220/V220)</f>
        <v>515.80078618062669</v>
      </c>
      <c r="Y195" s="71">
        <f>+X195*(Y220/X220)</f>
        <v>489.27433489421674</v>
      </c>
      <c r="Z195" s="71">
        <f>+Y195*(Z220/Y220)</f>
        <v>479.21993272424589</v>
      </c>
      <c r="AA195" s="71">
        <f>+Z195*(AA220/Z220)</f>
        <v>514.7343330750216</v>
      </c>
      <c r="AB195" s="39">
        <f t="shared" si="723"/>
        <v>514.7343330750216</v>
      </c>
      <c r="AC195" s="71">
        <f>+AA195*(AC220/AA220)</f>
        <v>522.19062312886035</v>
      </c>
      <c r="AD195" s="71">
        <f>+AC195*(AD220/AC220)</f>
        <v>492.45443243870824</v>
      </c>
      <c r="AE195" s="71">
        <f>+AD195*(AE220/AD220)</f>
        <v>480.6443298384898</v>
      </c>
      <c r="AF195" s="71">
        <f>+AE195*(AF220/AE220)</f>
        <v>542.58044839770434</v>
      </c>
      <c r="AG195" s="39">
        <f t="shared" si="724"/>
        <v>542.58044839770434</v>
      </c>
      <c r="AH195" s="71">
        <f>+AF195*(AH220/AF220)</f>
        <v>546.59039833246243</v>
      </c>
      <c r="AI195" s="71">
        <f>+AH195*(AI220/AH220)</f>
        <v>509.13305682326779</v>
      </c>
      <c r="AJ195" s="71">
        <f>+AI195*(AJ220/AI220)</f>
        <v>491.56020085337599</v>
      </c>
      <c r="AK195" s="71">
        <f>+AJ195*(AK220/AJ220)</f>
        <v>529.64140902147551</v>
      </c>
      <c r="AL195" s="39">
        <f t="shared" si="725"/>
        <v>529.64140902147551</v>
      </c>
    </row>
    <row r="196" spans="1:38" s="20" customFormat="1" outlineLevel="1">
      <c r="A196" s="453"/>
      <c r="B196" s="84" t="s">
        <v>226</v>
      </c>
      <c r="C196" s="87"/>
      <c r="D196" s="38">
        <v>981.6</v>
      </c>
      <c r="E196" s="38">
        <v>918.3</v>
      </c>
      <c r="F196" s="38">
        <v>853.2</v>
      </c>
      <c r="G196" s="38">
        <v>781.8</v>
      </c>
      <c r="H196" s="39">
        <f>+G196</f>
        <v>781.8</v>
      </c>
      <c r="I196" s="38">
        <v>739.1</v>
      </c>
      <c r="J196" s="38">
        <v>678.7</v>
      </c>
      <c r="K196" s="38">
        <v>599.6</v>
      </c>
      <c r="L196" s="71">
        <f>+K196*0.94</f>
        <v>563.62400000000002</v>
      </c>
      <c r="M196" s="39">
        <f>+L196</f>
        <v>563.62400000000002</v>
      </c>
      <c r="N196" s="71">
        <f>+L196*0.94</f>
        <v>529.80655999999999</v>
      </c>
      <c r="O196" s="71">
        <f>+N196*0.94</f>
        <v>498.01816639999998</v>
      </c>
      <c r="P196" s="71">
        <f>+O196*0.94</f>
        <v>468.13707641599996</v>
      </c>
      <c r="Q196" s="71">
        <f>+P196*0.94</f>
        <v>440.04885183103994</v>
      </c>
      <c r="R196" s="39">
        <f>+Q196</f>
        <v>440.04885183103994</v>
      </c>
      <c r="S196" s="71">
        <f>+Q196*0.94</f>
        <v>413.6459207211775</v>
      </c>
      <c r="T196" s="71">
        <f>+S196*0.94</f>
        <v>388.82716547790682</v>
      </c>
      <c r="U196" s="71">
        <f>+T196*0.94</f>
        <v>365.4975355492324</v>
      </c>
      <c r="V196" s="71">
        <f>+U196*0.94</f>
        <v>343.56768341627844</v>
      </c>
      <c r="W196" s="39">
        <f>+V196</f>
        <v>343.56768341627844</v>
      </c>
      <c r="X196" s="71">
        <f>+V196*0.94</f>
        <v>322.95362241130169</v>
      </c>
      <c r="Y196" s="71">
        <f>+X196*0.94</f>
        <v>303.57640506662358</v>
      </c>
      <c r="Z196" s="71">
        <f>+Y196*0.94</f>
        <v>285.36182076262617</v>
      </c>
      <c r="AA196" s="71">
        <f>+Z196*0.94</f>
        <v>268.24011151686858</v>
      </c>
      <c r="AB196" s="39">
        <f>+AA196</f>
        <v>268.24011151686858</v>
      </c>
      <c r="AC196" s="71">
        <f>+AA196*0.94</f>
        <v>252.14570482585646</v>
      </c>
      <c r="AD196" s="71">
        <f>+AC196*0.94</f>
        <v>237.01696253630504</v>
      </c>
      <c r="AE196" s="71">
        <f>+AD196*0.94</f>
        <v>222.79594478412673</v>
      </c>
      <c r="AF196" s="71">
        <f>+AE196*0.94</f>
        <v>209.42818809707913</v>
      </c>
      <c r="AG196" s="39">
        <f>+AF196</f>
        <v>209.42818809707913</v>
      </c>
      <c r="AH196" s="71">
        <f>+AF196*0.94</f>
        <v>196.86249681125437</v>
      </c>
      <c r="AI196" s="71">
        <f>+AH196*0.94</f>
        <v>185.0507470025791</v>
      </c>
      <c r="AJ196" s="71">
        <f>+AI196*0.94</f>
        <v>173.94770218242434</v>
      </c>
      <c r="AK196" s="71">
        <f>+AJ196*0.94</f>
        <v>163.51084005147888</v>
      </c>
      <c r="AL196" s="39">
        <f>+AK196</f>
        <v>163.51084005147888</v>
      </c>
    </row>
    <row r="197" spans="1:38" ht="17.25" outlineLevel="1">
      <c r="A197" s="453"/>
      <c r="B197" s="522" t="s">
        <v>37</v>
      </c>
      <c r="C197" s="523"/>
      <c r="D197" s="41">
        <v>3560.3</v>
      </c>
      <c r="E197" s="41">
        <v>3603.5</v>
      </c>
      <c r="F197" s="41">
        <v>3564.7</v>
      </c>
      <c r="G197" s="41">
        <v>3490.8</v>
      </c>
      <c r="H197" s="42">
        <f>G197</f>
        <v>3490.8</v>
      </c>
      <c r="I197" s="41">
        <v>3515.9</v>
      </c>
      <c r="J197" s="41">
        <v>3493</v>
      </c>
      <c r="K197" s="41">
        <v>3510.1</v>
      </c>
      <c r="L197" s="69">
        <f t="shared" ref="L197" si="726">+K197</f>
        <v>3510.1</v>
      </c>
      <c r="M197" s="42">
        <f>L197</f>
        <v>3510.1</v>
      </c>
      <c r="N197" s="69">
        <f>+L197</f>
        <v>3510.1</v>
      </c>
      <c r="O197" s="69">
        <f>+N197</f>
        <v>3510.1</v>
      </c>
      <c r="P197" s="69">
        <f t="shared" ref="P197:Q197" si="727">+O197</f>
        <v>3510.1</v>
      </c>
      <c r="Q197" s="69">
        <f t="shared" si="727"/>
        <v>3510.1</v>
      </c>
      <c r="R197" s="42">
        <f>Q197</f>
        <v>3510.1</v>
      </c>
      <c r="S197" s="69">
        <f>+Q197</f>
        <v>3510.1</v>
      </c>
      <c r="T197" s="69">
        <f>+S197</f>
        <v>3510.1</v>
      </c>
      <c r="U197" s="69">
        <f t="shared" ref="U197:V197" si="728">+T197</f>
        <v>3510.1</v>
      </c>
      <c r="V197" s="69">
        <f t="shared" si="728"/>
        <v>3510.1</v>
      </c>
      <c r="W197" s="42">
        <f>V197</f>
        <v>3510.1</v>
      </c>
      <c r="X197" s="69">
        <f>+V197</f>
        <v>3510.1</v>
      </c>
      <c r="Y197" s="69">
        <f>+X197</f>
        <v>3510.1</v>
      </c>
      <c r="Z197" s="69">
        <f t="shared" ref="Z197:AA197" si="729">+Y197</f>
        <v>3510.1</v>
      </c>
      <c r="AA197" s="69">
        <f t="shared" si="729"/>
        <v>3510.1</v>
      </c>
      <c r="AB197" s="42">
        <f>AA197</f>
        <v>3510.1</v>
      </c>
      <c r="AC197" s="69">
        <f>+AA197</f>
        <v>3510.1</v>
      </c>
      <c r="AD197" s="69">
        <f>+AC197</f>
        <v>3510.1</v>
      </c>
      <c r="AE197" s="69">
        <f t="shared" ref="AE197" si="730">+AD197</f>
        <v>3510.1</v>
      </c>
      <c r="AF197" s="69">
        <f t="shared" ref="AF197" si="731">+AE197</f>
        <v>3510.1</v>
      </c>
      <c r="AG197" s="42">
        <f>AF197</f>
        <v>3510.1</v>
      </c>
      <c r="AH197" s="69">
        <f>+AF197</f>
        <v>3510.1</v>
      </c>
      <c r="AI197" s="69">
        <f>+AH197</f>
        <v>3510.1</v>
      </c>
      <c r="AJ197" s="69">
        <f t="shared" ref="AJ197" si="732">+AI197</f>
        <v>3510.1</v>
      </c>
      <c r="AK197" s="69">
        <f t="shared" ref="AK197" si="733">+AJ197</f>
        <v>3510.1</v>
      </c>
      <c r="AL197" s="42">
        <f>AK197</f>
        <v>3510.1</v>
      </c>
    </row>
    <row r="198" spans="1:38" outlineLevel="1">
      <c r="A198" s="453"/>
      <c r="B198" s="542" t="s">
        <v>5</v>
      </c>
      <c r="C198" s="543"/>
      <c r="D198" s="45">
        <f t="shared" ref="D198:AB198" si="734">+SUM(D189:D197)</f>
        <v>19981.3</v>
      </c>
      <c r="E198" s="45">
        <f t="shared" si="734"/>
        <v>17641.900000000001</v>
      </c>
      <c r="F198" s="45">
        <f t="shared" si="734"/>
        <v>20894.500000000004</v>
      </c>
      <c r="G198" s="45">
        <f t="shared" si="734"/>
        <v>19219.400000000001</v>
      </c>
      <c r="H198" s="46">
        <f t="shared" si="734"/>
        <v>19219.400000000001</v>
      </c>
      <c r="I198" s="45">
        <f t="shared" si="734"/>
        <v>27731.300000000007</v>
      </c>
      <c r="J198" s="45">
        <f t="shared" si="734"/>
        <v>27478.9</v>
      </c>
      <c r="K198" s="45">
        <f t="shared" si="734"/>
        <v>29140.600000000002</v>
      </c>
      <c r="L198" s="45">
        <f t="shared" si="734"/>
        <v>28464.950632677839</v>
      </c>
      <c r="M198" s="46">
        <f t="shared" si="734"/>
        <v>28464.950632677839</v>
      </c>
      <c r="N198" s="45">
        <f t="shared" si="734"/>
        <v>28354.296440462913</v>
      </c>
      <c r="O198" s="45">
        <f t="shared" si="734"/>
        <v>27131.750406662679</v>
      </c>
      <c r="P198" s="45">
        <f t="shared" si="734"/>
        <v>26313.078389530128</v>
      </c>
      <c r="Q198" s="45">
        <f t="shared" si="734"/>
        <v>26929.67130908035</v>
      </c>
      <c r="R198" s="46">
        <f t="shared" si="734"/>
        <v>26929.67130908035</v>
      </c>
      <c r="S198" s="45">
        <f t="shared" si="734"/>
        <v>27365.449218804693</v>
      </c>
      <c r="T198" s="45">
        <f t="shared" si="734"/>
        <v>26153.526664861543</v>
      </c>
      <c r="U198" s="45">
        <f t="shared" si="734"/>
        <v>25579.788480908828</v>
      </c>
      <c r="V198" s="45">
        <f t="shared" si="734"/>
        <v>26909.816134551387</v>
      </c>
      <c r="W198" s="46">
        <f t="shared" si="734"/>
        <v>26909.816134551387</v>
      </c>
      <c r="X198" s="45">
        <f t="shared" si="734"/>
        <v>27288.833169526457</v>
      </c>
      <c r="Y198" s="45">
        <f t="shared" si="734"/>
        <v>25885.425932132195</v>
      </c>
      <c r="Z198" s="45">
        <f t="shared" si="734"/>
        <v>25353.488183631369</v>
      </c>
      <c r="AA198" s="45">
        <f t="shared" si="734"/>
        <v>27232.411449538802</v>
      </c>
      <c r="AB198" s="46">
        <f t="shared" si="734"/>
        <v>27232.411449538802</v>
      </c>
      <c r="AC198" s="45">
        <f t="shared" ref="AC198:AG198" si="735">+SUM(AC189:AC197)</f>
        <v>27626.893595404621</v>
      </c>
      <c r="AD198" s="45">
        <f t="shared" si="735"/>
        <v>26053.67202963584</v>
      </c>
      <c r="AE198" s="45">
        <f t="shared" si="735"/>
        <v>25428.847273223488</v>
      </c>
      <c r="AF198" s="45">
        <f t="shared" si="735"/>
        <v>28705.636773017686</v>
      </c>
      <c r="AG198" s="46">
        <f t="shared" si="735"/>
        <v>28705.636773017686</v>
      </c>
      <c r="AH198" s="45">
        <f t="shared" ref="AH198:AL198" si="736">+SUM(AH189:AH197)</f>
        <v>28917.787003716327</v>
      </c>
      <c r="AI198" s="45">
        <f t="shared" si="736"/>
        <v>26936.070580363314</v>
      </c>
      <c r="AJ198" s="45">
        <f t="shared" si="736"/>
        <v>26006.361853645405</v>
      </c>
      <c r="AK198" s="45">
        <f t="shared" si="736"/>
        <v>28021.084538364565</v>
      </c>
      <c r="AL198" s="46">
        <f t="shared" si="736"/>
        <v>28021.084538364565</v>
      </c>
    </row>
    <row r="199" spans="1:38" ht="18">
      <c r="A199" s="453"/>
      <c r="B199" s="524" t="s">
        <v>7</v>
      </c>
      <c r="C199" s="525"/>
      <c r="D199" s="36" t="s">
        <v>123</v>
      </c>
      <c r="E199" s="36" t="s">
        <v>281</v>
      </c>
      <c r="F199" s="36" t="s">
        <v>285</v>
      </c>
      <c r="G199" s="36" t="s">
        <v>295</v>
      </c>
      <c r="H199" s="103" t="s">
        <v>296</v>
      </c>
      <c r="I199" s="36" t="s">
        <v>297</v>
      </c>
      <c r="J199" s="36" t="s">
        <v>298</v>
      </c>
      <c r="K199" s="36" t="s">
        <v>299</v>
      </c>
      <c r="L199" s="34" t="s">
        <v>141</v>
      </c>
      <c r="M199" s="106" t="s">
        <v>142</v>
      </c>
      <c r="N199" s="34" t="s">
        <v>143</v>
      </c>
      <c r="O199" s="34" t="s">
        <v>144</v>
      </c>
      <c r="P199" s="34" t="s">
        <v>145</v>
      </c>
      <c r="Q199" s="34" t="s">
        <v>146</v>
      </c>
      <c r="R199" s="106" t="s">
        <v>147</v>
      </c>
      <c r="S199" s="34" t="s">
        <v>148</v>
      </c>
      <c r="T199" s="34" t="s">
        <v>149</v>
      </c>
      <c r="U199" s="34" t="s">
        <v>150</v>
      </c>
      <c r="V199" s="34" t="s">
        <v>151</v>
      </c>
      <c r="W199" s="106" t="s">
        <v>152</v>
      </c>
      <c r="X199" s="34" t="s">
        <v>153</v>
      </c>
      <c r="Y199" s="34" t="s">
        <v>154</v>
      </c>
      <c r="Z199" s="34" t="s">
        <v>155</v>
      </c>
      <c r="AA199" s="34" t="s">
        <v>156</v>
      </c>
      <c r="AB199" s="106" t="s">
        <v>157</v>
      </c>
      <c r="AC199" s="34" t="s">
        <v>290</v>
      </c>
      <c r="AD199" s="34" t="s">
        <v>291</v>
      </c>
      <c r="AE199" s="34" t="s">
        <v>292</v>
      </c>
      <c r="AF199" s="34" t="s">
        <v>293</v>
      </c>
      <c r="AG199" s="106" t="s">
        <v>294</v>
      </c>
      <c r="AH199" s="34" t="s">
        <v>323</v>
      </c>
      <c r="AI199" s="34" t="s">
        <v>324</v>
      </c>
      <c r="AJ199" s="34" t="s">
        <v>325</v>
      </c>
      <c r="AK199" s="34" t="s">
        <v>326</v>
      </c>
      <c r="AL199" s="106" t="s">
        <v>327</v>
      </c>
    </row>
    <row r="200" spans="1:38" s="47" customFormat="1" outlineLevel="1">
      <c r="A200" s="453"/>
      <c r="B200" s="520" t="s">
        <v>38</v>
      </c>
      <c r="C200" s="521"/>
      <c r="D200" s="98">
        <v>1100.5</v>
      </c>
      <c r="E200" s="98">
        <v>1096.7</v>
      </c>
      <c r="F200" s="98">
        <v>1145.4000000000001</v>
      </c>
      <c r="G200" s="98">
        <v>1189.7</v>
      </c>
      <c r="H200" s="99">
        <f>G200</f>
        <v>1189.7</v>
      </c>
      <c r="I200" s="98">
        <v>1085.5999999999999</v>
      </c>
      <c r="J200" s="98">
        <v>997.7</v>
      </c>
      <c r="K200" s="98">
        <v>860.8</v>
      </c>
      <c r="L200" s="98">
        <f>(L21/L229)</f>
        <v>1067.3919203077378</v>
      </c>
      <c r="M200" s="99">
        <f>L200</f>
        <v>1067.3919203077378</v>
      </c>
      <c r="N200" s="98">
        <f>(N21/N229)</f>
        <v>1020.2164008774039</v>
      </c>
      <c r="O200" s="98">
        <f>(O21/O229)</f>
        <v>893.08482444238427</v>
      </c>
      <c r="P200" s="98">
        <f>(P21/P229)</f>
        <v>853.17692077334561</v>
      </c>
      <c r="Q200" s="98">
        <f>(Q21/Q229)</f>
        <v>1052.2981977023876</v>
      </c>
      <c r="R200" s="99">
        <f>Q200</f>
        <v>1052.2981977023876</v>
      </c>
      <c r="S200" s="98">
        <f>(S21/S229)</f>
        <v>1053.5954013568125</v>
      </c>
      <c r="T200" s="98">
        <f>(T21/T229)</f>
        <v>918.45238201394056</v>
      </c>
      <c r="U200" s="98">
        <f>(U21/U229)</f>
        <v>853.70533589834383</v>
      </c>
      <c r="V200" s="98">
        <f>(V21/V229)</f>
        <v>1098.2293832194975</v>
      </c>
      <c r="W200" s="99">
        <f>V200</f>
        <v>1098.2293832194975</v>
      </c>
      <c r="X200" s="98">
        <f>(X21/X229)</f>
        <v>1068.8981265048178</v>
      </c>
      <c r="Y200" s="98">
        <f>(Y21/Y229)</f>
        <v>931.35420083646432</v>
      </c>
      <c r="Z200" s="98">
        <f>(Z21/Z229)</f>
        <v>890.55070755903807</v>
      </c>
      <c r="AA200" s="98">
        <f>(AA21/AA229)</f>
        <v>1125.8972069683491</v>
      </c>
      <c r="AB200" s="99">
        <f>AA200</f>
        <v>1125.8972069683491</v>
      </c>
      <c r="AC200" s="98">
        <f>(AC21/AC229)</f>
        <v>1103.923670939477</v>
      </c>
      <c r="AD200" s="98">
        <f>(AD21/AD229)</f>
        <v>955.72181081588201</v>
      </c>
      <c r="AE200" s="98">
        <f>(AE21/AE229)</f>
        <v>906.37902562661964</v>
      </c>
      <c r="AF200" s="98">
        <f>(AF21/AF229)</f>
        <v>1159.0875849643321</v>
      </c>
      <c r="AG200" s="99">
        <f>AF200</f>
        <v>1159.0875849643321</v>
      </c>
      <c r="AH200" s="98">
        <f>(AH21/AH229)</f>
        <v>1141.5316672086026</v>
      </c>
      <c r="AI200" s="98">
        <f>(AI21/AI229)</f>
        <v>981.67332854630888</v>
      </c>
      <c r="AJ200" s="98">
        <f>(AJ21/AJ229)</f>
        <v>937.90053827017141</v>
      </c>
      <c r="AK200" s="98">
        <f>(AK21/AK229)</f>
        <v>1200.030045721644</v>
      </c>
      <c r="AL200" s="99">
        <f>AK200</f>
        <v>1200.030045721644</v>
      </c>
    </row>
    <row r="201" spans="1:38" outlineLevel="1">
      <c r="A201" s="453"/>
      <c r="B201" s="520" t="s">
        <v>227</v>
      </c>
      <c r="C201" s="521"/>
      <c r="D201" s="98">
        <v>2564</v>
      </c>
      <c r="E201" s="98">
        <v>2569.3000000000002</v>
      </c>
      <c r="F201" s="98">
        <v>3238.7</v>
      </c>
      <c r="G201" s="98">
        <v>1753.7</v>
      </c>
      <c r="H201" s="99">
        <f>G201</f>
        <v>1753.7</v>
      </c>
      <c r="I201" s="98">
        <v>1637.8</v>
      </c>
      <c r="J201" s="98">
        <v>1539</v>
      </c>
      <c r="K201" s="98">
        <v>1511.7</v>
      </c>
      <c r="L201" s="71">
        <f>((G23-G22-G20)/(F23-F22-F20)*K201)</f>
        <v>1512.3442420648898</v>
      </c>
      <c r="M201" s="99">
        <f>L201</f>
        <v>1512.3442420648898</v>
      </c>
      <c r="N201" s="71">
        <f>((I23-I22-I20)/(G23-G22-G20)*M201)</f>
        <v>1566.8807333839802</v>
      </c>
      <c r="O201" s="71">
        <f t="shared" ref="O201:Q201" si="737">((J23-J22-J20)/(I23-I22-I20)*N201)</f>
        <v>1462.3174452000228</v>
      </c>
      <c r="P201" s="71">
        <f t="shared" si="737"/>
        <v>1275.9634252997093</v>
      </c>
      <c r="Q201" s="71">
        <f t="shared" si="737"/>
        <v>1446.2925677828434</v>
      </c>
      <c r="R201" s="99">
        <f>Q201</f>
        <v>1446.2925677828434</v>
      </c>
      <c r="S201" s="71">
        <f>((N23-N22-N20)/(L23-L22-L20)*R201)</f>
        <v>1496.4231898577111</v>
      </c>
      <c r="T201" s="71">
        <f t="shared" ref="T201" si="738">((O23-O22-O20)/(N23-N22-N20)*S201)</f>
        <v>1238.7305304660115</v>
      </c>
      <c r="U201" s="71">
        <f t="shared" ref="U201" si="739">((P23-P22-P20)/(O23-O22-O20)*T201)</f>
        <v>1265.1243909521206</v>
      </c>
      <c r="V201" s="71">
        <f t="shared" ref="V201" si="740">((Q23-Q22-Q20)/(P23-P22-P20)*U201)</f>
        <v>1642.1441836599111</v>
      </c>
      <c r="W201" s="99">
        <f>V201</f>
        <v>1642.1441836599111</v>
      </c>
      <c r="X201" s="71">
        <f>((S23-S22-S20)/(Q23-Q22-Q20)*W201)</f>
        <v>1693.5066206996541</v>
      </c>
      <c r="Y201" s="71">
        <f t="shared" ref="Y201" si="741">((T23-T22-T20)/(S23-S22-S20)*X201)</f>
        <v>1333.0197103753937</v>
      </c>
      <c r="Z201" s="71">
        <f t="shared" ref="Z201" si="742">((U23-U22-U20)/(T23-T22-T20)*Y201)</f>
        <v>1376.1642807894823</v>
      </c>
      <c r="AA201" s="71">
        <f t="shared" ref="AA201" si="743">((V23-V22-V20)/(U23-U22-U20)*Z201)</f>
        <v>1728.8848323182829</v>
      </c>
      <c r="AB201" s="99">
        <f>AA201</f>
        <v>1728.8848323182829</v>
      </c>
      <c r="AC201" s="71">
        <f>((X23-X22-X20)/(V23-V22-V20)*AB201)</f>
        <v>1795.6472882064547</v>
      </c>
      <c r="AD201" s="71">
        <f t="shared" ref="AD201" si="744">((Y23-Y22-Y20)/(X23-X22-X20)*AC201)</f>
        <v>1399.4362295422447</v>
      </c>
      <c r="AE201" s="71">
        <f t="shared" ref="AE201" si="745">((Z23-Z22-Z20)/(Y23-Y22-Y20)*AD201)</f>
        <v>1450.1872296100714</v>
      </c>
      <c r="AF201" s="71">
        <f t="shared" ref="AF201" si="746">((AA23-AA22-AA20)/(Z23-Z22-Z20)*AE201)</f>
        <v>1801.5879959604881</v>
      </c>
      <c r="AG201" s="99">
        <f>AF201</f>
        <v>1801.5879959604881</v>
      </c>
      <c r="AH201" s="71">
        <f>((AC23-AC22-AC20)/(AA23-AA22-AA20)*AG201)</f>
        <v>1916.4503229929142</v>
      </c>
      <c r="AI201" s="71">
        <f t="shared" ref="AI201" si="747">((AD23-AD22-AD20)/(AC23-AC22-AC20)*AH201)</f>
        <v>1475.1255236189972</v>
      </c>
      <c r="AJ201" s="71">
        <f t="shared" ref="AJ201" si="748">((AE23-AE22-AE20)/(AD23-AD22-AD20)*AI201)</f>
        <v>1531.70270820511</v>
      </c>
      <c r="AK201" s="71">
        <f t="shared" ref="AK201" si="749">((AF23-AF22-AF20)/(AE23-AE22-AE20)*AJ201)</f>
        <v>1897.8681499961085</v>
      </c>
      <c r="AL201" s="99">
        <f>AK201</f>
        <v>1897.8681499961085</v>
      </c>
    </row>
    <row r="202" spans="1:38" outlineLevel="1">
      <c r="A202" s="453"/>
      <c r="B202" s="342" t="s">
        <v>310</v>
      </c>
      <c r="C202" s="343"/>
      <c r="D202" s="98">
        <v>0</v>
      </c>
      <c r="E202" s="98">
        <v>0</v>
      </c>
      <c r="F202" s="98">
        <v>0</v>
      </c>
      <c r="G202" s="98">
        <v>664.6</v>
      </c>
      <c r="H202" s="99">
        <f t="shared" ref="H202:H212" si="750">G202</f>
        <v>664.6</v>
      </c>
      <c r="I202" s="98">
        <v>578.5</v>
      </c>
      <c r="J202" s="98">
        <v>596.1</v>
      </c>
      <c r="K202" s="98">
        <v>652.1</v>
      </c>
      <c r="L202" s="71">
        <f>K202</f>
        <v>652.1</v>
      </c>
      <c r="M202" s="99">
        <f t="shared" ref="M202:M204" si="751">L202</f>
        <v>652.1</v>
      </c>
      <c r="N202" s="71">
        <f>L202</f>
        <v>652.1</v>
      </c>
      <c r="O202" s="71">
        <f>N202</f>
        <v>652.1</v>
      </c>
      <c r="P202" s="71">
        <f t="shared" ref="P202:R212" si="752">O202</f>
        <v>652.1</v>
      </c>
      <c r="Q202" s="71">
        <f t="shared" si="752"/>
        <v>652.1</v>
      </c>
      <c r="R202" s="99">
        <f t="shared" si="752"/>
        <v>652.1</v>
      </c>
      <c r="S202" s="71">
        <f>Q202</f>
        <v>652.1</v>
      </c>
      <c r="T202" s="71">
        <f>S202</f>
        <v>652.1</v>
      </c>
      <c r="U202" s="71">
        <f t="shared" ref="U202:V202" si="753">T202</f>
        <v>652.1</v>
      </c>
      <c r="V202" s="71">
        <f t="shared" si="753"/>
        <v>652.1</v>
      </c>
      <c r="W202" s="99">
        <f t="shared" ref="W202:W212" si="754">V202</f>
        <v>652.1</v>
      </c>
      <c r="X202" s="71">
        <f>V202</f>
        <v>652.1</v>
      </c>
      <c r="Y202" s="71">
        <f>X202</f>
        <v>652.1</v>
      </c>
      <c r="Z202" s="71">
        <f t="shared" ref="Z202:AA202" si="755">Y202</f>
        <v>652.1</v>
      </c>
      <c r="AA202" s="71">
        <f t="shared" si="755"/>
        <v>652.1</v>
      </c>
      <c r="AB202" s="99">
        <f t="shared" ref="AB202:AB212" si="756">AA202</f>
        <v>652.1</v>
      </c>
      <c r="AC202" s="71">
        <f>AA202</f>
        <v>652.1</v>
      </c>
      <c r="AD202" s="71">
        <f>AC202</f>
        <v>652.1</v>
      </c>
      <c r="AE202" s="71">
        <f t="shared" ref="AE202:AF202" si="757">AD202</f>
        <v>652.1</v>
      </c>
      <c r="AF202" s="71">
        <f t="shared" si="757"/>
        <v>652.1</v>
      </c>
      <c r="AG202" s="99">
        <f t="shared" ref="AG202:AG212" si="758">AF202</f>
        <v>652.1</v>
      </c>
      <c r="AH202" s="71">
        <f>AF202</f>
        <v>652.1</v>
      </c>
      <c r="AI202" s="71">
        <f>AH202</f>
        <v>652.1</v>
      </c>
      <c r="AJ202" s="71">
        <f t="shared" ref="AJ202:AK202" si="759">AI202</f>
        <v>652.1</v>
      </c>
      <c r="AK202" s="71">
        <f t="shared" si="759"/>
        <v>652.1</v>
      </c>
      <c r="AL202" s="99">
        <f t="shared" ref="AL202:AL212" si="760">AK202</f>
        <v>652.1</v>
      </c>
    </row>
    <row r="203" spans="1:38" outlineLevel="1">
      <c r="A203" s="453"/>
      <c r="B203" s="342" t="s">
        <v>311</v>
      </c>
      <c r="C203" s="343"/>
      <c r="D203" s="98">
        <v>0</v>
      </c>
      <c r="E203" s="98">
        <v>0</v>
      </c>
      <c r="F203" s="98">
        <v>0</v>
      </c>
      <c r="G203" s="98">
        <v>1291.7</v>
      </c>
      <c r="H203" s="99">
        <f t="shared" si="750"/>
        <v>1291.7</v>
      </c>
      <c r="I203" s="98">
        <v>1414</v>
      </c>
      <c r="J203" s="98">
        <v>86.7</v>
      </c>
      <c r="K203" s="98">
        <v>90.9</v>
      </c>
      <c r="L203" s="71">
        <f t="shared" ref="L203" si="761">K203</f>
        <v>90.9</v>
      </c>
      <c r="M203" s="99">
        <f t="shared" si="751"/>
        <v>90.9</v>
      </c>
      <c r="N203" s="71">
        <f t="shared" ref="N203" si="762">L203</f>
        <v>90.9</v>
      </c>
      <c r="O203" s="71">
        <f t="shared" ref="O203:Q203" si="763">N203</f>
        <v>90.9</v>
      </c>
      <c r="P203" s="71">
        <f t="shared" si="763"/>
        <v>90.9</v>
      </c>
      <c r="Q203" s="71">
        <f t="shared" si="763"/>
        <v>90.9</v>
      </c>
      <c r="R203" s="99">
        <f t="shared" si="752"/>
        <v>90.9</v>
      </c>
      <c r="S203" s="71">
        <f t="shared" ref="S203" si="764">Q203</f>
        <v>90.9</v>
      </c>
      <c r="T203" s="71">
        <f t="shared" ref="T203:V203" si="765">S203</f>
        <v>90.9</v>
      </c>
      <c r="U203" s="71">
        <f t="shared" si="765"/>
        <v>90.9</v>
      </c>
      <c r="V203" s="71">
        <f t="shared" si="765"/>
        <v>90.9</v>
      </c>
      <c r="W203" s="99">
        <f t="shared" si="754"/>
        <v>90.9</v>
      </c>
      <c r="X203" s="71">
        <f t="shared" ref="X203" si="766">V203</f>
        <v>90.9</v>
      </c>
      <c r="Y203" s="71">
        <f t="shared" ref="Y203:AA203" si="767">X203</f>
        <v>90.9</v>
      </c>
      <c r="Z203" s="71">
        <f t="shared" si="767"/>
        <v>90.9</v>
      </c>
      <c r="AA203" s="71">
        <f t="shared" si="767"/>
        <v>90.9</v>
      </c>
      <c r="AB203" s="99">
        <f t="shared" si="756"/>
        <v>90.9</v>
      </c>
      <c r="AC203" s="71">
        <f t="shared" ref="AC203" si="768">AA203</f>
        <v>90.9</v>
      </c>
      <c r="AD203" s="71">
        <f t="shared" ref="AD203:AF203" si="769">AC203</f>
        <v>90.9</v>
      </c>
      <c r="AE203" s="71">
        <f t="shared" si="769"/>
        <v>90.9</v>
      </c>
      <c r="AF203" s="71">
        <f t="shared" si="769"/>
        <v>90.9</v>
      </c>
      <c r="AG203" s="99">
        <f t="shared" si="758"/>
        <v>90.9</v>
      </c>
      <c r="AH203" s="71">
        <f t="shared" ref="AH203" si="770">AF203</f>
        <v>90.9</v>
      </c>
      <c r="AI203" s="71">
        <f t="shared" ref="AI203:AK203" si="771">AH203</f>
        <v>90.9</v>
      </c>
      <c r="AJ203" s="71">
        <f t="shared" si="771"/>
        <v>90.9</v>
      </c>
      <c r="AK203" s="71">
        <f t="shared" si="771"/>
        <v>90.9</v>
      </c>
      <c r="AL203" s="99">
        <f t="shared" si="760"/>
        <v>90.9</v>
      </c>
    </row>
    <row r="204" spans="1:38" outlineLevel="1">
      <c r="A204" s="453"/>
      <c r="B204" s="342" t="s">
        <v>312</v>
      </c>
      <c r="C204" s="343"/>
      <c r="D204" s="98">
        <v>0</v>
      </c>
      <c r="E204" s="98">
        <v>0</v>
      </c>
      <c r="F204" s="98">
        <v>0</v>
      </c>
      <c r="G204" s="98">
        <v>0</v>
      </c>
      <c r="H204" s="99">
        <f t="shared" si="750"/>
        <v>0</v>
      </c>
      <c r="I204" s="98">
        <v>1268.9000000000001</v>
      </c>
      <c r="J204" s="98">
        <v>1253.5</v>
      </c>
      <c r="K204" s="98">
        <v>1237.0999999999999</v>
      </c>
      <c r="L204" s="71">
        <f>K204*0.99</f>
        <v>1224.7289999999998</v>
      </c>
      <c r="M204" s="99">
        <f t="shared" si="751"/>
        <v>1224.7289999999998</v>
      </c>
      <c r="N204" s="71">
        <f>L204*0.99</f>
        <v>1212.4817099999998</v>
      </c>
      <c r="O204" s="71">
        <f>N204*0.99</f>
        <v>1200.3568928999998</v>
      </c>
      <c r="P204" s="71">
        <f>O204*0.99</f>
        <v>1188.3533239709998</v>
      </c>
      <c r="Q204" s="71">
        <f>P204*0.99</f>
        <v>1176.4697907312898</v>
      </c>
      <c r="R204" s="99">
        <f t="shared" si="752"/>
        <v>1176.4697907312898</v>
      </c>
      <c r="S204" s="71">
        <f>Q204*0.99</f>
        <v>1164.7050928239769</v>
      </c>
      <c r="T204" s="71">
        <f>S204*0.99</f>
        <v>1153.058041895737</v>
      </c>
      <c r="U204" s="71">
        <f>T204*0.99</f>
        <v>1141.5274614767795</v>
      </c>
      <c r="V204" s="71">
        <f>U204*0.99</f>
        <v>1130.1121868620116</v>
      </c>
      <c r="W204" s="99">
        <f t="shared" si="754"/>
        <v>1130.1121868620116</v>
      </c>
      <c r="X204" s="71">
        <f>V204*0.99</f>
        <v>1118.8110649933915</v>
      </c>
      <c r="Y204" s="71">
        <f>X204*0.99</f>
        <v>1107.6229543434576</v>
      </c>
      <c r="Z204" s="71">
        <f>Y204*0.99</f>
        <v>1096.546724800023</v>
      </c>
      <c r="AA204" s="71">
        <f>Z204*0.99</f>
        <v>1085.5812575520226</v>
      </c>
      <c r="AB204" s="99">
        <f t="shared" si="756"/>
        <v>1085.5812575520226</v>
      </c>
      <c r="AC204" s="71">
        <f>AA204*0.99</f>
        <v>1074.7254449765023</v>
      </c>
      <c r="AD204" s="71">
        <f>AC204*0.99</f>
        <v>1063.9781905267373</v>
      </c>
      <c r="AE204" s="71">
        <f>AD204*0.99</f>
        <v>1053.3384086214699</v>
      </c>
      <c r="AF204" s="71">
        <f>AE204*0.99</f>
        <v>1042.8050245352551</v>
      </c>
      <c r="AG204" s="99">
        <f t="shared" si="758"/>
        <v>1042.8050245352551</v>
      </c>
      <c r="AH204" s="71">
        <f>AF204*0.99</f>
        <v>1032.3769742899026</v>
      </c>
      <c r="AI204" s="71">
        <f>AH204*0.99</f>
        <v>1022.0532045470036</v>
      </c>
      <c r="AJ204" s="71">
        <f>AI204*0.99</f>
        <v>1011.8326725015336</v>
      </c>
      <c r="AK204" s="71">
        <f>AJ204*0.99</f>
        <v>1001.7143457765183</v>
      </c>
      <c r="AL204" s="99">
        <f t="shared" si="760"/>
        <v>1001.7143457765183</v>
      </c>
    </row>
    <row r="205" spans="1:38" outlineLevel="1">
      <c r="A205" s="453"/>
      <c r="B205" s="429" t="s">
        <v>228</v>
      </c>
      <c r="C205" s="430"/>
      <c r="D205" s="98">
        <v>1554.2</v>
      </c>
      <c r="E205" s="98">
        <v>1311.4</v>
      </c>
      <c r="F205" s="98">
        <v>1300.2</v>
      </c>
      <c r="G205" s="98">
        <v>1269</v>
      </c>
      <c r="H205" s="99">
        <f t="shared" si="750"/>
        <v>1269</v>
      </c>
      <c r="I205" s="98">
        <v>1694.1</v>
      </c>
      <c r="J205" s="98">
        <v>1436.3</v>
      </c>
      <c r="K205" s="98">
        <v>1463.3</v>
      </c>
      <c r="L205" s="71">
        <f>K205*0.99</f>
        <v>1448.6669999999999</v>
      </c>
      <c r="M205" s="99">
        <f t="shared" ref="M205:M212" si="772">L205</f>
        <v>1448.6669999999999</v>
      </c>
      <c r="N205" s="71">
        <f>L205*1.3</f>
        <v>1883.2671</v>
      </c>
      <c r="O205" s="71">
        <f>N205*0.85</f>
        <v>1600.7770350000001</v>
      </c>
      <c r="P205" s="71">
        <f>O205*0.99</f>
        <v>1584.76926465</v>
      </c>
      <c r="Q205" s="71">
        <f>P205*0.99</f>
        <v>1568.9215720034999</v>
      </c>
      <c r="R205" s="99">
        <f t="shared" si="752"/>
        <v>1568.9215720034999</v>
      </c>
      <c r="S205" s="71">
        <f>Q205*1.3</f>
        <v>2039.59804360455</v>
      </c>
      <c r="T205" s="71">
        <f>S205*0.85</f>
        <v>1733.6583370638675</v>
      </c>
      <c r="U205" s="71">
        <f>T205*0.99</f>
        <v>1716.3217536932289</v>
      </c>
      <c r="V205" s="71">
        <f>U205*0.99</f>
        <v>1699.1585361562966</v>
      </c>
      <c r="W205" s="99">
        <f t="shared" si="754"/>
        <v>1699.1585361562966</v>
      </c>
      <c r="X205" s="71">
        <f>V205*1.3</f>
        <v>2208.9060970031856</v>
      </c>
      <c r="Y205" s="71">
        <f>X205*0.85</f>
        <v>1877.5701824527077</v>
      </c>
      <c r="Z205" s="71">
        <f>Y205*0.99</f>
        <v>1858.7944806281807</v>
      </c>
      <c r="AA205" s="71">
        <f>Z205*0.99</f>
        <v>1840.206535821899</v>
      </c>
      <c r="AB205" s="99">
        <f t="shared" si="756"/>
        <v>1840.206535821899</v>
      </c>
      <c r="AC205" s="71">
        <f>AA205*1.3</f>
        <v>2392.2684965684689</v>
      </c>
      <c r="AD205" s="71">
        <f>AC205*0.85</f>
        <v>2033.4282220831985</v>
      </c>
      <c r="AE205" s="71">
        <f>AD205*0.99</f>
        <v>2013.0939398623666</v>
      </c>
      <c r="AF205" s="71">
        <f>AE205*0.99</f>
        <v>1992.9630004637429</v>
      </c>
      <c r="AG205" s="99">
        <f t="shared" si="758"/>
        <v>1992.9630004637429</v>
      </c>
      <c r="AH205" s="71">
        <f>AF205*1.3</f>
        <v>2590.851900602866</v>
      </c>
      <c r="AI205" s="71">
        <f>AH205*0.85</f>
        <v>2202.2241155124361</v>
      </c>
      <c r="AJ205" s="71">
        <f>AI205*0.99</f>
        <v>2180.2018743573117</v>
      </c>
      <c r="AK205" s="71">
        <f>AJ205*0.99</f>
        <v>2158.3998556137385</v>
      </c>
      <c r="AL205" s="99">
        <f t="shared" si="760"/>
        <v>2158.3998556137385</v>
      </c>
    </row>
    <row r="206" spans="1:38" outlineLevel="1">
      <c r="A206" s="453"/>
      <c r="B206" s="429" t="s">
        <v>316</v>
      </c>
      <c r="C206" s="450"/>
      <c r="D206" s="98">
        <v>0</v>
      </c>
      <c r="E206" s="98">
        <f>75+0</f>
        <v>75</v>
      </c>
      <c r="F206" s="98">
        <v>0</v>
      </c>
      <c r="G206" s="98">
        <v>0</v>
      </c>
      <c r="H206" s="99">
        <f t="shared" si="750"/>
        <v>0</v>
      </c>
      <c r="I206" s="98">
        <f>497.9+498.7</f>
        <v>996.59999999999991</v>
      </c>
      <c r="J206" s="98">
        <f>1107.1+1249.4</f>
        <v>2356.5</v>
      </c>
      <c r="K206" s="98">
        <f>936.5+1249.6</f>
        <v>2186.1</v>
      </c>
      <c r="L206" s="71">
        <f>K206-437</f>
        <v>1749.1</v>
      </c>
      <c r="M206" s="99">
        <f t="shared" si="772"/>
        <v>1749.1</v>
      </c>
      <c r="N206" s="71">
        <f>L206-437</f>
        <v>1312.1</v>
      </c>
      <c r="O206" s="71">
        <f>N206-437</f>
        <v>875.09999999999991</v>
      </c>
      <c r="P206" s="71">
        <f>O206-437</f>
        <v>438.09999999999991</v>
      </c>
      <c r="Q206" s="71">
        <v>1000</v>
      </c>
      <c r="R206" s="99">
        <f t="shared" si="752"/>
        <v>1000</v>
      </c>
      <c r="S206" s="71">
        <v>750</v>
      </c>
      <c r="T206" s="71">
        <v>500</v>
      </c>
      <c r="U206" s="71">
        <v>250</v>
      </c>
      <c r="V206" s="71">
        <v>1000</v>
      </c>
      <c r="W206" s="99">
        <f t="shared" si="754"/>
        <v>1000</v>
      </c>
      <c r="X206" s="71">
        <v>750</v>
      </c>
      <c r="Y206" s="71">
        <v>500</v>
      </c>
      <c r="Z206" s="71">
        <v>250</v>
      </c>
      <c r="AA206" s="71">
        <v>1543</v>
      </c>
      <c r="AB206" s="99">
        <f t="shared" si="756"/>
        <v>1543</v>
      </c>
      <c r="AC206" s="71">
        <f>1543-385.75</f>
        <v>1157.25</v>
      </c>
      <c r="AD206" s="71">
        <f>AC206-385.75</f>
        <v>771.5</v>
      </c>
      <c r="AE206" s="71">
        <f>AD206-385.75</f>
        <v>385.75</v>
      </c>
      <c r="AF206" s="71">
        <v>3000</v>
      </c>
      <c r="AG206" s="99">
        <f t="shared" si="758"/>
        <v>3000</v>
      </c>
      <c r="AH206" s="71">
        <f>AF206-750</f>
        <v>2250</v>
      </c>
      <c r="AI206" s="71">
        <f>AH206-750</f>
        <v>1500</v>
      </c>
      <c r="AJ206" s="71">
        <f>AI206-750</f>
        <v>750</v>
      </c>
      <c r="AK206" s="71">
        <v>2000</v>
      </c>
      <c r="AL206" s="99">
        <f t="shared" si="760"/>
        <v>2000</v>
      </c>
    </row>
    <row r="207" spans="1:38" ht="17.25" outlineLevel="1">
      <c r="A207" s="453"/>
      <c r="B207" s="429" t="s">
        <v>309</v>
      </c>
      <c r="C207" s="450"/>
      <c r="D207" s="278">
        <v>208.8</v>
      </c>
      <c r="E207" s="278">
        <v>221</v>
      </c>
      <c r="F207" s="278">
        <v>211.5</v>
      </c>
      <c r="G207" s="278">
        <v>0</v>
      </c>
      <c r="H207" s="271">
        <f t="shared" si="750"/>
        <v>0</v>
      </c>
      <c r="I207" s="278">
        <v>0</v>
      </c>
      <c r="J207" s="278">
        <v>0</v>
      </c>
      <c r="K207" s="278">
        <v>0</v>
      </c>
      <c r="L207" s="69">
        <v>0</v>
      </c>
      <c r="M207" s="271">
        <f t="shared" si="772"/>
        <v>0</v>
      </c>
      <c r="N207" s="69">
        <v>0</v>
      </c>
      <c r="O207" s="69">
        <v>0</v>
      </c>
      <c r="P207" s="69">
        <v>0</v>
      </c>
      <c r="Q207" s="69">
        <v>0</v>
      </c>
      <c r="R207" s="271">
        <f t="shared" si="752"/>
        <v>0</v>
      </c>
      <c r="S207" s="69">
        <v>0</v>
      </c>
      <c r="T207" s="69">
        <v>0</v>
      </c>
      <c r="U207" s="69">
        <v>0</v>
      </c>
      <c r="V207" s="69">
        <v>0</v>
      </c>
      <c r="W207" s="271">
        <f t="shared" si="754"/>
        <v>0</v>
      </c>
      <c r="X207" s="69">
        <v>0</v>
      </c>
      <c r="Y207" s="69">
        <v>0</v>
      </c>
      <c r="Z207" s="69">
        <v>0</v>
      </c>
      <c r="AA207" s="69">
        <v>0</v>
      </c>
      <c r="AB207" s="271">
        <f t="shared" si="756"/>
        <v>0</v>
      </c>
      <c r="AC207" s="69">
        <v>0</v>
      </c>
      <c r="AD207" s="69">
        <v>0</v>
      </c>
      <c r="AE207" s="69">
        <v>0</v>
      </c>
      <c r="AF207" s="69">
        <v>0</v>
      </c>
      <c r="AG207" s="271">
        <f t="shared" si="758"/>
        <v>0</v>
      </c>
      <c r="AH207" s="69">
        <v>0</v>
      </c>
      <c r="AI207" s="69">
        <v>0</v>
      </c>
      <c r="AJ207" s="69">
        <v>0</v>
      </c>
      <c r="AK207" s="69">
        <v>0</v>
      </c>
      <c r="AL207" s="271">
        <f t="shared" si="760"/>
        <v>0</v>
      </c>
    </row>
    <row r="208" spans="1:38" outlineLevel="1">
      <c r="A208" s="453"/>
      <c r="B208" s="451" t="s">
        <v>8</v>
      </c>
      <c r="C208" s="450"/>
      <c r="D208" s="97">
        <f t="shared" ref="D208:K208" si="773">SUM(D200:D207)</f>
        <v>5427.5</v>
      </c>
      <c r="E208" s="97">
        <f t="shared" si="773"/>
        <v>5273.4</v>
      </c>
      <c r="F208" s="97">
        <f t="shared" si="773"/>
        <v>5895.8</v>
      </c>
      <c r="G208" s="97">
        <f t="shared" si="773"/>
        <v>6168.7</v>
      </c>
      <c r="H208" s="272">
        <f t="shared" si="773"/>
        <v>6168.7</v>
      </c>
      <c r="I208" s="97">
        <f t="shared" si="773"/>
        <v>8675.5</v>
      </c>
      <c r="J208" s="97">
        <f t="shared" si="773"/>
        <v>8265.7999999999993</v>
      </c>
      <c r="K208" s="97">
        <f t="shared" si="773"/>
        <v>8002</v>
      </c>
      <c r="L208" s="97">
        <f t="shared" ref="L208:Q208" si="774">SUM(L200:L206)</f>
        <v>7745.2321623726275</v>
      </c>
      <c r="M208" s="272">
        <f t="shared" si="774"/>
        <v>7745.2321623726275</v>
      </c>
      <c r="N208" s="97">
        <f t="shared" si="774"/>
        <v>7737.9459442613843</v>
      </c>
      <c r="O208" s="97">
        <f t="shared" si="774"/>
        <v>6774.6361975424061</v>
      </c>
      <c r="P208" s="97">
        <f t="shared" si="774"/>
        <v>6083.3629346940543</v>
      </c>
      <c r="Q208" s="97">
        <f t="shared" si="774"/>
        <v>6986.9821282200201</v>
      </c>
      <c r="R208" s="272">
        <f t="shared" ref="R208:V208" si="775">SUM(R200:R206)</f>
        <v>6986.9821282200201</v>
      </c>
      <c r="S208" s="97">
        <f t="shared" si="775"/>
        <v>7247.3217276430505</v>
      </c>
      <c r="T208" s="97">
        <f t="shared" si="775"/>
        <v>6286.8992914395567</v>
      </c>
      <c r="U208" s="97">
        <f t="shared" si="775"/>
        <v>5969.6789420204732</v>
      </c>
      <c r="V208" s="97">
        <f t="shared" si="775"/>
        <v>7312.6442898977175</v>
      </c>
      <c r="W208" s="272">
        <f t="shared" ref="W208:AA208" si="776">SUM(W200:W206)</f>
        <v>7312.6442898977175</v>
      </c>
      <c r="X208" s="97">
        <f t="shared" si="776"/>
        <v>7583.1219092010488</v>
      </c>
      <c r="Y208" s="97">
        <f t="shared" si="776"/>
        <v>6492.5670480080234</v>
      </c>
      <c r="Z208" s="97">
        <f t="shared" si="776"/>
        <v>6215.0561937767234</v>
      </c>
      <c r="AA208" s="97">
        <f t="shared" si="776"/>
        <v>8066.5698326605534</v>
      </c>
      <c r="AB208" s="272">
        <f t="shared" ref="AB208:AF208" si="777">SUM(AB200:AB206)</f>
        <v>8066.5698326605534</v>
      </c>
      <c r="AC208" s="97">
        <f t="shared" si="777"/>
        <v>8266.8149006909025</v>
      </c>
      <c r="AD208" s="97">
        <f t="shared" si="777"/>
        <v>6967.0644529680621</v>
      </c>
      <c r="AE208" s="97">
        <f t="shared" si="777"/>
        <v>6551.7486037205281</v>
      </c>
      <c r="AF208" s="97">
        <f t="shared" si="777"/>
        <v>9739.4436059238178</v>
      </c>
      <c r="AG208" s="272">
        <f t="shared" ref="AG208:AK208" si="778">SUM(AG200:AG206)</f>
        <v>9739.4436059238178</v>
      </c>
      <c r="AH208" s="97">
        <f t="shared" si="778"/>
        <v>9674.2108650942846</v>
      </c>
      <c r="AI208" s="97">
        <f t="shared" si="778"/>
        <v>7924.0761722247462</v>
      </c>
      <c r="AJ208" s="97">
        <f t="shared" si="778"/>
        <v>7154.6377933341264</v>
      </c>
      <c r="AK208" s="97">
        <f t="shared" si="778"/>
        <v>9001.0123971080102</v>
      </c>
      <c r="AL208" s="272">
        <f t="shared" ref="AL208" si="779">SUM(AL200:AL206)</f>
        <v>9001.0123971080102</v>
      </c>
    </row>
    <row r="209" spans="1:38" outlineLevel="1">
      <c r="A209" s="453"/>
      <c r="B209" s="429" t="s">
        <v>229</v>
      </c>
      <c r="C209" s="450"/>
      <c r="D209" s="98">
        <v>9130.7000000000007</v>
      </c>
      <c r="E209" s="98">
        <v>9141.5</v>
      </c>
      <c r="F209" s="98">
        <v>11159.1</v>
      </c>
      <c r="G209" s="98">
        <v>11167</v>
      </c>
      <c r="H209" s="99">
        <f t="shared" si="750"/>
        <v>11167</v>
      </c>
      <c r="I209" s="98">
        <v>10653.2</v>
      </c>
      <c r="J209" s="98">
        <v>11658.7</v>
      </c>
      <c r="K209" s="98">
        <v>14645.6</v>
      </c>
      <c r="L209" s="71">
        <f>K209</f>
        <v>14645.6</v>
      </c>
      <c r="M209" s="99">
        <f t="shared" si="772"/>
        <v>14645.6</v>
      </c>
      <c r="N209" s="71">
        <f>L209</f>
        <v>14645.6</v>
      </c>
      <c r="O209" s="71">
        <f>N209</f>
        <v>14645.6</v>
      </c>
      <c r="P209" s="71">
        <f>O209</f>
        <v>14645.6</v>
      </c>
      <c r="Q209" s="484">
        <f>P209-500</f>
        <v>14145.6</v>
      </c>
      <c r="R209" s="99">
        <f t="shared" si="752"/>
        <v>14145.6</v>
      </c>
      <c r="S209" s="484">
        <f>Q209</f>
        <v>14145.6</v>
      </c>
      <c r="T209" s="484">
        <f>S209</f>
        <v>14145.6</v>
      </c>
      <c r="U209" s="484">
        <f t="shared" ref="U209" si="780">T209</f>
        <v>14145.6</v>
      </c>
      <c r="V209" s="484">
        <f>U209-100</f>
        <v>14045.6</v>
      </c>
      <c r="W209" s="99">
        <f t="shared" si="754"/>
        <v>14045.6</v>
      </c>
      <c r="X209" s="484">
        <f>V209</f>
        <v>14045.6</v>
      </c>
      <c r="Y209" s="484">
        <f>X209</f>
        <v>14045.6</v>
      </c>
      <c r="Z209" s="484">
        <f t="shared" ref="Z209" si="781">Y209</f>
        <v>14045.6</v>
      </c>
      <c r="AA209" s="484">
        <f>Z209-100</f>
        <v>13945.6</v>
      </c>
      <c r="AB209" s="99">
        <f t="shared" si="756"/>
        <v>13945.6</v>
      </c>
      <c r="AC209" s="484">
        <f>AA209</f>
        <v>13945.6</v>
      </c>
      <c r="AD209" s="484">
        <f>AC209</f>
        <v>13945.6</v>
      </c>
      <c r="AE209" s="484">
        <f t="shared" ref="AE209" si="782">AD209</f>
        <v>13945.6</v>
      </c>
      <c r="AF209" s="484">
        <f>AE209-100</f>
        <v>13845.6</v>
      </c>
      <c r="AG209" s="99">
        <f t="shared" si="758"/>
        <v>13845.6</v>
      </c>
      <c r="AH209" s="484">
        <f>AF209</f>
        <v>13845.6</v>
      </c>
      <c r="AI209" s="484">
        <f>AH209</f>
        <v>13845.6</v>
      </c>
      <c r="AJ209" s="484">
        <f t="shared" ref="AJ209" si="783">AI209</f>
        <v>13845.6</v>
      </c>
      <c r="AK209" s="484">
        <f>AJ209-100</f>
        <v>13745.6</v>
      </c>
      <c r="AL209" s="99">
        <f t="shared" si="760"/>
        <v>13745.6</v>
      </c>
    </row>
    <row r="210" spans="1:38" outlineLevel="1">
      <c r="A210" s="453"/>
      <c r="B210" s="342" t="s">
        <v>317</v>
      </c>
      <c r="C210" s="258"/>
      <c r="D210" s="98">
        <v>0</v>
      </c>
      <c r="E210" s="98">
        <v>0</v>
      </c>
      <c r="F210" s="98">
        <v>0</v>
      </c>
      <c r="G210" s="98">
        <v>0</v>
      </c>
      <c r="H210" s="99">
        <f t="shared" si="750"/>
        <v>0</v>
      </c>
      <c r="I210" s="98">
        <v>7711.7</v>
      </c>
      <c r="J210" s="98">
        <v>7650.4</v>
      </c>
      <c r="K210" s="98">
        <v>7653.6</v>
      </c>
      <c r="L210" s="71">
        <f>K210*0.99</f>
        <v>7577.0640000000003</v>
      </c>
      <c r="M210" s="99">
        <f>L210</f>
        <v>7577.0640000000003</v>
      </c>
      <c r="N210" s="71">
        <f>L210*0.99</f>
        <v>7501.2933600000006</v>
      </c>
      <c r="O210" s="71">
        <f>N210*0.99</f>
        <v>7426.2804264000006</v>
      </c>
      <c r="P210" s="71">
        <f>O210*0.99</f>
        <v>7352.0176221360007</v>
      </c>
      <c r="Q210" s="71">
        <f>P210*0.99</f>
        <v>7278.4974459146406</v>
      </c>
      <c r="R210" s="99">
        <f>Q210</f>
        <v>7278.4974459146406</v>
      </c>
      <c r="S210" s="71">
        <f>Q210*0.99</f>
        <v>7205.7124714554939</v>
      </c>
      <c r="T210" s="71">
        <f>S210*0.99</f>
        <v>7133.6553467409385</v>
      </c>
      <c r="U210" s="71">
        <f>T210*0.99</f>
        <v>7062.3187932735291</v>
      </c>
      <c r="V210" s="71">
        <f>U210*0.99</f>
        <v>6991.6956053407939</v>
      </c>
      <c r="W210" s="99">
        <f>V210</f>
        <v>6991.6956053407939</v>
      </c>
      <c r="X210" s="71">
        <f>V210*0.99</f>
        <v>6921.7786492873856</v>
      </c>
      <c r="Y210" s="71">
        <f>X210*0.99</f>
        <v>6852.5608627945121</v>
      </c>
      <c r="Z210" s="71">
        <f>Y210*0.99</f>
        <v>6784.035254166567</v>
      </c>
      <c r="AA210" s="71">
        <f>Z210*0.99</f>
        <v>6716.1949016249009</v>
      </c>
      <c r="AB210" s="99">
        <f>AA210</f>
        <v>6716.1949016249009</v>
      </c>
      <c r="AC210" s="71">
        <f>AA210*0.99</f>
        <v>6649.0329526086516</v>
      </c>
      <c r="AD210" s="71">
        <f>AC210*0.99</f>
        <v>6582.5426230825651</v>
      </c>
      <c r="AE210" s="71">
        <f>AD210*0.99</f>
        <v>6516.7171968517396</v>
      </c>
      <c r="AF210" s="71">
        <f>AE210*0.99</f>
        <v>6451.5500248832222</v>
      </c>
      <c r="AG210" s="99">
        <f>AF210</f>
        <v>6451.5500248832222</v>
      </c>
      <c r="AH210" s="71">
        <f>AF210*0.99</f>
        <v>6387.0345246343895</v>
      </c>
      <c r="AI210" s="71">
        <f>AH210*0.99</f>
        <v>6323.1641793880453</v>
      </c>
      <c r="AJ210" s="71">
        <f>AI210*0.99</f>
        <v>6259.9325375941644</v>
      </c>
      <c r="AK210" s="71">
        <f>AJ210*0.99</f>
        <v>6197.3332122182228</v>
      </c>
      <c r="AL210" s="99">
        <f t="shared" si="760"/>
        <v>6197.3332122182228</v>
      </c>
    </row>
    <row r="211" spans="1:38" outlineLevel="1">
      <c r="A211" s="453"/>
      <c r="B211" s="58" t="s">
        <v>238</v>
      </c>
      <c r="C211" s="258"/>
      <c r="D211" s="98">
        <v>6823.7</v>
      </c>
      <c r="E211" s="98">
        <v>6761.9</v>
      </c>
      <c r="F211" s="98">
        <v>6717.9</v>
      </c>
      <c r="G211" s="98">
        <v>6744.4</v>
      </c>
      <c r="H211" s="99">
        <f>G211</f>
        <v>6744.4</v>
      </c>
      <c r="I211" s="98">
        <v>6748.8</v>
      </c>
      <c r="J211" s="98">
        <v>6685.5</v>
      </c>
      <c r="K211" s="98">
        <v>6642.6</v>
      </c>
      <c r="L211" s="71">
        <f>K211*0.996</f>
        <v>6616.0296000000008</v>
      </c>
      <c r="M211" s="99">
        <f>L211</f>
        <v>6616.0296000000008</v>
      </c>
      <c r="N211" s="71">
        <f>L211*0.996</f>
        <v>6589.5654816000006</v>
      </c>
      <c r="O211" s="71">
        <f t="shared" ref="O211:Q211" si="784">N211*0.996</f>
        <v>6563.2072196736008</v>
      </c>
      <c r="P211" s="71">
        <f t="shared" si="784"/>
        <v>6536.9543907949064</v>
      </c>
      <c r="Q211" s="71">
        <f t="shared" si="784"/>
        <v>6510.8065732317264</v>
      </c>
      <c r="R211" s="99">
        <f>Q211</f>
        <v>6510.8065732317264</v>
      </c>
      <c r="S211" s="71">
        <f>Q211*0.996</f>
        <v>6484.7633469387993</v>
      </c>
      <c r="T211" s="71">
        <f t="shared" ref="T211:V211" si="785">S211*0.996</f>
        <v>6458.8242935510443</v>
      </c>
      <c r="U211" s="71">
        <f t="shared" si="785"/>
        <v>6432.9889963768401</v>
      </c>
      <c r="V211" s="71">
        <f t="shared" si="785"/>
        <v>6407.2570403913323</v>
      </c>
      <c r="W211" s="99">
        <f>V211</f>
        <v>6407.2570403913323</v>
      </c>
      <c r="X211" s="71">
        <f>V211*0.996</f>
        <v>6381.6280122297667</v>
      </c>
      <c r="Y211" s="71">
        <f t="shared" ref="Y211:AA211" si="786">X211*0.996</f>
        <v>6356.1015001808473</v>
      </c>
      <c r="Z211" s="71">
        <f t="shared" si="786"/>
        <v>6330.6770941801242</v>
      </c>
      <c r="AA211" s="71">
        <f t="shared" si="786"/>
        <v>6305.3543858034036</v>
      </c>
      <c r="AB211" s="99">
        <f>AA211</f>
        <v>6305.3543858034036</v>
      </c>
      <c r="AC211" s="71">
        <f>AA211*0.996</f>
        <v>6280.13296826019</v>
      </c>
      <c r="AD211" s="71">
        <f t="shared" ref="AD211:AF211" si="787">AC211*0.996</f>
        <v>6255.0124363871491</v>
      </c>
      <c r="AE211" s="71">
        <f t="shared" si="787"/>
        <v>6229.9923866416002</v>
      </c>
      <c r="AF211" s="71">
        <f t="shared" si="787"/>
        <v>6205.0724170950334</v>
      </c>
      <c r="AG211" s="99">
        <f>AF211</f>
        <v>6205.0724170950334</v>
      </c>
      <c r="AH211" s="71">
        <f>AF211*0.996</f>
        <v>6180.2521274266528</v>
      </c>
      <c r="AI211" s="71">
        <f t="shared" ref="AI211:AK211" si="788">AH211*0.996</f>
        <v>6155.5311189169461</v>
      </c>
      <c r="AJ211" s="71">
        <f t="shared" si="788"/>
        <v>6130.9089944412781</v>
      </c>
      <c r="AK211" s="71">
        <f t="shared" si="788"/>
        <v>6106.3853584635126</v>
      </c>
      <c r="AL211" s="99">
        <f>AK211</f>
        <v>6106.3853584635126</v>
      </c>
    </row>
    <row r="212" spans="1:38" ht="15.75" customHeight="1" outlineLevel="1">
      <c r="A212" s="453"/>
      <c r="B212" s="520" t="s">
        <v>230</v>
      </c>
      <c r="C212" s="521"/>
      <c r="D212" s="278">
        <v>1478.2</v>
      </c>
      <c r="E212" s="278">
        <v>1500.3</v>
      </c>
      <c r="F212" s="278">
        <v>1440.6</v>
      </c>
      <c r="G212" s="278">
        <v>1370.5</v>
      </c>
      <c r="H212" s="271">
        <f t="shared" si="750"/>
        <v>1370.5</v>
      </c>
      <c r="I212" s="278">
        <v>701.2</v>
      </c>
      <c r="J212" s="278">
        <v>751.4</v>
      </c>
      <c r="K212" s="278">
        <v>821.1</v>
      </c>
      <c r="L212" s="69">
        <f t="shared" ref="L212" si="789">K212*1.015</f>
        <v>833.41649999999993</v>
      </c>
      <c r="M212" s="271">
        <f t="shared" si="772"/>
        <v>833.41649999999993</v>
      </c>
      <c r="N212" s="69">
        <f>L212*1.015</f>
        <v>845.91774749999979</v>
      </c>
      <c r="O212" s="69">
        <f t="shared" ref="O212:Q212" si="790">N212*1.015</f>
        <v>858.60651371249969</v>
      </c>
      <c r="P212" s="69">
        <f t="shared" si="790"/>
        <v>871.48561141818709</v>
      </c>
      <c r="Q212" s="69">
        <f t="shared" si="790"/>
        <v>884.5578955894598</v>
      </c>
      <c r="R212" s="271">
        <f t="shared" si="752"/>
        <v>884.5578955894598</v>
      </c>
      <c r="S212" s="69">
        <f>Q212*1.015</f>
        <v>897.82626402330163</v>
      </c>
      <c r="T212" s="69">
        <f t="shared" ref="T212:V212" si="791">S212*1.015</f>
        <v>911.29365798365109</v>
      </c>
      <c r="U212" s="69">
        <f t="shared" si="791"/>
        <v>924.96306285340575</v>
      </c>
      <c r="V212" s="69">
        <f t="shared" si="791"/>
        <v>938.83750879620675</v>
      </c>
      <c r="W212" s="271">
        <f t="shared" si="754"/>
        <v>938.83750879620675</v>
      </c>
      <c r="X212" s="69">
        <f>V212*1.015</f>
        <v>952.92007142814975</v>
      </c>
      <c r="Y212" s="69">
        <f t="shared" ref="Y212:AA212" si="792">X212*1.015</f>
        <v>967.21387249957195</v>
      </c>
      <c r="Z212" s="69">
        <f t="shared" si="792"/>
        <v>981.72208058706542</v>
      </c>
      <c r="AA212" s="69">
        <f t="shared" si="792"/>
        <v>996.44791179587128</v>
      </c>
      <c r="AB212" s="271">
        <f t="shared" si="756"/>
        <v>996.44791179587128</v>
      </c>
      <c r="AC212" s="69">
        <f>AA212*1.015</f>
        <v>1011.3946304728092</v>
      </c>
      <c r="AD212" s="69">
        <f t="shared" ref="AD212" si="793">AC212*1.015</f>
        <v>1026.5655499299012</v>
      </c>
      <c r="AE212" s="69">
        <f t="shared" ref="AE212" si="794">AD212*1.015</f>
        <v>1041.9640331788496</v>
      </c>
      <c r="AF212" s="69">
        <f t="shared" ref="AF212" si="795">AE212*1.015</f>
        <v>1057.5934936765323</v>
      </c>
      <c r="AG212" s="271">
        <f t="shared" si="758"/>
        <v>1057.5934936765323</v>
      </c>
      <c r="AH212" s="69">
        <f>AF212*1.015</f>
        <v>1073.4573960816801</v>
      </c>
      <c r="AI212" s="69">
        <f t="shared" ref="AI212" si="796">AH212*1.015</f>
        <v>1089.5592570229053</v>
      </c>
      <c r="AJ212" s="69">
        <f t="shared" ref="AJ212" si="797">AI212*1.015</f>
        <v>1105.9026458782487</v>
      </c>
      <c r="AK212" s="69">
        <f t="shared" ref="AK212" si="798">AJ212*1.015</f>
        <v>1122.4911855664222</v>
      </c>
      <c r="AL212" s="271">
        <f t="shared" si="760"/>
        <v>1122.4911855664222</v>
      </c>
    </row>
    <row r="213" spans="1:38" outlineLevel="1">
      <c r="A213" s="453"/>
      <c r="B213" s="540" t="s">
        <v>9</v>
      </c>
      <c r="C213" s="541"/>
      <c r="D213" s="97">
        <f t="shared" ref="D213" si="799">SUM(D208:D212)</f>
        <v>22860.100000000002</v>
      </c>
      <c r="E213" s="97">
        <f>SUM(E208:E212)</f>
        <v>22677.1</v>
      </c>
      <c r="F213" s="97">
        <f>SUM(F208:F212)</f>
        <v>25213.4</v>
      </c>
      <c r="G213" s="97">
        <f>SUM(G208:G212)</f>
        <v>25450.6</v>
      </c>
      <c r="H213" s="272">
        <f t="shared" ref="H213" si="800">SUM(H208:H212)</f>
        <v>25450.6</v>
      </c>
      <c r="I213" s="97">
        <f>SUM(I208:I212)</f>
        <v>34490.400000000001</v>
      </c>
      <c r="J213" s="97">
        <f>SUM(J208:J212)</f>
        <v>35011.800000000003</v>
      </c>
      <c r="K213" s="97">
        <f>SUM(K208:K212)</f>
        <v>37764.899999999994</v>
      </c>
      <c r="L213" s="97">
        <f>SUM(L208:L212)</f>
        <v>37417.342262372629</v>
      </c>
      <c r="M213" s="272">
        <f t="shared" ref="M213" si="801">SUM(M208:M212)</f>
        <v>37417.342262372629</v>
      </c>
      <c r="N213" s="97">
        <f>SUM(N208:N212)</f>
        <v>37320.322533361388</v>
      </c>
      <c r="O213" s="97">
        <f>SUM(O208:O212)</f>
        <v>36268.330357328508</v>
      </c>
      <c r="P213" s="97">
        <f>SUM(P208:P212)</f>
        <v>35489.420559043152</v>
      </c>
      <c r="Q213" s="97">
        <f>SUM(Q208:Q212)</f>
        <v>35806.444042955845</v>
      </c>
      <c r="R213" s="272">
        <f t="shared" ref="R213" si="802">SUM(R208:R212)</f>
        <v>35806.444042955845</v>
      </c>
      <c r="S213" s="97">
        <f>SUM(S208:S212)</f>
        <v>35981.223810060648</v>
      </c>
      <c r="T213" s="97">
        <f>SUM(T208:T212)</f>
        <v>34936.27258971519</v>
      </c>
      <c r="U213" s="97">
        <f>SUM(U208:U212)</f>
        <v>34535.549794524253</v>
      </c>
      <c r="V213" s="97">
        <f>SUM(V208:V212)</f>
        <v>35696.034444426048</v>
      </c>
      <c r="W213" s="272">
        <f t="shared" ref="W213" si="803">SUM(W208:W212)</f>
        <v>35696.034444426048</v>
      </c>
      <c r="X213" s="97">
        <f>SUM(X208:X212)</f>
        <v>35885.04864214635</v>
      </c>
      <c r="Y213" s="97">
        <f>SUM(Y208:Y212)</f>
        <v>34714.043283482955</v>
      </c>
      <c r="Z213" s="97">
        <f>SUM(Z208:Z212)</f>
        <v>34357.090622710486</v>
      </c>
      <c r="AA213" s="97">
        <f>SUM(AA208:AA212)</f>
        <v>36030.167031884732</v>
      </c>
      <c r="AB213" s="272">
        <f t="shared" ref="AB213" si="804">SUM(AB208:AB212)</f>
        <v>36030.167031884732</v>
      </c>
      <c r="AC213" s="97">
        <f>SUM(AC208:AC212)</f>
        <v>36152.975452032559</v>
      </c>
      <c r="AD213" s="97">
        <f>SUM(AD208:AD212)</f>
        <v>34776.785062367679</v>
      </c>
      <c r="AE213" s="97">
        <f>SUM(AE208:AE212)</f>
        <v>34286.022220392719</v>
      </c>
      <c r="AF213" s="97">
        <f>SUM(AF208:AF212)</f>
        <v>37299.259541578605</v>
      </c>
      <c r="AG213" s="272">
        <f t="shared" ref="AG213" si="805">SUM(AG208:AG212)</f>
        <v>37299.259541578605</v>
      </c>
      <c r="AH213" s="97">
        <f>SUM(AH208:AH212)</f>
        <v>37160.554913237007</v>
      </c>
      <c r="AI213" s="97">
        <f>SUM(AI208:AI212)</f>
        <v>35337.930727552644</v>
      </c>
      <c r="AJ213" s="97">
        <f>SUM(AJ208:AJ212)</f>
        <v>34496.981971247813</v>
      </c>
      <c r="AK213" s="97">
        <f>SUM(AK208:AK212)</f>
        <v>36172.822153356166</v>
      </c>
      <c r="AL213" s="272">
        <f t="shared" ref="AL213" si="806">SUM(AL208:AL212)</f>
        <v>36172.822153356166</v>
      </c>
    </row>
    <row r="214" spans="1:38" ht="18">
      <c r="A214" s="297"/>
      <c r="B214" s="524" t="s">
        <v>81</v>
      </c>
      <c r="C214" s="525"/>
      <c r="D214" s="36" t="s">
        <v>123</v>
      </c>
      <c r="E214" s="36" t="s">
        <v>281</v>
      </c>
      <c r="F214" s="36" t="s">
        <v>285</v>
      </c>
      <c r="G214" s="36" t="s">
        <v>295</v>
      </c>
      <c r="H214" s="103" t="s">
        <v>296</v>
      </c>
      <c r="I214" s="36" t="s">
        <v>297</v>
      </c>
      <c r="J214" s="36" t="s">
        <v>298</v>
      </c>
      <c r="K214" s="36" t="s">
        <v>299</v>
      </c>
      <c r="L214" s="273" t="s">
        <v>141</v>
      </c>
      <c r="M214" s="274" t="s">
        <v>142</v>
      </c>
      <c r="N214" s="273" t="s">
        <v>143</v>
      </c>
      <c r="O214" s="273" t="s">
        <v>144</v>
      </c>
      <c r="P214" s="273" t="s">
        <v>145</v>
      </c>
      <c r="Q214" s="273" t="s">
        <v>146</v>
      </c>
      <c r="R214" s="274" t="s">
        <v>147</v>
      </c>
      <c r="S214" s="273" t="s">
        <v>148</v>
      </c>
      <c r="T214" s="273" t="s">
        <v>149</v>
      </c>
      <c r="U214" s="273" t="s">
        <v>150</v>
      </c>
      <c r="V214" s="273" t="s">
        <v>151</v>
      </c>
      <c r="W214" s="274" t="s">
        <v>152</v>
      </c>
      <c r="X214" s="273" t="s">
        <v>153</v>
      </c>
      <c r="Y214" s="273" t="s">
        <v>154</v>
      </c>
      <c r="Z214" s="273" t="s">
        <v>155</v>
      </c>
      <c r="AA214" s="273" t="s">
        <v>156</v>
      </c>
      <c r="AB214" s="274" t="s">
        <v>157</v>
      </c>
      <c r="AC214" s="34" t="s">
        <v>290</v>
      </c>
      <c r="AD214" s="34" t="s">
        <v>291</v>
      </c>
      <c r="AE214" s="34" t="s">
        <v>292</v>
      </c>
      <c r="AF214" s="34" t="s">
        <v>293</v>
      </c>
      <c r="AG214" s="106" t="s">
        <v>294</v>
      </c>
      <c r="AH214" s="34" t="s">
        <v>323</v>
      </c>
      <c r="AI214" s="34" t="s">
        <v>324</v>
      </c>
      <c r="AJ214" s="34" t="s">
        <v>325</v>
      </c>
      <c r="AK214" s="34" t="s">
        <v>326</v>
      </c>
      <c r="AL214" s="106" t="s">
        <v>327</v>
      </c>
    </row>
    <row r="215" spans="1:38" outlineLevel="1">
      <c r="A215" s="297"/>
      <c r="B215" s="522" t="s">
        <v>231</v>
      </c>
      <c r="C215" s="523"/>
      <c r="D215" s="38">
        <f>1.2+41.1</f>
        <v>42.300000000000004</v>
      </c>
      <c r="E215" s="38">
        <f>1.2+41.1</f>
        <v>42.300000000000004</v>
      </c>
      <c r="F215" s="38">
        <f>1.2+41.1</f>
        <v>42.300000000000004</v>
      </c>
      <c r="G215" s="38">
        <f>1.2+41.1</f>
        <v>42.300000000000004</v>
      </c>
      <c r="H215" s="39">
        <f>G215</f>
        <v>42.300000000000004</v>
      </c>
      <c r="I215" s="38">
        <f>1.2+41.1</f>
        <v>42.300000000000004</v>
      </c>
      <c r="J215" s="38">
        <f>1.2+41.1</f>
        <v>42.300000000000004</v>
      </c>
      <c r="K215" s="38">
        <f>1.2+115.4</f>
        <v>116.60000000000001</v>
      </c>
      <c r="L215" s="38">
        <f>+K215+L247+L270</f>
        <v>174.28613687715495</v>
      </c>
      <c r="M215" s="39">
        <f>L215</f>
        <v>174.28613687715495</v>
      </c>
      <c r="N215" s="38">
        <f>+L215+N247+N270</f>
        <v>239.68180763142885</v>
      </c>
      <c r="O215" s="38">
        <f>+N215+O247+O270</f>
        <v>290.85920511769029</v>
      </c>
      <c r="P215" s="38">
        <f t="shared" ref="P215:Q215" si="807">+O215+P247+P270</f>
        <v>345.19016506624763</v>
      </c>
      <c r="Q215" s="38">
        <f t="shared" si="807"/>
        <v>417.80108093453526</v>
      </c>
      <c r="R215" s="39">
        <f>Q215</f>
        <v>417.80108093453526</v>
      </c>
      <c r="S215" s="38">
        <f>+Q215+S247+S270</f>
        <v>492.71916625967424</v>
      </c>
      <c r="T215" s="38">
        <f>+S215+T247+T270</f>
        <v>549.93332980171613</v>
      </c>
      <c r="U215" s="38">
        <f t="shared" ref="U215:V215" si="808">+T215+U247+U270</f>
        <v>609.55968326911102</v>
      </c>
      <c r="V215" s="38">
        <f t="shared" si="808"/>
        <v>686.72630001283233</v>
      </c>
      <c r="W215" s="39">
        <f>V215</f>
        <v>686.72630001283233</v>
      </c>
      <c r="X215" s="38">
        <f>+V215+X247+X270</f>
        <v>766.52709563034273</v>
      </c>
      <c r="Y215" s="38">
        <f>+X215+Y247+Y270</f>
        <v>827.11597296141201</v>
      </c>
      <c r="Z215" s="38">
        <f t="shared" ref="Z215:AA215" si="809">+Y215+Z247+Z270</f>
        <v>890.14654125908248</v>
      </c>
      <c r="AA215" s="38">
        <f t="shared" si="809"/>
        <v>970.64374177317177</v>
      </c>
      <c r="AB215" s="39">
        <f>AA215</f>
        <v>970.64374177317177</v>
      </c>
      <c r="AC215" s="38">
        <f>+AA215+AC247+AC270</f>
        <v>1056.0016133978459</v>
      </c>
      <c r="AD215" s="38">
        <f>+AC215+AD247+AD270</f>
        <v>1120.0764971486128</v>
      </c>
      <c r="AE215" s="38">
        <f t="shared" ref="AE215:AF215" si="810">+AD215+AE247+AE270</f>
        <v>1186.8341072661003</v>
      </c>
      <c r="AF215" s="38">
        <f t="shared" si="810"/>
        <v>1271.7965913570804</v>
      </c>
      <c r="AG215" s="39">
        <f>AF215</f>
        <v>1271.7965913570804</v>
      </c>
      <c r="AH215" s="38">
        <f>+AF215+AH247+AH270</f>
        <v>1363.1205676424706</v>
      </c>
      <c r="AI215" s="38">
        <f>+AH215+AI247+AI270</f>
        <v>1431.2327049111486</v>
      </c>
      <c r="AJ215" s="38">
        <f t="shared" ref="AJ215:AK215" si="811">+AI215+AJ247+AJ270</f>
        <v>1502.3107283088677</v>
      </c>
      <c r="AK215" s="38">
        <f t="shared" si="811"/>
        <v>1592.9131545147729</v>
      </c>
      <c r="AL215" s="39">
        <f>AK215</f>
        <v>1592.9131545147729</v>
      </c>
    </row>
    <row r="216" spans="1:38" outlineLevel="1">
      <c r="A216" s="297"/>
      <c r="B216" s="548" t="s">
        <v>39</v>
      </c>
      <c r="C216" s="549"/>
      <c r="D216" s="38">
        <v>-2584</v>
      </c>
      <c r="E216" s="299">
        <v>-4807.7</v>
      </c>
      <c r="F216" s="299">
        <v>-4013.9</v>
      </c>
      <c r="G216" s="299">
        <v>-5771.2</v>
      </c>
      <c r="H216" s="300">
        <f>G216</f>
        <v>-5771.2</v>
      </c>
      <c r="I216" s="299">
        <v>-6414.8</v>
      </c>
      <c r="J216" s="299">
        <v>-7050.6</v>
      </c>
      <c r="K216" s="299">
        <v>-8208.2999999999993</v>
      </c>
      <c r="L216" s="299">
        <f>K216+L241+L268+L269</f>
        <v>-8594.0777665719452</v>
      </c>
      <c r="M216" s="300">
        <f>L216</f>
        <v>-8594.0777665719452</v>
      </c>
      <c r="N216" s="299">
        <f>L216+N241+N268+N269</f>
        <v>-8673.0079005299049</v>
      </c>
      <c r="O216" s="299">
        <f>N216+O241+O268+O269</f>
        <v>-8894.7391557835217</v>
      </c>
      <c r="P216" s="299">
        <f t="shared" ref="P216:Q216" si="812">O216+P241+P268+P269</f>
        <v>-8988.8323345792669</v>
      </c>
      <c r="Q216" s="299">
        <f t="shared" si="812"/>
        <v>-8761.8738148100347</v>
      </c>
      <c r="R216" s="300">
        <f>Q216</f>
        <v>-8761.8738148100347</v>
      </c>
      <c r="S216" s="299">
        <f>Q216+S241+S268+S269</f>
        <v>-8575.7937575156266</v>
      </c>
      <c r="T216" s="299">
        <f>S216+T241+T268+T269</f>
        <v>-8799.9792546553581</v>
      </c>
      <c r="U216" s="299">
        <f t="shared" ref="U216:V216" si="813">T216+U241+U268+U269</f>
        <v>-9032.6209968845305</v>
      </c>
      <c r="V216" s="299">
        <f t="shared" si="813"/>
        <v>-8940.2446098874934</v>
      </c>
      <c r="W216" s="300">
        <f>V216</f>
        <v>-8940.2446098874934</v>
      </c>
      <c r="X216" s="299">
        <f>V216+X241+X268+X269</f>
        <v>-8830.04256825023</v>
      </c>
      <c r="Y216" s="299">
        <f>X216+Y241+Y268+Y269</f>
        <v>-9123.033324312164</v>
      </c>
      <c r="Z216" s="299">
        <f t="shared" ref="Z216:AA216" si="814">Y216+Z241+Z268+Z269</f>
        <v>-9361.0489803381879</v>
      </c>
      <c r="AA216" s="299">
        <f t="shared" si="814"/>
        <v>-9235.6993241190939</v>
      </c>
      <c r="AB216" s="300">
        <f>AA216</f>
        <v>-9235.6993241190939</v>
      </c>
      <c r="AC216" s="299">
        <f>AA216+AC241+AC268+AC269</f>
        <v>-9049.3834700257739</v>
      </c>
      <c r="AD216" s="299">
        <f>AC216+AD241+AD268+AD269</f>
        <v>-9310.4895298804477</v>
      </c>
      <c r="AE216" s="299">
        <f t="shared" ref="AE216:AF216" si="815">AD216+AE241+AE268+AE269</f>
        <v>-9511.309054435329</v>
      </c>
      <c r="AF216" s="299">
        <f t="shared" si="815"/>
        <v>-9332.7193599179955</v>
      </c>
      <c r="AG216" s="300">
        <f>AF216</f>
        <v>-9332.7193599179955</v>
      </c>
      <c r="AH216" s="299">
        <f>AF216+AH241+AH268+AH269</f>
        <v>-9073.1884771631449</v>
      </c>
      <c r="AI216" s="299">
        <f>AH216+AI241+AI268+AI269</f>
        <v>-9300.3928521004691</v>
      </c>
      <c r="AJ216" s="299">
        <f t="shared" ref="AJ216:AK216" si="816">AI216+AJ241+AJ268+AJ269</f>
        <v>-9460.2308459112719</v>
      </c>
      <c r="AK216" s="299">
        <f t="shared" si="816"/>
        <v>-9211.9507695063639</v>
      </c>
      <c r="AL216" s="300">
        <f>AK216</f>
        <v>-9211.9507695063639</v>
      </c>
    </row>
    <row r="217" spans="1:38" outlineLevel="1">
      <c r="A217" s="297"/>
      <c r="B217" s="548" t="s">
        <v>118</v>
      </c>
      <c r="C217" s="549"/>
      <c r="D217" s="38">
        <v>-343.2</v>
      </c>
      <c r="E217" s="301">
        <v>-271.5</v>
      </c>
      <c r="F217" s="299">
        <v>-349</v>
      </c>
      <c r="G217" s="299">
        <v>-503.3</v>
      </c>
      <c r="H217" s="300">
        <f>+G217</f>
        <v>-503.3</v>
      </c>
      <c r="I217" s="299">
        <v>-387.4</v>
      </c>
      <c r="J217" s="299">
        <v>-521.79999999999995</v>
      </c>
      <c r="K217" s="299">
        <v>-529.9</v>
      </c>
      <c r="L217" s="299">
        <f>+K217</f>
        <v>-529.9</v>
      </c>
      <c r="M217" s="300">
        <f>+L217</f>
        <v>-529.9</v>
      </c>
      <c r="N217" s="299">
        <f>+L217</f>
        <v>-529.9</v>
      </c>
      <c r="O217" s="299">
        <f>+N217</f>
        <v>-529.9</v>
      </c>
      <c r="P217" s="299">
        <f t="shared" ref="P217:Q217" si="817">+O217</f>
        <v>-529.9</v>
      </c>
      <c r="Q217" s="299">
        <f t="shared" si="817"/>
        <v>-529.9</v>
      </c>
      <c r="R217" s="300">
        <f>+Q217</f>
        <v>-529.9</v>
      </c>
      <c r="S217" s="299">
        <f>+Q217</f>
        <v>-529.9</v>
      </c>
      <c r="T217" s="299">
        <f>+S217</f>
        <v>-529.9</v>
      </c>
      <c r="U217" s="299">
        <f t="shared" ref="U217:V218" si="818">+T217</f>
        <v>-529.9</v>
      </c>
      <c r="V217" s="299">
        <f t="shared" si="818"/>
        <v>-529.9</v>
      </c>
      <c r="W217" s="300">
        <f>+V217</f>
        <v>-529.9</v>
      </c>
      <c r="X217" s="299">
        <f>+V217</f>
        <v>-529.9</v>
      </c>
      <c r="Y217" s="299">
        <f>+X217</f>
        <v>-529.9</v>
      </c>
      <c r="Z217" s="299">
        <f t="shared" ref="Z217:AA218" si="819">+Y217</f>
        <v>-529.9</v>
      </c>
      <c r="AA217" s="299">
        <f t="shared" si="819"/>
        <v>-529.9</v>
      </c>
      <c r="AB217" s="300">
        <f>+AA217</f>
        <v>-529.9</v>
      </c>
      <c r="AC217" s="299">
        <f>+AA217</f>
        <v>-529.9</v>
      </c>
      <c r="AD217" s="299">
        <f>+AC217</f>
        <v>-529.9</v>
      </c>
      <c r="AE217" s="299">
        <f t="shared" ref="AE217:AF218" si="820">+AD217</f>
        <v>-529.9</v>
      </c>
      <c r="AF217" s="299">
        <f t="shared" si="820"/>
        <v>-529.9</v>
      </c>
      <c r="AG217" s="300">
        <f>+AF217</f>
        <v>-529.9</v>
      </c>
      <c r="AH217" s="299">
        <f>+AF217</f>
        <v>-529.9</v>
      </c>
      <c r="AI217" s="299">
        <f>+AH217</f>
        <v>-529.9</v>
      </c>
      <c r="AJ217" s="299">
        <f t="shared" ref="AJ217:AK218" si="821">+AI217</f>
        <v>-529.9</v>
      </c>
      <c r="AK217" s="299">
        <f t="shared" si="821"/>
        <v>-529.9</v>
      </c>
      <c r="AL217" s="300">
        <f>+AK217</f>
        <v>-529.9</v>
      </c>
    </row>
    <row r="218" spans="1:38" ht="17.25" outlineLevel="1">
      <c r="A218" s="297"/>
      <c r="B218" s="183" t="s">
        <v>232</v>
      </c>
      <c r="C218" s="184"/>
      <c r="D218" s="41">
        <v>6.1</v>
      </c>
      <c r="E218" s="314">
        <v>1.7</v>
      </c>
      <c r="F218" s="314">
        <v>1.6</v>
      </c>
      <c r="G218" s="314">
        <v>1.2</v>
      </c>
      <c r="H218" s="42">
        <f>+G218</f>
        <v>1.2</v>
      </c>
      <c r="I218" s="314">
        <v>0.8</v>
      </c>
      <c r="J218" s="314">
        <v>-2.8</v>
      </c>
      <c r="K218" s="314">
        <v>-2.7</v>
      </c>
      <c r="L218" s="314">
        <f t="shared" ref="L218" si="822">+K218</f>
        <v>-2.7</v>
      </c>
      <c r="M218" s="436">
        <f>+L218</f>
        <v>-2.7</v>
      </c>
      <c r="N218" s="314">
        <f>+L218</f>
        <v>-2.7</v>
      </c>
      <c r="O218" s="314">
        <f>+N218</f>
        <v>-2.7</v>
      </c>
      <c r="P218" s="314">
        <f t="shared" ref="P218:Q218" si="823">+O218</f>
        <v>-2.7</v>
      </c>
      <c r="Q218" s="314">
        <f t="shared" si="823"/>
        <v>-2.7</v>
      </c>
      <c r="R218" s="436">
        <f>+Q218</f>
        <v>-2.7</v>
      </c>
      <c r="S218" s="314">
        <f>+Q218</f>
        <v>-2.7</v>
      </c>
      <c r="T218" s="314">
        <f>+S218</f>
        <v>-2.7</v>
      </c>
      <c r="U218" s="314">
        <f t="shared" si="818"/>
        <v>-2.7</v>
      </c>
      <c r="V218" s="314">
        <f t="shared" si="818"/>
        <v>-2.7</v>
      </c>
      <c r="W218" s="436">
        <f>+V218</f>
        <v>-2.7</v>
      </c>
      <c r="X218" s="314">
        <f>+V218</f>
        <v>-2.7</v>
      </c>
      <c r="Y218" s="314">
        <f>+X218</f>
        <v>-2.7</v>
      </c>
      <c r="Z218" s="314">
        <f t="shared" si="819"/>
        <v>-2.7</v>
      </c>
      <c r="AA218" s="314">
        <f t="shared" si="819"/>
        <v>-2.7</v>
      </c>
      <c r="AB218" s="436">
        <f>+AA218</f>
        <v>-2.7</v>
      </c>
      <c r="AC218" s="314">
        <f>+AA218</f>
        <v>-2.7</v>
      </c>
      <c r="AD218" s="314">
        <f>+AC218</f>
        <v>-2.7</v>
      </c>
      <c r="AE218" s="314">
        <f t="shared" si="820"/>
        <v>-2.7</v>
      </c>
      <c r="AF218" s="314">
        <f t="shared" si="820"/>
        <v>-2.7</v>
      </c>
      <c r="AG218" s="436">
        <f>+AF218</f>
        <v>-2.7</v>
      </c>
      <c r="AH218" s="314">
        <f>+AF218</f>
        <v>-2.7</v>
      </c>
      <c r="AI218" s="314">
        <f>+AH218</f>
        <v>-2.7</v>
      </c>
      <c r="AJ218" s="314">
        <f t="shared" si="821"/>
        <v>-2.7</v>
      </c>
      <c r="AK218" s="314">
        <f t="shared" si="821"/>
        <v>-2.7</v>
      </c>
      <c r="AL218" s="436">
        <f>+AK218</f>
        <v>-2.7</v>
      </c>
    </row>
    <row r="219" spans="1:38" outlineLevel="1">
      <c r="A219" s="297"/>
      <c r="B219" s="542" t="s">
        <v>40</v>
      </c>
      <c r="C219" s="543"/>
      <c r="D219" s="45">
        <f t="shared" ref="D219:AB219" si="824">SUM(D215:D218)</f>
        <v>-2878.7999999999997</v>
      </c>
      <c r="E219" s="45">
        <f t="shared" si="824"/>
        <v>-5035.2</v>
      </c>
      <c r="F219" s="45">
        <f t="shared" si="824"/>
        <v>-4319</v>
      </c>
      <c r="G219" s="45">
        <f t="shared" si="824"/>
        <v>-6231</v>
      </c>
      <c r="H219" s="46">
        <f t="shared" si="824"/>
        <v>-6231</v>
      </c>
      <c r="I219" s="45">
        <f t="shared" si="824"/>
        <v>-6759.0999999999995</v>
      </c>
      <c r="J219" s="45">
        <f t="shared" si="824"/>
        <v>-7532.9000000000005</v>
      </c>
      <c r="K219" s="45">
        <f t="shared" si="824"/>
        <v>-8624.2999999999993</v>
      </c>
      <c r="L219" s="45">
        <f t="shared" si="824"/>
        <v>-8952.39162969479</v>
      </c>
      <c r="M219" s="46">
        <f t="shared" si="824"/>
        <v>-8952.39162969479</v>
      </c>
      <c r="N219" s="45">
        <f t="shared" si="824"/>
        <v>-8965.9260928984768</v>
      </c>
      <c r="O219" s="45">
        <f t="shared" si="824"/>
        <v>-9136.479950665831</v>
      </c>
      <c r="P219" s="45">
        <f t="shared" si="824"/>
        <v>-9176.2421695130197</v>
      </c>
      <c r="Q219" s="45">
        <f t="shared" si="824"/>
        <v>-8876.672733875499</v>
      </c>
      <c r="R219" s="46">
        <f t="shared" si="824"/>
        <v>-8876.672733875499</v>
      </c>
      <c r="S219" s="45">
        <f t="shared" si="824"/>
        <v>-8615.6745912559527</v>
      </c>
      <c r="T219" s="45">
        <f t="shared" si="824"/>
        <v>-8782.645924853643</v>
      </c>
      <c r="U219" s="45">
        <f t="shared" si="824"/>
        <v>-8955.6613136154192</v>
      </c>
      <c r="V219" s="45">
        <f t="shared" si="824"/>
        <v>-8786.1183098746606</v>
      </c>
      <c r="W219" s="46">
        <f t="shared" si="824"/>
        <v>-8786.1183098746606</v>
      </c>
      <c r="X219" s="45">
        <f t="shared" si="824"/>
        <v>-8596.1154726198874</v>
      </c>
      <c r="Y219" s="45">
        <f t="shared" si="824"/>
        <v>-8828.5173513507525</v>
      </c>
      <c r="Z219" s="45">
        <f t="shared" si="824"/>
        <v>-9003.5024390791059</v>
      </c>
      <c r="AA219" s="45">
        <f t="shared" si="824"/>
        <v>-8797.6555823459221</v>
      </c>
      <c r="AB219" s="46">
        <f t="shared" si="824"/>
        <v>-8797.6555823459221</v>
      </c>
      <c r="AC219" s="45">
        <f t="shared" ref="AC219:AG219" si="825">SUM(AC215:AC218)</f>
        <v>-8525.9818566279282</v>
      </c>
      <c r="AD219" s="45">
        <f t="shared" si="825"/>
        <v>-8723.0130327318348</v>
      </c>
      <c r="AE219" s="45">
        <f t="shared" si="825"/>
        <v>-8857.0749471692288</v>
      </c>
      <c r="AF219" s="45">
        <f t="shared" si="825"/>
        <v>-8593.5227685609152</v>
      </c>
      <c r="AG219" s="46">
        <f t="shared" si="825"/>
        <v>-8593.5227685609152</v>
      </c>
      <c r="AH219" s="45">
        <f t="shared" ref="AH219:AL219" si="826">SUM(AH215:AH218)</f>
        <v>-8242.6679095206746</v>
      </c>
      <c r="AI219" s="45">
        <f t="shared" si="826"/>
        <v>-8401.7601471893213</v>
      </c>
      <c r="AJ219" s="45">
        <f t="shared" si="826"/>
        <v>-8490.5201176024057</v>
      </c>
      <c r="AK219" s="45">
        <f t="shared" si="826"/>
        <v>-8151.6376149915905</v>
      </c>
      <c r="AL219" s="46">
        <f t="shared" si="826"/>
        <v>-8151.6376149915905</v>
      </c>
    </row>
    <row r="220" spans="1:38" outlineLevel="1">
      <c r="A220" s="297"/>
      <c r="B220" s="589" t="s">
        <v>10</v>
      </c>
      <c r="C220" s="590"/>
      <c r="D220" s="54">
        <f t="shared" ref="D220:AB220" si="827">D219+D213</f>
        <v>19981.300000000003</v>
      </c>
      <c r="E220" s="54">
        <f t="shared" si="827"/>
        <v>17641.899999999998</v>
      </c>
      <c r="F220" s="54">
        <f t="shared" si="827"/>
        <v>20894.400000000001</v>
      </c>
      <c r="G220" s="54">
        <f t="shared" si="827"/>
        <v>19219.599999999999</v>
      </c>
      <c r="H220" s="275">
        <f t="shared" si="827"/>
        <v>19219.599999999999</v>
      </c>
      <c r="I220" s="54">
        <f t="shared" si="827"/>
        <v>27731.300000000003</v>
      </c>
      <c r="J220" s="54">
        <f t="shared" si="827"/>
        <v>27478.9</v>
      </c>
      <c r="K220" s="54">
        <f t="shared" si="827"/>
        <v>29140.599999999995</v>
      </c>
      <c r="L220" s="54">
        <f t="shared" si="827"/>
        <v>28464.950632677839</v>
      </c>
      <c r="M220" s="275">
        <f t="shared" si="827"/>
        <v>28464.950632677839</v>
      </c>
      <c r="N220" s="54">
        <f t="shared" si="827"/>
        <v>28354.396440462911</v>
      </c>
      <c r="O220" s="54">
        <f t="shared" si="827"/>
        <v>27131.850406662677</v>
      </c>
      <c r="P220" s="54">
        <f t="shared" si="827"/>
        <v>26313.178389530134</v>
      </c>
      <c r="Q220" s="54">
        <f t="shared" si="827"/>
        <v>26929.771309080345</v>
      </c>
      <c r="R220" s="275">
        <f t="shared" si="827"/>
        <v>26929.771309080345</v>
      </c>
      <c r="S220" s="54">
        <f t="shared" si="827"/>
        <v>27365.549218804696</v>
      </c>
      <c r="T220" s="54">
        <f t="shared" si="827"/>
        <v>26153.626664861549</v>
      </c>
      <c r="U220" s="54">
        <f t="shared" si="827"/>
        <v>25579.888480908834</v>
      </c>
      <c r="V220" s="54">
        <f t="shared" si="827"/>
        <v>26909.916134551386</v>
      </c>
      <c r="W220" s="275">
        <f t="shared" si="827"/>
        <v>26909.916134551386</v>
      </c>
      <c r="X220" s="54">
        <f t="shared" si="827"/>
        <v>27288.933169526463</v>
      </c>
      <c r="Y220" s="54">
        <f t="shared" si="827"/>
        <v>25885.525932132201</v>
      </c>
      <c r="Z220" s="54">
        <f t="shared" si="827"/>
        <v>25353.588183631378</v>
      </c>
      <c r="AA220" s="54">
        <f t="shared" si="827"/>
        <v>27232.511449538812</v>
      </c>
      <c r="AB220" s="275">
        <f t="shared" si="827"/>
        <v>27232.511449538812</v>
      </c>
      <c r="AC220" s="54">
        <f t="shared" ref="AC220:AG220" si="828">AC219+AC213</f>
        <v>27626.99359540463</v>
      </c>
      <c r="AD220" s="54">
        <f t="shared" si="828"/>
        <v>26053.772029635846</v>
      </c>
      <c r="AE220" s="54">
        <f t="shared" si="828"/>
        <v>25428.94727322349</v>
      </c>
      <c r="AF220" s="54">
        <f t="shared" si="828"/>
        <v>28705.736773017692</v>
      </c>
      <c r="AG220" s="275">
        <f t="shared" si="828"/>
        <v>28705.736773017692</v>
      </c>
      <c r="AH220" s="54">
        <f t="shared" ref="AH220:AL220" si="829">AH219+AH213</f>
        <v>28917.887003716332</v>
      </c>
      <c r="AI220" s="54">
        <f t="shared" si="829"/>
        <v>26936.170580363323</v>
      </c>
      <c r="AJ220" s="54">
        <f t="shared" si="829"/>
        <v>26006.461853645407</v>
      </c>
      <c r="AK220" s="54">
        <f t="shared" si="829"/>
        <v>28021.184538364578</v>
      </c>
      <c r="AL220" s="275">
        <f t="shared" si="829"/>
        <v>28021.184538364578</v>
      </c>
    </row>
    <row r="221" spans="1:38">
      <c r="A221" s="297"/>
      <c r="B221" s="452"/>
      <c r="C221" s="268"/>
      <c r="D221" s="438">
        <f t="shared" ref="D221:AL221" si="830">ROUND((D220-D198),0)</f>
        <v>0</v>
      </c>
      <c r="E221" s="438">
        <f t="shared" si="830"/>
        <v>0</v>
      </c>
      <c r="F221" s="438">
        <f t="shared" si="830"/>
        <v>0</v>
      </c>
      <c r="G221" s="438">
        <f t="shared" si="830"/>
        <v>0</v>
      </c>
      <c r="H221" s="438">
        <f t="shared" si="830"/>
        <v>0</v>
      </c>
      <c r="I221" s="438">
        <f t="shared" si="830"/>
        <v>0</v>
      </c>
      <c r="J221" s="438">
        <f t="shared" si="830"/>
        <v>0</v>
      </c>
      <c r="K221" s="438">
        <f t="shared" si="830"/>
        <v>0</v>
      </c>
      <c r="L221" s="74">
        <f t="shared" si="830"/>
        <v>0</v>
      </c>
      <c r="M221" s="74">
        <f t="shared" si="830"/>
        <v>0</v>
      </c>
      <c r="N221" s="74">
        <f t="shared" si="830"/>
        <v>0</v>
      </c>
      <c r="O221" s="74">
        <f t="shared" si="830"/>
        <v>0</v>
      </c>
      <c r="P221" s="74">
        <f t="shared" si="830"/>
        <v>0</v>
      </c>
      <c r="Q221" s="74">
        <f t="shared" si="830"/>
        <v>0</v>
      </c>
      <c r="R221" s="74">
        <f t="shared" si="830"/>
        <v>0</v>
      </c>
      <c r="S221" s="74">
        <f t="shared" si="830"/>
        <v>0</v>
      </c>
      <c r="T221" s="74">
        <f t="shared" si="830"/>
        <v>0</v>
      </c>
      <c r="U221" s="74">
        <f t="shared" si="830"/>
        <v>0</v>
      </c>
      <c r="V221" s="74">
        <f t="shared" si="830"/>
        <v>0</v>
      </c>
      <c r="W221" s="74">
        <f t="shared" si="830"/>
        <v>0</v>
      </c>
      <c r="X221" s="74">
        <f t="shared" si="830"/>
        <v>0</v>
      </c>
      <c r="Y221" s="74">
        <f t="shared" si="830"/>
        <v>0</v>
      </c>
      <c r="Z221" s="74">
        <f t="shared" si="830"/>
        <v>0</v>
      </c>
      <c r="AA221" s="74">
        <f t="shared" si="830"/>
        <v>0</v>
      </c>
      <c r="AB221" s="74">
        <f t="shared" si="830"/>
        <v>0</v>
      </c>
      <c r="AC221" s="74">
        <f t="shared" si="830"/>
        <v>0</v>
      </c>
      <c r="AD221" s="74">
        <f t="shared" si="830"/>
        <v>0</v>
      </c>
      <c r="AE221" s="74">
        <f t="shared" si="830"/>
        <v>0</v>
      </c>
      <c r="AF221" s="74">
        <f t="shared" si="830"/>
        <v>0</v>
      </c>
      <c r="AG221" s="74">
        <f t="shared" si="830"/>
        <v>0</v>
      </c>
      <c r="AH221" s="74">
        <f t="shared" si="830"/>
        <v>0</v>
      </c>
      <c r="AI221" s="74">
        <f t="shared" si="830"/>
        <v>0</v>
      </c>
      <c r="AJ221" s="74">
        <f t="shared" si="830"/>
        <v>0</v>
      </c>
      <c r="AK221" s="74">
        <f t="shared" si="830"/>
        <v>0</v>
      </c>
      <c r="AL221" s="74">
        <f t="shared" si="830"/>
        <v>0</v>
      </c>
    </row>
    <row r="222" spans="1:38" ht="15.75">
      <c r="A222" s="297"/>
      <c r="B222" s="524" t="s">
        <v>20</v>
      </c>
      <c r="C222" s="525"/>
      <c r="D222" s="35" t="s">
        <v>110</v>
      </c>
      <c r="E222" s="35" t="s">
        <v>282</v>
      </c>
      <c r="F222" s="35" t="s">
        <v>284</v>
      </c>
      <c r="G222" s="35" t="s">
        <v>124</v>
      </c>
      <c r="H222" s="102" t="s">
        <v>124</v>
      </c>
      <c r="I222" s="35" t="s">
        <v>125</v>
      </c>
      <c r="J222" s="35" t="s">
        <v>126</v>
      </c>
      <c r="K222" s="35" t="s">
        <v>127</v>
      </c>
      <c r="L222" s="37" t="s">
        <v>128</v>
      </c>
      <c r="M222" s="105" t="s">
        <v>128</v>
      </c>
      <c r="N222" s="37" t="s">
        <v>129</v>
      </c>
      <c r="O222" s="37" t="s">
        <v>130</v>
      </c>
      <c r="P222" s="37" t="s">
        <v>131</v>
      </c>
      <c r="Q222" s="37" t="s">
        <v>132</v>
      </c>
      <c r="R222" s="105" t="s">
        <v>132</v>
      </c>
      <c r="S222" s="37" t="s">
        <v>133</v>
      </c>
      <c r="T222" s="37" t="s">
        <v>134</v>
      </c>
      <c r="U222" s="37" t="s">
        <v>135</v>
      </c>
      <c r="V222" s="37" t="s">
        <v>136</v>
      </c>
      <c r="W222" s="105" t="s">
        <v>136</v>
      </c>
      <c r="X222" s="37" t="s">
        <v>137</v>
      </c>
      <c r="Y222" s="37" t="s">
        <v>138</v>
      </c>
      <c r="Z222" s="37" t="s">
        <v>139</v>
      </c>
      <c r="AA222" s="37" t="s">
        <v>140</v>
      </c>
      <c r="AB222" s="105" t="s">
        <v>140</v>
      </c>
      <c r="AC222" s="37" t="s">
        <v>286</v>
      </c>
      <c r="AD222" s="37" t="s">
        <v>287</v>
      </c>
      <c r="AE222" s="37" t="s">
        <v>288</v>
      </c>
      <c r="AF222" s="37" t="s">
        <v>289</v>
      </c>
      <c r="AG222" s="105" t="s">
        <v>289</v>
      </c>
      <c r="AH222" s="37" t="s">
        <v>319</v>
      </c>
      <c r="AI222" s="37" t="s">
        <v>320</v>
      </c>
      <c r="AJ222" s="37" t="s">
        <v>321</v>
      </c>
      <c r="AK222" s="37" t="s">
        <v>322</v>
      </c>
      <c r="AL222" s="105" t="s">
        <v>322</v>
      </c>
    </row>
    <row r="223" spans="1:38" ht="17.25">
      <c r="A223" s="297"/>
      <c r="B223" s="528"/>
      <c r="C223" s="529"/>
      <c r="D223" s="36" t="s">
        <v>123</v>
      </c>
      <c r="E223" s="36" t="s">
        <v>281</v>
      </c>
      <c r="F223" s="36" t="s">
        <v>285</v>
      </c>
      <c r="G223" s="36" t="s">
        <v>295</v>
      </c>
      <c r="H223" s="103" t="s">
        <v>296</v>
      </c>
      <c r="I223" s="36" t="s">
        <v>297</v>
      </c>
      <c r="J223" s="36" t="s">
        <v>298</v>
      </c>
      <c r="K223" s="36" t="s">
        <v>299</v>
      </c>
      <c r="L223" s="34" t="s">
        <v>141</v>
      </c>
      <c r="M223" s="106" t="s">
        <v>142</v>
      </c>
      <c r="N223" s="34" t="s">
        <v>143</v>
      </c>
      <c r="O223" s="34" t="s">
        <v>144</v>
      </c>
      <c r="P223" s="34" t="s">
        <v>145</v>
      </c>
      <c r="Q223" s="34" t="s">
        <v>146</v>
      </c>
      <c r="R223" s="106" t="s">
        <v>147</v>
      </c>
      <c r="S223" s="34" t="s">
        <v>148</v>
      </c>
      <c r="T223" s="34" t="s">
        <v>149</v>
      </c>
      <c r="U223" s="34" t="s">
        <v>150</v>
      </c>
      <c r="V223" s="34" t="s">
        <v>151</v>
      </c>
      <c r="W223" s="106" t="s">
        <v>152</v>
      </c>
      <c r="X223" s="34" t="s">
        <v>153</v>
      </c>
      <c r="Y223" s="34" t="s">
        <v>154</v>
      </c>
      <c r="Z223" s="34" t="s">
        <v>155</v>
      </c>
      <c r="AA223" s="34" t="s">
        <v>156</v>
      </c>
      <c r="AB223" s="106" t="s">
        <v>157</v>
      </c>
      <c r="AC223" s="34" t="s">
        <v>290</v>
      </c>
      <c r="AD223" s="34" t="s">
        <v>291</v>
      </c>
      <c r="AE223" s="34" t="s">
        <v>292</v>
      </c>
      <c r="AF223" s="34" t="s">
        <v>293</v>
      </c>
      <c r="AG223" s="106" t="s">
        <v>294</v>
      </c>
      <c r="AH223" s="34" t="s">
        <v>323</v>
      </c>
      <c r="AI223" s="34" t="s">
        <v>324</v>
      </c>
      <c r="AJ223" s="34" t="s">
        <v>325</v>
      </c>
      <c r="AK223" s="34" t="s">
        <v>326</v>
      </c>
      <c r="AL223" s="106" t="s">
        <v>327</v>
      </c>
    </row>
    <row r="224" spans="1:38" outlineLevel="1">
      <c r="A224" s="297"/>
      <c r="B224" s="370" t="s">
        <v>318</v>
      </c>
      <c r="C224" s="371"/>
      <c r="D224" s="320">
        <f>31+30+31</f>
        <v>92</v>
      </c>
      <c r="E224" s="320">
        <f>31+28+31</f>
        <v>90</v>
      </c>
      <c r="F224" s="320">
        <f>30+31+30</f>
        <v>91</v>
      </c>
      <c r="G224" s="320">
        <f>31+31+30</f>
        <v>92</v>
      </c>
      <c r="H224" s="336"/>
      <c r="I224" s="320">
        <f>31+30+31</f>
        <v>92</v>
      </c>
      <c r="J224" s="320">
        <f>31+29+31</f>
        <v>91</v>
      </c>
      <c r="K224" s="320">
        <f>30+31+30</f>
        <v>91</v>
      </c>
      <c r="L224" s="320">
        <f>31+31+30</f>
        <v>92</v>
      </c>
      <c r="M224" s="336"/>
      <c r="N224" s="320">
        <f>31+30+31</f>
        <v>92</v>
      </c>
      <c r="O224" s="320">
        <f>31+28+31</f>
        <v>90</v>
      </c>
      <c r="P224" s="320">
        <f>30+31+30</f>
        <v>91</v>
      </c>
      <c r="Q224" s="320">
        <f>31+31+30</f>
        <v>92</v>
      </c>
      <c r="R224" s="336"/>
      <c r="S224" s="320">
        <f>31+30+31</f>
        <v>92</v>
      </c>
      <c r="T224" s="320">
        <f>31+28+31</f>
        <v>90</v>
      </c>
      <c r="U224" s="320">
        <f>30+31+30</f>
        <v>91</v>
      </c>
      <c r="V224" s="320">
        <f>31+31+30</f>
        <v>92</v>
      </c>
      <c r="W224" s="336"/>
      <c r="X224" s="320">
        <f>31+30+31</f>
        <v>92</v>
      </c>
      <c r="Y224" s="320">
        <f>31+28+31</f>
        <v>90</v>
      </c>
      <c r="Z224" s="320">
        <f>30+31+30</f>
        <v>91</v>
      </c>
      <c r="AA224" s="320">
        <f>31+31+30</f>
        <v>92</v>
      </c>
      <c r="AB224" s="336"/>
      <c r="AC224" s="320">
        <f>31+30+31</f>
        <v>92</v>
      </c>
      <c r="AD224" s="320">
        <f>31+29+31</f>
        <v>91</v>
      </c>
      <c r="AE224" s="320">
        <f>30+31+30</f>
        <v>91</v>
      </c>
      <c r="AF224" s="320">
        <f>31+31+30</f>
        <v>92</v>
      </c>
      <c r="AG224" s="336"/>
      <c r="AH224" s="320">
        <f>31+30+31</f>
        <v>92</v>
      </c>
      <c r="AI224" s="320">
        <f>31+28+31</f>
        <v>90</v>
      </c>
      <c r="AJ224" s="320">
        <f>30+31+30</f>
        <v>91</v>
      </c>
      <c r="AK224" s="320">
        <f>31+31+30</f>
        <v>92</v>
      </c>
      <c r="AL224" s="336"/>
    </row>
    <row r="225" spans="1:38" outlineLevel="1">
      <c r="A225" s="297"/>
      <c r="B225" s="522" t="s">
        <v>21</v>
      </c>
      <c r="C225" s="523"/>
      <c r="D225" s="66">
        <f t="shared" ref="D225:K225" si="831">D16/D186</f>
        <v>9.1942057111172737</v>
      </c>
      <c r="E225" s="363">
        <f t="shared" si="831"/>
        <v>8.9623365548607161</v>
      </c>
      <c r="F225" s="363">
        <f t="shared" si="831"/>
        <v>8.6301543131798635</v>
      </c>
      <c r="G225" s="363">
        <f t="shared" si="831"/>
        <v>7.6757679180887379</v>
      </c>
      <c r="H225" s="364">
        <f t="shared" si="831"/>
        <v>30.157679180887374</v>
      </c>
      <c r="I225" s="363">
        <f t="shared" si="831"/>
        <v>7.8153287082920375</v>
      </c>
      <c r="J225" s="363">
        <f t="shared" si="831"/>
        <v>6.3716259298618487</v>
      </c>
      <c r="K225" s="363">
        <f t="shared" si="831"/>
        <v>4.7918510952218822</v>
      </c>
      <c r="L225" s="68">
        <v>6.7415730701591459</v>
      </c>
      <c r="M225" s="67"/>
      <c r="N225" s="68">
        <v>7.5000000887544127</v>
      </c>
      <c r="O225" s="68">
        <v>7.3626377346315905</v>
      </c>
      <c r="P225" s="68">
        <v>7.865168530735037</v>
      </c>
      <c r="Q225" s="68">
        <v>7.7173912977977261</v>
      </c>
      <c r="R225" s="67"/>
      <c r="S225" s="68">
        <f>N225</f>
        <v>7.5000000887544127</v>
      </c>
      <c r="T225" s="68">
        <f t="shared" ref="T225:V225" si="832">O225</f>
        <v>7.3626377346315905</v>
      </c>
      <c r="U225" s="68">
        <f t="shared" si="832"/>
        <v>7.865168530735037</v>
      </c>
      <c r="V225" s="68">
        <f t="shared" si="832"/>
        <v>7.7173912977977261</v>
      </c>
      <c r="W225" s="67"/>
      <c r="X225" s="68">
        <f>S225</f>
        <v>7.5000000887544127</v>
      </c>
      <c r="Y225" s="68">
        <f t="shared" ref="Y225" si="833">T225</f>
        <v>7.3626377346315905</v>
      </c>
      <c r="Z225" s="68">
        <f t="shared" ref="Z225" si="834">U225</f>
        <v>7.865168530735037</v>
      </c>
      <c r="AA225" s="68">
        <f t="shared" ref="AA225" si="835">V225</f>
        <v>7.7173912977977261</v>
      </c>
      <c r="AB225" s="27"/>
      <c r="AC225" s="68">
        <f>X225</f>
        <v>7.5000000887544127</v>
      </c>
      <c r="AD225" s="68">
        <f t="shared" ref="AD225" si="836">Y225</f>
        <v>7.3626377346315905</v>
      </c>
      <c r="AE225" s="68">
        <f t="shared" ref="AE225" si="837">Z225</f>
        <v>7.865168530735037</v>
      </c>
      <c r="AF225" s="68">
        <f t="shared" ref="AF225" si="838">AA225</f>
        <v>7.7173912977977261</v>
      </c>
      <c r="AG225" s="27"/>
      <c r="AH225" s="68">
        <f>AC225</f>
        <v>7.5000000887544127</v>
      </c>
      <c r="AI225" s="68">
        <f t="shared" ref="AI225" si="839">AD225</f>
        <v>7.3626377346315905</v>
      </c>
      <c r="AJ225" s="68">
        <f t="shared" ref="AJ225" si="840">AE225</f>
        <v>7.865168530735037</v>
      </c>
      <c r="AK225" s="68">
        <f t="shared" ref="AK225" si="841">AF225</f>
        <v>7.7173912977977261</v>
      </c>
      <c r="AL225" s="27"/>
    </row>
    <row r="226" spans="1:38" s="47" customFormat="1" outlineLevel="1">
      <c r="A226" s="362"/>
      <c r="B226" s="526" t="s">
        <v>60</v>
      </c>
      <c r="C226" s="527"/>
      <c r="D226" s="53">
        <f>D224/D225</f>
        <v>10.00630210924661</v>
      </c>
      <c r="E226" s="53">
        <f>E224/E225</f>
        <v>10.042024136126486</v>
      </c>
      <c r="F226" s="320">
        <f>F224/F225</f>
        <v>10.544423274219552</v>
      </c>
      <c r="G226" s="320">
        <f>G224/G225</f>
        <v>11.985771453979545</v>
      </c>
      <c r="H226" s="364"/>
      <c r="I226" s="320">
        <f>I224/I225</f>
        <v>11.771737752039567</v>
      </c>
      <c r="J226" s="320">
        <f>J224/J225</f>
        <v>14.28206881598479</v>
      </c>
      <c r="K226" s="320">
        <f>K224/K225</f>
        <v>18.990573411335589</v>
      </c>
      <c r="L226" s="53">
        <f>L224/L225</f>
        <v>13.64666659287996</v>
      </c>
      <c r="M226" s="67"/>
      <c r="N226" s="53">
        <f>N224/N225</f>
        <v>12.266666521503895</v>
      </c>
      <c r="O226" s="53">
        <f>O224/O225</f>
        <v>12.223879979408412</v>
      </c>
      <c r="P226" s="53">
        <f>P224/P225</f>
        <v>11.570000012637443</v>
      </c>
      <c r="Q226" s="53">
        <f>Q224/Q225</f>
        <v>11.921126770681381</v>
      </c>
      <c r="R226" s="67"/>
      <c r="S226" s="53">
        <f>S224/S225</f>
        <v>12.266666521503895</v>
      </c>
      <c r="T226" s="53">
        <f>T224/T225</f>
        <v>12.223879979408412</v>
      </c>
      <c r="U226" s="53">
        <f>U224/U225</f>
        <v>11.570000012637443</v>
      </c>
      <c r="V226" s="53">
        <f>V224/V225</f>
        <v>11.921126770681381</v>
      </c>
      <c r="W226" s="67"/>
      <c r="X226" s="53">
        <f>X224/X225</f>
        <v>12.266666521503895</v>
      </c>
      <c r="Y226" s="53">
        <f>Y224/Y225</f>
        <v>12.223879979408412</v>
      </c>
      <c r="Z226" s="53">
        <f>Z224/Z225</f>
        <v>11.570000012637443</v>
      </c>
      <c r="AA226" s="53">
        <f>AA224/AA225</f>
        <v>11.921126770681381</v>
      </c>
      <c r="AB226" s="67"/>
      <c r="AC226" s="53">
        <f>AC224/AC225</f>
        <v>12.266666521503895</v>
      </c>
      <c r="AD226" s="53">
        <f>AD224/AD225</f>
        <v>12.359700868068504</v>
      </c>
      <c r="AE226" s="53">
        <f>AE224/AE225</f>
        <v>11.570000012637443</v>
      </c>
      <c r="AF226" s="53">
        <f>AF224/AF225</f>
        <v>11.921126770681381</v>
      </c>
      <c r="AG226" s="67"/>
      <c r="AH226" s="53">
        <f>AH224/AH225</f>
        <v>12.266666521503895</v>
      </c>
      <c r="AI226" s="53">
        <f>AI224/AI225</f>
        <v>12.223879979408412</v>
      </c>
      <c r="AJ226" s="53">
        <f>AJ224/AJ225</f>
        <v>11.570000012637443</v>
      </c>
      <c r="AK226" s="53">
        <f>AK224/AK225</f>
        <v>11.921126770681381</v>
      </c>
      <c r="AL226" s="67"/>
    </row>
    <row r="227" spans="1:38" outlineLevel="1">
      <c r="A227" s="297"/>
      <c r="B227" s="522" t="s">
        <v>252</v>
      </c>
      <c r="C227" s="523"/>
      <c r="D227" s="66">
        <f t="shared" ref="D227:K227" si="842">D17/D187</f>
        <v>1.6062306215857083</v>
      </c>
      <c r="E227" s="66">
        <f t="shared" si="842"/>
        <v>1.3943173943173943</v>
      </c>
      <c r="F227" s="363">
        <f t="shared" si="842"/>
        <v>1.4497759029791721</v>
      </c>
      <c r="G227" s="363">
        <f t="shared" si="842"/>
        <v>1.3989146070354381</v>
      </c>
      <c r="H227" s="364">
        <f t="shared" si="842"/>
        <v>5.5753236563358177</v>
      </c>
      <c r="I227" s="363">
        <f t="shared" si="842"/>
        <v>1.5875630013487614</v>
      </c>
      <c r="J227" s="363">
        <f t="shared" si="842"/>
        <v>1.3387615601125855</v>
      </c>
      <c r="K227" s="363">
        <f t="shared" si="842"/>
        <v>0.93698699330723578</v>
      </c>
      <c r="L227" s="68">
        <v>1.020968745493843</v>
      </c>
      <c r="M227" s="67"/>
      <c r="N227" s="68">
        <v>1.1330788438926926</v>
      </c>
      <c r="O227" s="68">
        <v>1.057770089696016</v>
      </c>
      <c r="P227" s="68">
        <v>1.0621094888474514</v>
      </c>
      <c r="Q227" s="68">
        <v>1.0275014233753998</v>
      </c>
      <c r="R227" s="67"/>
      <c r="S227" s="68">
        <f>N227</f>
        <v>1.1330788438926926</v>
      </c>
      <c r="T227" s="68">
        <f t="shared" ref="T227:V227" si="843">O227</f>
        <v>1.057770089696016</v>
      </c>
      <c r="U227" s="68">
        <f t="shared" si="843"/>
        <v>1.0621094888474514</v>
      </c>
      <c r="V227" s="68">
        <f t="shared" si="843"/>
        <v>1.0275014233753998</v>
      </c>
      <c r="W227" s="67"/>
      <c r="X227" s="68">
        <f>S227</f>
        <v>1.1330788438926926</v>
      </c>
      <c r="Y227" s="68">
        <f t="shared" ref="Y227" si="844">T227</f>
        <v>1.057770089696016</v>
      </c>
      <c r="Z227" s="68">
        <f t="shared" ref="Z227" si="845">U227</f>
        <v>1.0621094888474514</v>
      </c>
      <c r="AA227" s="68">
        <f t="shared" ref="AA227" si="846">V227</f>
        <v>1.0275014233753998</v>
      </c>
      <c r="AB227" s="27"/>
      <c r="AC227" s="68">
        <f>X227</f>
        <v>1.1330788438926926</v>
      </c>
      <c r="AD227" s="68">
        <f t="shared" ref="AD227" si="847">Y227</f>
        <v>1.057770089696016</v>
      </c>
      <c r="AE227" s="68">
        <f t="shared" ref="AE227" si="848">Z227</f>
        <v>1.0621094888474514</v>
      </c>
      <c r="AF227" s="68">
        <f t="shared" ref="AF227" si="849">AA227</f>
        <v>1.0275014233753998</v>
      </c>
      <c r="AG227" s="27"/>
      <c r="AH227" s="68">
        <f>AC227</f>
        <v>1.1330788438926926</v>
      </c>
      <c r="AI227" s="68">
        <f t="shared" ref="AI227" si="850">AD227</f>
        <v>1.057770089696016</v>
      </c>
      <c r="AJ227" s="68">
        <f t="shared" ref="AJ227" si="851">AE227</f>
        <v>1.0621094888474514</v>
      </c>
      <c r="AK227" s="68">
        <f t="shared" ref="AK227" si="852">AF227</f>
        <v>1.0275014233753998</v>
      </c>
      <c r="AL227" s="27"/>
    </row>
    <row r="228" spans="1:38" s="47" customFormat="1" outlineLevel="1">
      <c r="A228" s="362"/>
      <c r="B228" s="526" t="s">
        <v>60</v>
      </c>
      <c r="C228" s="527"/>
      <c r="D228" s="53">
        <f t="shared" ref="D228:AA228" si="853">D224/D227</f>
        <v>57.276955602536987</v>
      </c>
      <c r="E228" s="53">
        <f t="shared" si="853"/>
        <v>64.547713717693838</v>
      </c>
      <c r="F228" s="320">
        <f t="shared" si="853"/>
        <v>62.768321513002363</v>
      </c>
      <c r="G228" s="320">
        <f t="shared" si="853"/>
        <v>65.765272259873825</v>
      </c>
      <c r="H228" s="364"/>
      <c r="I228" s="320">
        <f t="shared" si="853"/>
        <v>57.950456090144868</v>
      </c>
      <c r="J228" s="320">
        <f t="shared" si="853"/>
        <v>67.973269259648589</v>
      </c>
      <c r="K228" s="320">
        <f>K224/K227</f>
        <v>97.119811320754721</v>
      </c>
      <c r="L228" s="53">
        <f t="shared" si="853"/>
        <v>90.11049594422164</v>
      </c>
      <c r="M228" s="67"/>
      <c r="N228" s="53">
        <f t="shared" si="853"/>
        <v>81.194702818679389</v>
      </c>
      <c r="O228" s="53">
        <f t="shared" si="853"/>
        <v>85.08465202099292</v>
      </c>
      <c r="P228" s="53">
        <f t="shared" si="853"/>
        <v>85.678549109610813</v>
      </c>
      <c r="Q228" s="53">
        <f t="shared" si="853"/>
        <v>89.537588860728619</v>
      </c>
      <c r="R228" s="67"/>
      <c r="S228" s="53">
        <f t="shared" si="853"/>
        <v>81.194702818679389</v>
      </c>
      <c r="T228" s="53">
        <f t="shared" si="853"/>
        <v>85.08465202099292</v>
      </c>
      <c r="U228" s="53">
        <f t="shared" si="853"/>
        <v>85.678549109610813</v>
      </c>
      <c r="V228" s="53">
        <f t="shared" si="853"/>
        <v>89.537588860728619</v>
      </c>
      <c r="W228" s="67"/>
      <c r="X228" s="53">
        <f t="shared" si="853"/>
        <v>81.194702818679389</v>
      </c>
      <c r="Y228" s="53">
        <f t="shared" si="853"/>
        <v>85.08465202099292</v>
      </c>
      <c r="Z228" s="53">
        <f t="shared" si="853"/>
        <v>85.678549109610813</v>
      </c>
      <c r="AA228" s="53">
        <f t="shared" si="853"/>
        <v>89.537588860728619</v>
      </c>
      <c r="AB228" s="67"/>
      <c r="AC228" s="53">
        <f t="shared" ref="AC228:AF228" si="854">AC224/AC227</f>
        <v>81.194702818679389</v>
      </c>
      <c r="AD228" s="53">
        <f t="shared" si="854"/>
        <v>86.030037043448402</v>
      </c>
      <c r="AE228" s="53">
        <f t="shared" si="854"/>
        <v>85.678549109610813</v>
      </c>
      <c r="AF228" s="53">
        <f t="shared" si="854"/>
        <v>89.537588860728619</v>
      </c>
      <c r="AG228" s="67"/>
      <c r="AH228" s="53">
        <f t="shared" ref="AH228:AK228" si="855">AH224/AH227</f>
        <v>81.194702818679389</v>
      </c>
      <c r="AI228" s="53">
        <f t="shared" si="855"/>
        <v>85.08465202099292</v>
      </c>
      <c r="AJ228" s="53">
        <f t="shared" si="855"/>
        <v>85.678549109610813</v>
      </c>
      <c r="AK228" s="53">
        <f t="shared" si="855"/>
        <v>89.537588860728619</v>
      </c>
      <c r="AL228" s="67"/>
    </row>
    <row r="229" spans="1:38" s="47" customFormat="1" outlineLevel="1">
      <c r="A229" s="362"/>
      <c r="B229" s="522" t="s">
        <v>61</v>
      </c>
      <c r="C229" s="523"/>
      <c r="D229" s="66">
        <f t="shared" ref="D229:K229" si="856">D21/D200</f>
        <v>0.40708768741481144</v>
      </c>
      <c r="E229" s="66">
        <f t="shared" si="856"/>
        <v>0.41770766845992524</v>
      </c>
      <c r="F229" s="363">
        <f t="shared" si="856"/>
        <v>0.40134450846865721</v>
      </c>
      <c r="G229" s="363">
        <f t="shared" si="856"/>
        <v>0.38522316550390839</v>
      </c>
      <c r="H229" s="365">
        <f t="shared" si="856"/>
        <v>1.533243674876019</v>
      </c>
      <c r="I229" s="363">
        <f t="shared" si="856"/>
        <v>0.39996315401621224</v>
      </c>
      <c r="J229" s="363">
        <f t="shared" si="856"/>
        <v>0.40743710534228722</v>
      </c>
      <c r="K229" s="363">
        <f t="shared" si="856"/>
        <v>0.464567843866171</v>
      </c>
      <c r="L229" s="68">
        <v>0.38522316550390839</v>
      </c>
      <c r="M229" s="263"/>
      <c r="N229" s="68">
        <v>0.40352542071551184</v>
      </c>
      <c r="O229" s="68">
        <v>0.4125723869011062</v>
      </c>
      <c r="P229" s="68">
        <v>0.43295617616741411</v>
      </c>
      <c r="Q229" s="68">
        <v>0.38522316550390839</v>
      </c>
      <c r="R229" s="263"/>
      <c r="S229" s="68">
        <f>AVERAGE(I229,N229)</f>
        <v>0.40174428736586204</v>
      </c>
      <c r="T229" s="68">
        <f t="shared" ref="T229" si="857">AVERAGE(J229,O229)</f>
        <v>0.41000474612169668</v>
      </c>
      <c r="U229" s="68">
        <f t="shared" ref="U229" si="858">AVERAGE(K229,P229)</f>
        <v>0.44876201001679256</v>
      </c>
      <c r="V229" s="68">
        <f t="shared" ref="V229" si="859">AVERAGE(L229,Q229)</f>
        <v>0.38522316550390839</v>
      </c>
      <c r="W229" s="263"/>
      <c r="X229" s="68">
        <f>AVERAGE(N229,S229)</f>
        <v>0.40263485404068694</v>
      </c>
      <c r="Y229" s="68">
        <f t="shared" ref="Y229" si="860">AVERAGE(O229,T229)</f>
        <v>0.41128856651140144</v>
      </c>
      <c r="Z229" s="68">
        <f t="shared" ref="Z229" si="861">AVERAGE(P229,U229)</f>
        <v>0.44085909309210336</v>
      </c>
      <c r="AA229" s="68">
        <f t="shared" ref="AA229" si="862">AVERAGE(Q229,V229)</f>
        <v>0.38522316550390839</v>
      </c>
      <c r="AB229" s="67"/>
      <c r="AC229" s="68">
        <f>AVERAGE(S229,X229)</f>
        <v>0.40218957070327449</v>
      </c>
      <c r="AD229" s="68">
        <f t="shared" ref="AD229" si="863">AVERAGE(T229,Y229)</f>
        <v>0.41064665631654906</v>
      </c>
      <c r="AE229" s="68">
        <f t="shared" ref="AE229" si="864">AVERAGE(U229,Z229)</f>
        <v>0.44481055155444793</v>
      </c>
      <c r="AF229" s="68">
        <f t="shared" ref="AF229" si="865">AVERAGE(V229,AA229)</f>
        <v>0.38522316550390839</v>
      </c>
      <c r="AG229" s="67"/>
      <c r="AH229" s="68">
        <f>AVERAGE(X229,AC229)</f>
        <v>0.40241221237198072</v>
      </c>
      <c r="AI229" s="68">
        <f t="shared" ref="AI229" si="866">AVERAGE(Y229,AD229)</f>
        <v>0.41096761141397525</v>
      </c>
      <c r="AJ229" s="68">
        <f t="shared" ref="AJ229" si="867">AVERAGE(Z229,AE229)</f>
        <v>0.44283482232327565</v>
      </c>
      <c r="AK229" s="68">
        <f t="shared" ref="AK229" si="868">AVERAGE(AA229,AF229)</f>
        <v>0.38522316550390839</v>
      </c>
      <c r="AL229" s="67"/>
    </row>
    <row r="230" spans="1:38" s="47" customFormat="1" outlineLevel="1">
      <c r="A230" s="362"/>
      <c r="B230" s="526" t="s">
        <v>22</v>
      </c>
      <c r="C230" s="527"/>
      <c r="D230" s="38">
        <f>D224/D229</f>
        <v>225.99553571428572</v>
      </c>
      <c r="E230" s="38">
        <f>E224/E229</f>
        <v>215.46168958742632</v>
      </c>
      <c r="F230" s="299">
        <f>F224/F229</f>
        <v>226.73787252556016</v>
      </c>
      <c r="G230" s="299">
        <f>G224/G229</f>
        <v>238.82260528038412</v>
      </c>
      <c r="H230" s="366"/>
      <c r="I230" s="299">
        <f>I224/I229</f>
        <v>230.02118839244588</v>
      </c>
      <c r="J230" s="299">
        <f>J224/J229</f>
        <v>223.34735547355476</v>
      </c>
      <c r="K230" s="299">
        <f>K224/K229</f>
        <v>195.88097024256064</v>
      </c>
      <c r="L230" s="38">
        <f>L224/L229</f>
        <v>238.82260528038412</v>
      </c>
      <c r="M230" s="62"/>
      <c r="N230" s="38">
        <f>N224/N229</f>
        <v>227.99059310035545</v>
      </c>
      <c r="O230" s="38">
        <f>O224/O229</f>
        <v>218.14353761288692</v>
      </c>
      <c r="P230" s="38">
        <f>P224/P229</f>
        <v>210.18293538515641</v>
      </c>
      <c r="Q230" s="38">
        <f>Q224/Q229</f>
        <v>238.82260528038412</v>
      </c>
      <c r="R230" s="62"/>
      <c r="S230" s="38">
        <f>S224/S229</f>
        <v>229.00138942415649</v>
      </c>
      <c r="T230" s="38">
        <f>T224/T229</f>
        <v>219.50965409870255</v>
      </c>
      <c r="U230" s="38">
        <f>U224/U229</f>
        <v>202.7800882623616</v>
      </c>
      <c r="V230" s="38">
        <f>V224/V229</f>
        <v>238.82260528038412</v>
      </c>
      <c r="W230" s="62"/>
      <c r="X230" s="38">
        <f>X224/X229</f>
        <v>228.49487339887182</v>
      </c>
      <c r="Y230" s="38">
        <f>Y224/Y229</f>
        <v>218.82446371750791</v>
      </c>
      <c r="Z230" s="38">
        <f>Z224/Z229</f>
        <v>206.41515946000567</v>
      </c>
      <c r="AA230" s="38">
        <f>AA224/AA229</f>
        <v>238.82260528038412</v>
      </c>
      <c r="AB230" s="62"/>
      <c r="AC230" s="38">
        <f>AC224/AC229</f>
        <v>228.74785101743805</v>
      </c>
      <c r="AD230" s="38">
        <f>AD224/AD229</f>
        <v>221.60170696690682</v>
      </c>
      <c r="AE230" s="38">
        <f>AE224/AE229</f>
        <v>204.58147784936475</v>
      </c>
      <c r="AF230" s="38">
        <f>AF224/AF229</f>
        <v>238.82260528038412</v>
      </c>
      <c r="AG230" s="62"/>
      <c r="AH230" s="38">
        <f>AH224/AH229</f>
        <v>228.62129222598566</v>
      </c>
      <c r="AI230" s="38">
        <f>AI224/AI229</f>
        <v>218.99535997580438</v>
      </c>
      <c r="AJ230" s="38">
        <f>AJ224/AJ229</f>
        <v>205.49422812456407</v>
      </c>
      <c r="AK230" s="38">
        <f>AK224/AK229</f>
        <v>238.82260528038412</v>
      </c>
      <c r="AL230" s="62"/>
    </row>
    <row r="231" spans="1:38" s="47" customFormat="1" outlineLevel="1">
      <c r="A231" s="362"/>
      <c r="B231" s="522" t="s">
        <v>254</v>
      </c>
      <c r="C231" s="523"/>
      <c r="D231" s="64">
        <f>(D190+D185)/D198</f>
        <v>2.4783172266068774E-2</v>
      </c>
      <c r="E231" s="64">
        <f>(E190+E185)/E198</f>
        <v>1.862044337628033E-2</v>
      </c>
      <c r="F231" s="330">
        <f t="shared" ref="F231:K231" si="869">(F190+F185)/F198</f>
        <v>1.4104190097872643E-2</v>
      </c>
      <c r="G231" s="330">
        <f t="shared" si="869"/>
        <v>1.5114935950133718E-2</v>
      </c>
      <c r="H231" s="366">
        <f t="shared" si="869"/>
        <v>1.5114935950133718E-2</v>
      </c>
      <c r="I231" s="330">
        <f t="shared" si="869"/>
        <v>9.6713821566244626E-3</v>
      </c>
      <c r="J231" s="330">
        <f t="shared" si="869"/>
        <v>9.1597553031598795E-3</v>
      </c>
      <c r="K231" s="330">
        <f t="shared" si="869"/>
        <v>1.5555616562459249E-2</v>
      </c>
      <c r="L231" s="72">
        <f>AVERAGE(G231,I231,J231,K231)</f>
        <v>1.2375422493094326E-2</v>
      </c>
      <c r="M231" s="62"/>
      <c r="N231" s="72">
        <f>AVERAGE(I231,J231,K231,L231)</f>
        <v>1.1690544128834478E-2</v>
      </c>
      <c r="O231" s="72">
        <f>AVERAGE(J231,K231,L231,N231)</f>
        <v>1.2195334621886985E-2</v>
      </c>
      <c r="P231" s="72">
        <f>AVERAGE(K231,L231,N231,O231)</f>
        <v>1.2954229451568759E-2</v>
      </c>
      <c r="Q231" s="72">
        <f>AVERAGE(L231,N231,O231,P231)</f>
        <v>1.2303882673846137E-2</v>
      </c>
      <c r="R231" s="62"/>
      <c r="S231" s="72">
        <f>AVERAGE(N231,O231,P231,Q231)</f>
        <v>1.2285997719034089E-2</v>
      </c>
      <c r="T231" s="72">
        <f>AVERAGE(O231,P231,Q231,S231)</f>
        <v>1.2434861116583993E-2</v>
      </c>
      <c r="U231" s="72">
        <f>AVERAGE(P231,Q231,S231,T231)</f>
        <v>1.2494742740258245E-2</v>
      </c>
      <c r="V231" s="72">
        <f>AVERAGE(Q231,S231,T231,U231)</f>
        <v>1.2379871062430617E-2</v>
      </c>
      <c r="W231" s="62"/>
      <c r="X231" s="72">
        <f>AVERAGE(S231,T231,U231,V231)</f>
        <v>1.2398868159576736E-2</v>
      </c>
      <c r="Y231" s="72">
        <f>AVERAGE(T231,U231,V231,X231)</f>
        <v>1.2427085769712397E-2</v>
      </c>
      <c r="Z231" s="72">
        <f>AVERAGE(U231,V231,X231,Y231)</f>
        <v>1.2425141932994498E-2</v>
      </c>
      <c r="AA231" s="72">
        <f>AVERAGE(V231,X231,Y231,Z231)</f>
        <v>1.2407741731178562E-2</v>
      </c>
      <c r="AB231" s="62"/>
      <c r="AC231" s="72">
        <f>AVERAGE(X231,Y231,Z231,AA231)</f>
        <v>1.2414709398365548E-2</v>
      </c>
      <c r="AD231" s="72">
        <f>AVERAGE(Y231,Z231,AA231,AC231)</f>
        <v>1.2418669708062751E-2</v>
      </c>
      <c r="AE231" s="72">
        <f>AVERAGE(Z231,AA231,AC231,AD231)</f>
        <v>1.2416565692650341E-2</v>
      </c>
      <c r="AF231" s="72">
        <f>AVERAGE(AA231,AC231,AD231,AE231)</f>
        <v>1.2414421632564301E-2</v>
      </c>
      <c r="AG231" s="62"/>
      <c r="AH231" s="72">
        <f>AVERAGE(AC231,AD231,AE231,AF231)</f>
        <v>1.2416091607910736E-2</v>
      </c>
      <c r="AI231" s="72">
        <f>AVERAGE(AD231,AE231,AF231,AH231)</f>
        <v>1.2416437160297032E-2</v>
      </c>
      <c r="AJ231" s="72">
        <f>AVERAGE(AE231,AF231,AH231,AI231)</f>
        <v>1.2415879023355603E-2</v>
      </c>
      <c r="AK231" s="72">
        <f>AVERAGE(AF231,AH231,AI231,AJ231)</f>
        <v>1.2415707356031917E-2</v>
      </c>
      <c r="AL231" s="62"/>
    </row>
    <row r="232" spans="1:38" s="47" customFormat="1" outlineLevel="1">
      <c r="A232" s="362"/>
      <c r="B232" s="51" t="s">
        <v>253</v>
      </c>
      <c r="C232" s="294"/>
      <c r="D232" s="64">
        <f>D185/(D185+D190)</f>
        <v>0.4648626817447496</v>
      </c>
      <c r="E232" s="64">
        <f>E185/(E185+E190)</f>
        <v>0.23318112633181123</v>
      </c>
      <c r="F232" s="330">
        <f t="shared" ref="F232:K232" si="870">F185/(F185+F190)</f>
        <v>0.24465558194774345</v>
      </c>
      <c r="G232" s="330">
        <f t="shared" si="870"/>
        <v>0.24268502581755594</v>
      </c>
      <c r="H232" s="366">
        <f t="shared" si="870"/>
        <v>0.24268502581755594</v>
      </c>
      <c r="I232" s="330">
        <f t="shared" si="870"/>
        <v>0.25503355704697983</v>
      </c>
      <c r="J232" s="330">
        <f t="shared" si="870"/>
        <v>0.21017083829956296</v>
      </c>
      <c r="K232" s="330">
        <f t="shared" si="870"/>
        <v>0.50716964482682547</v>
      </c>
      <c r="L232" s="72">
        <f>AVERAGE(G232,I232,J232,K232)</f>
        <v>0.30376476649773104</v>
      </c>
      <c r="M232" s="62"/>
      <c r="N232" s="72">
        <f>AVERAGE(I232,J232,K232,L232)</f>
        <v>0.31903470166777481</v>
      </c>
      <c r="O232" s="72">
        <f>AVERAGE(J232,K232,L232,N232)</f>
        <v>0.33503498782297358</v>
      </c>
      <c r="P232" s="72">
        <f>AVERAGE(K232,L232,N232,O232)</f>
        <v>0.36625102520382624</v>
      </c>
      <c r="Q232" s="72">
        <f>AVERAGE(L232,N232,O232,P232)</f>
        <v>0.33102137029807643</v>
      </c>
      <c r="R232" s="62"/>
      <c r="S232" s="72">
        <f>AVERAGE(N232,O232,P232,Q232)</f>
        <v>0.33783552124816274</v>
      </c>
      <c r="T232" s="72">
        <f>AVERAGE(O232,P232,Q232,S232)</f>
        <v>0.34253572614325972</v>
      </c>
      <c r="U232" s="72">
        <f>AVERAGE(P232,Q232,S232,T232)</f>
        <v>0.3444109107233313</v>
      </c>
      <c r="V232" s="72">
        <f>AVERAGE(Q232,S232,T232,U232)</f>
        <v>0.33895088210320756</v>
      </c>
      <c r="W232" s="62"/>
      <c r="X232" s="72">
        <f>AVERAGE(S232,T232,U232,V232)</f>
        <v>0.34093326005449032</v>
      </c>
      <c r="Y232" s="72">
        <f>AVERAGE(T232,U232,V232,X232)</f>
        <v>0.34170769475607227</v>
      </c>
      <c r="Z232" s="72">
        <f>AVERAGE(U232,V232,X232,Y232)</f>
        <v>0.34150068690927537</v>
      </c>
      <c r="AA232" s="72">
        <f>AVERAGE(V232,X232,Y232,Z232)</f>
        <v>0.34077313095576139</v>
      </c>
      <c r="AB232" s="62"/>
      <c r="AC232" s="72">
        <f>AVERAGE(X232,Y232,Z232,AA232)</f>
        <v>0.34122869316889981</v>
      </c>
      <c r="AD232" s="72">
        <f>AVERAGE(Y232,Z232,AA232,AC232)</f>
        <v>0.34130255144750221</v>
      </c>
      <c r="AE232" s="72">
        <f>AVERAGE(Z232,AA232,AC232,AD232)</f>
        <v>0.34120126562035968</v>
      </c>
      <c r="AF232" s="72">
        <f>AVERAGE(AA232,AC232,AD232,AE232)</f>
        <v>0.34112641029813084</v>
      </c>
      <c r="AG232" s="62"/>
      <c r="AH232" s="72">
        <f>AVERAGE(AC232,AD232,AE232,AF232)</f>
        <v>0.34121473013372311</v>
      </c>
      <c r="AI232" s="72">
        <f>AVERAGE(AD232,AE232,AF232,AH232)</f>
        <v>0.34121123937492898</v>
      </c>
      <c r="AJ232" s="72">
        <f>AVERAGE(AE232,AF232,AH232,AI232)</f>
        <v>0.34118841135678563</v>
      </c>
      <c r="AK232" s="72">
        <f>AVERAGE(AF232,AH232,AI232,AJ232)</f>
        <v>0.34118519779089213</v>
      </c>
      <c r="AL232" s="62"/>
    </row>
    <row r="233" spans="1:38" s="47" customFormat="1" outlineLevel="1">
      <c r="A233" s="362"/>
      <c r="B233" s="84" t="s">
        <v>255</v>
      </c>
      <c r="C233" s="294"/>
      <c r="D233" s="64">
        <f>+(D206+D209)/D219</f>
        <v>-3.1717034875642636</v>
      </c>
      <c r="E233" s="64">
        <f>+(E206+E209)/E219</f>
        <v>-1.8304138862408643</v>
      </c>
      <c r="F233" s="330">
        <f>+(F206+F209)/F219</f>
        <v>-2.5837230840472332</v>
      </c>
      <c r="G233" s="330">
        <f>+(G206+G209)/G219</f>
        <v>-1.7921681913015568</v>
      </c>
      <c r="H233" s="366"/>
      <c r="I233" s="330">
        <f>+(I206+I209)/I219</f>
        <v>-1.7235726649997785</v>
      </c>
      <c r="J233" s="330">
        <f>+(J206+J209)/J219</f>
        <v>-1.8605318005017988</v>
      </c>
      <c r="K233" s="330">
        <f>+(K206+K209)/K219</f>
        <v>-1.9516598448569742</v>
      </c>
      <c r="L233" s="64">
        <f>+(L206+L209)/L219</f>
        <v>-1.8313206881632969</v>
      </c>
      <c r="M233" s="62"/>
      <c r="N233" s="64">
        <f>+(N206+N209)/N219</f>
        <v>-1.7798161433250499</v>
      </c>
      <c r="O233" s="64">
        <f>+(O206+O209)/O219</f>
        <v>-1.6987614577831929</v>
      </c>
      <c r="P233" s="64">
        <f>+(P206+P209)/P219</f>
        <v>-1.6437774550146258</v>
      </c>
      <c r="Q233" s="64">
        <f>+(Q206+Q209)/Q219</f>
        <v>-1.7062248946275536</v>
      </c>
      <c r="R233" s="62"/>
      <c r="S233" s="64">
        <f t="shared" ref="S233:AA233" si="871">+(S206+S209)/S219</f>
        <v>-1.7288953804171694</v>
      </c>
      <c r="T233" s="64">
        <f t="shared" si="871"/>
        <v>-1.6675612480921072</v>
      </c>
      <c r="U233" s="64">
        <f t="shared" si="871"/>
        <v>-1.607430149029214</v>
      </c>
      <c r="V233" s="64">
        <f t="shared" si="871"/>
        <v>-1.7124285684942746</v>
      </c>
      <c r="W233" s="62">
        <f t="shared" si="871"/>
        <v>-1.7124285684942746</v>
      </c>
      <c r="X233" s="64">
        <f t="shared" si="871"/>
        <v>-1.7211960503702564</v>
      </c>
      <c r="Y233" s="64">
        <f t="shared" si="871"/>
        <v>-1.6475699623305993</v>
      </c>
      <c r="Z233" s="64">
        <f t="shared" si="871"/>
        <v>-1.587782098880864</v>
      </c>
      <c r="AA233" s="64">
        <f t="shared" si="871"/>
        <v>-1.7605372084672946</v>
      </c>
      <c r="AB233" s="62"/>
      <c r="AC233" s="64">
        <f>+(AC206+AC209)/AC219</f>
        <v>-1.7713912900552733</v>
      </c>
      <c r="AD233" s="64">
        <f>+(AD206+AD209)/AD219</f>
        <v>-1.6871578598789465</v>
      </c>
      <c r="AE233" s="64">
        <f>+(AE206+AE209)/AE219</f>
        <v>-1.618068051301788</v>
      </c>
      <c r="AF233" s="64">
        <f>+(AF206+AF209)/AF219</f>
        <v>-1.9602671050839595</v>
      </c>
      <c r="AG233" s="62"/>
      <c r="AH233" s="64">
        <f>+(AH206+AH209)/AH219</f>
        <v>-1.95271727269381</v>
      </c>
      <c r="AI233" s="64">
        <f>+(AI206+AI209)/AI219</f>
        <v>-1.8264744209739947</v>
      </c>
      <c r="AJ233" s="64">
        <f>+(AJ206+AJ209)/AJ219</f>
        <v>-1.7190466305757457</v>
      </c>
      <c r="AK233" s="64">
        <f>+(AK206+AK209)/AK219</f>
        <v>-1.9315873378672321</v>
      </c>
      <c r="AL233" s="62"/>
    </row>
    <row r="234" spans="1:38" s="47" customFormat="1" outlineLevel="1">
      <c r="A234" s="362"/>
      <c r="B234" s="51" t="s">
        <v>256</v>
      </c>
      <c r="C234" s="294"/>
      <c r="D234" s="64">
        <f>+D206/(D206+D209)</f>
        <v>0</v>
      </c>
      <c r="E234" s="64">
        <f>+E206/(E206+E209)</f>
        <v>8.1375793413985785E-3</v>
      </c>
      <c r="F234" s="330">
        <f>+F206/(F206+F209)</f>
        <v>0</v>
      </c>
      <c r="G234" s="330">
        <f>+G206/(G206+G209)</f>
        <v>0</v>
      </c>
      <c r="H234" s="366"/>
      <c r="I234" s="330">
        <f>+I206/(I206+I209)</f>
        <v>8.5546532987690757E-2</v>
      </c>
      <c r="J234" s="330">
        <f>+J206/(J206+J209)</f>
        <v>0.16813887778982817</v>
      </c>
      <c r="K234" s="330">
        <f>+K206/(K206+K209)</f>
        <v>0.12987992894360045</v>
      </c>
      <c r="L234" s="64">
        <f>+L206/(L206+L209)</f>
        <v>0.10668691711345739</v>
      </c>
      <c r="M234" s="62"/>
      <c r="N234" s="64">
        <f>+N206/(N206+N209)</f>
        <v>8.2223628718424327E-2</v>
      </c>
      <c r="O234" s="64">
        <f>+O206/(O206+O209)</f>
        <v>5.6382766241213342E-2</v>
      </c>
      <c r="P234" s="64">
        <f>+P206/(P206+P209)</f>
        <v>2.9044597810881936E-2</v>
      </c>
      <c r="Q234" s="64">
        <f>+Q206/(Q206+Q209)</f>
        <v>6.6025776463131208E-2</v>
      </c>
      <c r="R234" s="62"/>
      <c r="S234" s="64">
        <f t="shared" ref="S234:AA234" si="872">+S206/(S206+S209)</f>
        <v>5.0350439055828568E-2</v>
      </c>
      <c r="T234" s="64">
        <f t="shared" si="872"/>
        <v>3.4139946468563935E-2</v>
      </c>
      <c r="U234" s="64">
        <f t="shared" si="872"/>
        <v>1.7366417516463364E-2</v>
      </c>
      <c r="V234" s="64">
        <f t="shared" si="872"/>
        <v>6.6464614239378952E-2</v>
      </c>
      <c r="W234" s="62">
        <f t="shared" si="872"/>
        <v>6.6464614239378952E-2</v>
      </c>
      <c r="X234" s="64">
        <f t="shared" si="872"/>
        <v>5.0690745897428967E-2</v>
      </c>
      <c r="Y234" s="64">
        <f t="shared" si="872"/>
        <v>3.4374656253437462E-2</v>
      </c>
      <c r="Z234" s="64">
        <f t="shared" si="872"/>
        <v>1.7487898374324965E-2</v>
      </c>
      <c r="AA234" s="64">
        <f t="shared" si="872"/>
        <v>9.962165721885774E-2</v>
      </c>
      <c r="AB234" s="62"/>
      <c r="AC234" s="64">
        <f>+AC206/(AC206+AC209)</f>
        <v>7.6624610586743566E-2</v>
      </c>
      <c r="AD234" s="64">
        <f>+AD206/(AD206+AD209)</f>
        <v>5.2422012488873487E-2</v>
      </c>
      <c r="AE234" s="64">
        <f>+AE206/(AE206+AE209)</f>
        <v>2.6916515192218458E-2</v>
      </c>
      <c r="AF234" s="64">
        <f>+AF206/(AF206+AF209)</f>
        <v>0.17808804673030348</v>
      </c>
      <c r="AG234" s="62"/>
      <c r="AH234" s="64">
        <f>+AH206/(AH206+AH209)</f>
        <v>0.13978975620666517</v>
      </c>
      <c r="AI234" s="64">
        <f>+AI206/(AI206+AI209)</f>
        <v>9.7747888645605255E-2</v>
      </c>
      <c r="AJ234" s="64">
        <f>+AJ206/(AJ206+AJ209)</f>
        <v>5.1385349009290468E-2</v>
      </c>
      <c r="AK234" s="64">
        <f>+AK206/(AK206+AK209)</f>
        <v>0.12701961182806626</v>
      </c>
      <c r="AL234" s="62"/>
    </row>
    <row r="235" spans="1:38" s="47" customFormat="1" outlineLevel="1">
      <c r="A235" s="362"/>
      <c r="B235" s="84" t="s">
        <v>250</v>
      </c>
      <c r="C235" s="294"/>
      <c r="D235" s="64">
        <f>+D194/(D205+D211)</f>
        <v>7.7585075018799465E-2</v>
      </c>
      <c r="E235" s="64">
        <f>+E194/(E205+E211)</f>
        <v>0.12468259571674534</v>
      </c>
      <c r="F235" s="321">
        <f t="shared" ref="F235:K235" si="873">+F194/(F205+F211)</f>
        <v>0.19119242713361023</v>
      </c>
      <c r="G235" s="321">
        <f t="shared" si="873"/>
        <v>0.22035590386103276</v>
      </c>
      <c r="H235" s="361">
        <f t="shared" si="873"/>
        <v>0.22035590386103276</v>
      </c>
      <c r="I235" s="360">
        <f t="shared" si="873"/>
        <v>0.20507171706404201</v>
      </c>
      <c r="J235" s="360">
        <f t="shared" si="873"/>
        <v>0.21050752296288999</v>
      </c>
      <c r="K235" s="321">
        <f t="shared" si="873"/>
        <v>0.2146584586535733</v>
      </c>
      <c r="L235" s="73">
        <f>AVERAGE(G235,I235,J235,K235)</f>
        <v>0.21264840063538454</v>
      </c>
      <c r="M235" s="96"/>
      <c r="N235" s="57">
        <f>AVERAGE(I235,J235,K235,L235)</f>
        <v>0.2107215248289725</v>
      </c>
      <c r="O235" s="57">
        <f>AVERAGE(J235,K235,L235,N235)</f>
        <v>0.21213397677020507</v>
      </c>
      <c r="P235" s="73">
        <f>AVERAGE(K235,L235,N235,O235)</f>
        <v>0.21254059022203386</v>
      </c>
      <c r="Q235" s="73">
        <f>AVERAGE(L235,N235,O235,P235)</f>
        <v>0.21201112311414899</v>
      </c>
      <c r="R235" s="96"/>
      <c r="S235" s="57">
        <f>AVERAGE(N235,O235,P235,Q235)</f>
        <v>0.2118518037338401</v>
      </c>
      <c r="T235" s="57">
        <f>AVERAGE(O235,P235,Q235,S235)</f>
        <v>0.21213437346005704</v>
      </c>
      <c r="U235" s="73">
        <f>AVERAGE(P235,Q235,S235,T235)</f>
        <v>0.21213447263252</v>
      </c>
      <c r="V235" s="73">
        <f>AVERAGE(Q235,S235,T235,U235)</f>
        <v>0.21203294323514155</v>
      </c>
      <c r="W235" s="96"/>
      <c r="X235" s="57">
        <f>AVERAGE(S235,T235,U235,V235)</f>
        <v>0.21203839826538967</v>
      </c>
      <c r="Y235" s="57">
        <f>AVERAGE(T235,U235,V235,X235)</f>
        <v>0.21208504689827706</v>
      </c>
      <c r="Z235" s="73">
        <f>AVERAGE(U235,V235,X235,Y235)</f>
        <v>0.21207271525783206</v>
      </c>
      <c r="AA235" s="181">
        <f>AVERAGE(V235,X235,Y235,Z235)</f>
        <v>0.21205727591416007</v>
      </c>
      <c r="AB235" s="62"/>
      <c r="AC235" s="57">
        <f>AVERAGE(X235,Y235,Z235,AA235)</f>
        <v>0.21206335908391472</v>
      </c>
      <c r="AD235" s="57">
        <f>AVERAGE(Y235,Z235,AA235,AC235)</f>
        <v>0.21206959928854596</v>
      </c>
      <c r="AE235" s="73">
        <f>AVERAGE(Z235,AA235,AC235,AD235)</f>
        <v>0.2120657373861132</v>
      </c>
      <c r="AF235" s="181">
        <f>AVERAGE(AA235,AC235,AD235,AE235)</f>
        <v>0.21206399291818351</v>
      </c>
      <c r="AG235" s="62"/>
      <c r="AH235" s="57">
        <f>AVERAGE(AC235,AD235,AE235,AF235)</f>
        <v>0.21206567216918937</v>
      </c>
      <c r="AI235" s="57">
        <f>AVERAGE(AD235,AE235,AF235,AH235)</f>
        <v>0.21206625044050803</v>
      </c>
      <c r="AJ235" s="73">
        <f>AVERAGE(AE235,AF235,AH235,AI235)</f>
        <v>0.21206541322849853</v>
      </c>
      <c r="AK235" s="181">
        <f>AVERAGE(AF235,AH235,AI235,AJ235)</f>
        <v>0.21206533218909485</v>
      </c>
      <c r="AL235" s="62"/>
    </row>
    <row r="236" spans="1:38" outlineLevel="1">
      <c r="A236" s="297"/>
      <c r="B236" s="95" t="s">
        <v>73</v>
      </c>
      <c r="C236" s="295"/>
      <c r="D236" s="264"/>
      <c r="E236" s="264">
        <f>+E242/((E192+D192)/2)</f>
        <v>6.122482504846076E-2</v>
      </c>
      <c r="F236" s="367">
        <f t="shared" ref="F236:H236" si="874">+F242/((F192+E192)/2)</f>
        <v>5.8442138063667992E-2</v>
      </c>
      <c r="G236" s="367">
        <f t="shared" si="874"/>
        <v>5.7957922263164152E-2</v>
      </c>
      <c r="H236" s="368">
        <f t="shared" si="874"/>
        <v>0.2253370026587061</v>
      </c>
      <c r="I236" s="369">
        <f>+I242/((I192+G192)/2)</f>
        <v>5.75858250276855E-2</v>
      </c>
      <c r="J236" s="369">
        <f>+J242/((J192+I192)/2)</f>
        <v>5.9117695395957084E-2</v>
      </c>
      <c r="K236" s="367">
        <f>+K242/((K192+J192)/2)</f>
        <v>5.9467301657388859E-2</v>
      </c>
      <c r="L236" s="169">
        <f>AVERAGE(G236,I236,J236,K236)</f>
        <v>5.8532186086048897E-2</v>
      </c>
      <c r="M236" s="118"/>
      <c r="N236" s="170">
        <f>AVERAGE(I236,J236,K236,L236)</f>
        <v>5.8675752041770085E-2</v>
      </c>
      <c r="O236" s="170">
        <f>AVERAGE(J236,K236,L236,N236)</f>
        <v>5.8948233795291231E-2</v>
      </c>
      <c r="P236" s="169">
        <f>AVERAGE(K236,L236,N236,O236)</f>
        <v>5.8905868395124766E-2</v>
      </c>
      <c r="Q236" s="169">
        <f>AVERAGE(L236,N236,O236,P236)</f>
        <v>5.8765510079558748E-2</v>
      </c>
      <c r="R236" s="118"/>
      <c r="S236" s="170">
        <f>AVERAGE(N236,O236,P236,Q236)</f>
        <v>5.8823841077936208E-2</v>
      </c>
      <c r="T236" s="170">
        <f>AVERAGE(O236,P236,Q236,S236)</f>
        <v>5.8860863336977737E-2</v>
      </c>
      <c r="U236" s="169">
        <f>AVERAGE(P236,Q236,S236,T236)</f>
        <v>5.8839020722399361E-2</v>
      </c>
      <c r="V236" s="169">
        <f>AVERAGE(Q236,S236,T236,U236)</f>
        <v>5.8822308804218008E-2</v>
      </c>
      <c r="W236" s="118"/>
      <c r="X236" s="170">
        <f>AVERAGE(S236,T236,U236,V236)</f>
        <v>5.8836508485382827E-2</v>
      </c>
      <c r="Y236" s="170">
        <f>AVERAGE(T236,U236,V236,X236)</f>
        <v>5.8839675337244483E-2</v>
      </c>
      <c r="Z236" s="169">
        <f>AVERAGE(U236,V236,X236,Y236)</f>
        <v>5.8834378337311172E-2</v>
      </c>
      <c r="AA236" s="169">
        <f>AVERAGE(V236,X236,Y236,Z236)</f>
        <v>5.8833217741039126E-2</v>
      </c>
      <c r="AB236" s="265"/>
      <c r="AC236" s="170">
        <f>AVERAGE(X236,Y236,Z236,AA236)</f>
        <v>5.88359449752444E-2</v>
      </c>
      <c r="AD236" s="170">
        <f>AVERAGE(Y236,Z236,AA236,AC236)</f>
        <v>5.8835804097709804E-2</v>
      </c>
      <c r="AE236" s="169">
        <f>AVERAGE(Z236,AA236,AC236,AD236)</f>
        <v>5.8834836287826126E-2</v>
      </c>
      <c r="AF236" s="169">
        <f>AVERAGE(AA236,AC236,AD236,AE236)</f>
        <v>5.8834950775454864E-2</v>
      </c>
      <c r="AG236" s="265"/>
      <c r="AH236" s="170">
        <f>AVERAGE(AC236,AD236,AE236,AF236)</f>
        <v>5.8835384034058802E-2</v>
      </c>
      <c r="AI236" s="170">
        <f>AVERAGE(AD236,AE236,AF236,AH236)</f>
        <v>5.8835243798762399E-2</v>
      </c>
      <c r="AJ236" s="169">
        <f>AVERAGE(AE236,AF236,AH236,AI236)</f>
        <v>5.8835103724025548E-2</v>
      </c>
      <c r="AK236" s="169">
        <f>AVERAGE(AF236,AH236,AI236,AJ236)</f>
        <v>5.88351705830754E-2</v>
      </c>
      <c r="AL236" s="265"/>
    </row>
    <row r="237" spans="1:38">
      <c r="A237" s="297"/>
      <c r="B237" s="19"/>
      <c r="C237" s="19"/>
      <c r="D237" s="13"/>
      <c r="E237" s="13"/>
      <c r="F237" s="13"/>
      <c r="G237" s="13"/>
    </row>
    <row r="238" spans="1:38" ht="15.75">
      <c r="A238" s="297"/>
      <c r="B238" s="524" t="s">
        <v>122</v>
      </c>
      <c r="C238" s="525"/>
      <c r="D238" s="35" t="s">
        <v>110</v>
      </c>
      <c r="E238" s="35" t="s">
        <v>282</v>
      </c>
      <c r="F238" s="35" t="s">
        <v>284</v>
      </c>
      <c r="G238" s="35" t="s">
        <v>124</v>
      </c>
      <c r="H238" s="102" t="s">
        <v>124</v>
      </c>
      <c r="I238" s="35" t="s">
        <v>125</v>
      </c>
      <c r="J238" s="35" t="s">
        <v>126</v>
      </c>
      <c r="K238" s="35" t="s">
        <v>127</v>
      </c>
      <c r="L238" s="37" t="s">
        <v>128</v>
      </c>
      <c r="M238" s="105" t="s">
        <v>128</v>
      </c>
      <c r="N238" s="37" t="s">
        <v>129</v>
      </c>
      <c r="O238" s="37" t="s">
        <v>130</v>
      </c>
      <c r="P238" s="37" t="s">
        <v>131</v>
      </c>
      <c r="Q238" s="37" t="s">
        <v>132</v>
      </c>
      <c r="R238" s="105" t="s">
        <v>132</v>
      </c>
      <c r="S238" s="37" t="s">
        <v>133</v>
      </c>
      <c r="T238" s="37" t="s">
        <v>134</v>
      </c>
      <c r="U238" s="37" t="s">
        <v>135</v>
      </c>
      <c r="V238" s="37" t="s">
        <v>136</v>
      </c>
      <c r="W238" s="105" t="s">
        <v>136</v>
      </c>
      <c r="X238" s="37" t="s">
        <v>137</v>
      </c>
      <c r="Y238" s="37" t="s">
        <v>138</v>
      </c>
      <c r="Z238" s="37" t="s">
        <v>139</v>
      </c>
      <c r="AA238" s="37" t="s">
        <v>140</v>
      </c>
      <c r="AB238" s="105" t="s">
        <v>140</v>
      </c>
      <c r="AC238" s="37" t="s">
        <v>286</v>
      </c>
      <c r="AD238" s="37" t="s">
        <v>287</v>
      </c>
      <c r="AE238" s="37" t="s">
        <v>288</v>
      </c>
      <c r="AF238" s="37" t="s">
        <v>289</v>
      </c>
      <c r="AG238" s="105" t="s">
        <v>289</v>
      </c>
      <c r="AH238" s="37" t="s">
        <v>319</v>
      </c>
      <c r="AI238" s="37" t="s">
        <v>320</v>
      </c>
      <c r="AJ238" s="37" t="s">
        <v>321</v>
      </c>
      <c r="AK238" s="37" t="s">
        <v>322</v>
      </c>
      <c r="AL238" s="105" t="s">
        <v>322</v>
      </c>
    </row>
    <row r="239" spans="1:38" ht="17.25">
      <c r="A239" s="297"/>
      <c r="B239" s="88" t="s">
        <v>3</v>
      </c>
      <c r="C239" s="107"/>
      <c r="D239" s="36" t="s">
        <v>123</v>
      </c>
      <c r="E239" s="36" t="s">
        <v>281</v>
      </c>
      <c r="F239" s="36" t="s">
        <v>285</v>
      </c>
      <c r="G239" s="36" t="s">
        <v>295</v>
      </c>
      <c r="H239" s="103" t="s">
        <v>296</v>
      </c>
      <c r="I239" s="36" t="s">
        <v>297</v>
      </c>
      <c r="J239" s="36" t="s">
        <v>298</v>
      </c>
      <c r="K239" s="36" t="s">
        <v>299</v>
      </c>
      <c r="L239" s="34" t="s">
        <v>141</v>
      </c>
      <c r="M239" s="106" t="s">
        <v>142</v>
      </c>
      <c r="N239" s="34" t="s">
        <v>143</v>
      </c>
      <c r="O239" s="34" t="s">
        <v>144</v>
      </c>
      <c r="P239" s="34" t="s">
        <v>145</v>
      </c>
      <c r="Q239" s="34" t="s">
        <v>146</v>
      </c>
      <c r="R239" s="106" t="s">
        <v>147</v>
      </c>
      <c r="S239" s="34" t="s">
        <v>148</v>
      </c>
      <c r="T239" s="34" t="s">
        <v>149</v>
      </c>
      <c r="U239" s="34" t="s">
        <v>150</v>
      </c>
      <c r="V239" s="34" t="s">
        <v>151</v>
      </c>
      <c r="W239" s="106" t="s">
        <v>152</v>
      </c>
      <c r="X239" s="34" t="s">
        <v>153</v>
      </c>
      <c r="Y239" s="34" t="s">
        <v>154</v>
      </c>
      <c r="Z239" s="34" t="s">
        <v>155</v>
      </c>
      <c r="AA239" s="34" t="s">
        <v>156</v>
      </c>
      <c r="AB239" s="106" t="s">
        <v>157</v>
      </c>
      <c r="AC239" s="34" t="s">
        <v>290</v>
      </c>
      <c r="AD239" s="34" t="s">
        <v>291</v>
      </c>
      <c r="AE239" s="34" t="s">
        <v>292</v>
      </c>
      <c r="AF239" s="34" t="s">
        <v>293</v>
      </c>
      <c r="AG239" s="106" t="s">
        <v>294</v>
      </c>
      <c r="AH239" s="34" t="s">
        <v>323</v>
      </c>
      <c r="AI239" s="34" t="s">
        <v>324</v>
      </c>
      <c r="AJ239" s="34" t="s">
        <v>325</v>
      </c>
      <c r="AK239" s="34" t="s">
        <v>326</v>
      </c>
      <c r="AL239" s="106" t="s">
        <v>327</v>
      </c>
    </row>
    <row r="240" spans="1:38" outlineLevel="1">
      <c r="A240" s="297"/>
      <c r="B240" s="534" t="s">
        <v>11</v>
      </c>
      <c r="C240" s="535"/>
      <c r="D240" s="13"/>
      <c r="E240" s="13"/>
      <c r="F240" s="13"/>
      <c r="G240" s="13"/>
      <c r="H240" s="15"/>
      <c r="I240" s="13"/>
      <c r="J240" s="13"/>
      <c r="K240" s="357"/>
      <c r="L240" s="13"/>
      <c r="M240" s="15"/>
      <c r="N240" s="13"/>
      <c r="O240" s="13"/>
      <c r="P240" s="13"/>
      <c r="Q240" s="13"/>
      <c r="R240" s="15"/>
      <c r="S240" s="13"/>
      <c r="T240" s="13"/>
      <c r="U240" s="13"/>
      <c r="V240" s="13"/>
      <c r="W240" s="15"/>
      <c r="X240" s="13"/>
      <c r="Y240" s="13"/>
      <c r="Z240" s="13"/>
      <c r="AA240" s="13"/>
      <c r="AB240" s="15"/>
      <c r="AC240" s="13"/>
      <c r="AD240" s="13"/>
      <c r="AE240" s="13"/>
      <c r="AF240" s="13"/>
      <c r="AG240" s="15"/>
      <c r="AH240" s="13"/>
      <c r="AI240" s="13"/>
      <c r="AJ240" s="13"/>
      <c r="AK240" s="13"/>
      <c r="AL240" s="15"/>
    </row>
    <row r="241" spans="1:38" outlineLevel="1">
      <c r="A241" s="297"/>
      <c r="B241" s="65" t="s">
        <v>233</v>
      </c>
      <c r="C241" s="163"/>
      <c r="D241" s="38">
        <f>D33</f>
        <v>760.40000000000043</v>
      </c>
      <c r="E241" s="299">
        <f>E33-0.2</f>
        <v>658.59999999999968</v>
      </c>
      <c r="F241" s="38">
        <f>F33</f>
        <v>1373.200000000001</v>
      </c>
      <c r="G241" s="38">
        <f>G33+0.2</f>
        <v>802.400000000001</v>
      </c>
      <c r="H241" s="39">
        <f t="shared" ref="H241:AL241" si="875">H33</f>
        <v>3594.6000000000054</v>
      </c>
      <c r="I241" s="38">
        <f t="shared" si="875"/>
        <v>885.29999999999882</v>
      </c>
      <c r="J241" s="38">
        <f t="shared" si="875"/>
        <v>324.79999999999905</v>
      </c>
      <c r="K241" s="38">
        <f t="shared" si="875"/>
        <v>-678.09999999999923</v>
      </c>
      <c r="L241" s="38">
        <f t="shared" si="875"/>
        <v>240.77661880688891</v>
      </c>
      <c r="M241" s="39">
        <f t="shared" si="875"/>
        <v>772.77661880688652</v>
      </c>
      <c r="N241" s="38">
        <f t="shared" si="875"/>
        <v>494.94403023518566</v>
      </c>
      <c r="O241" s="38">
        <f t="shared" si="875"/>
        <v>350.76408782488403</v>
      </c>
      <c r="P241" s="38">
        <f t="shared" si="875"/>
        <v>476.92418989165333</v>
      </c>
      <c r="Q241" s="38">
        <f t="shared" si="875"/>
        <v>848.54931896557582</v>
      </c>
      <c r="R241" s="39">
        <f t="shared" si="875"/>
        <v>2171.1816269172969</v>
      </c>
      <c r="S241" s="38">
        <f t="shared" si="875"/>
        <v>862.77612511426514</v>
      </c>
      <c r="T241" s="38">
        <f t="shared" si="875"/>
        <v>513.23107528882122</v>
      </c>
      <c r="U241" s="38">
        <f t="shared" si="875"/>
        <v>571.3288320509298</v>
      </c>
      <c r="V241" s="38">
        <f t="shared" si="875"/>
        <v>969.3246129942994</v>
      </c>
      <c r="W241" s="39">
        <f t="shared" si="875"/>
        <v>2916.6606454483117</v>
      </c>
      <c r="X241" s="38">
        <f t="shared" si="875"/>
        <v>984.68611688363308</v>
      </c>
      <c r="Y241" s="38">
        <f t="shared" si="875"/>
        <v>579.09559233636674</v>
      </c>
      <c r="Z241" s="38">
        <f t="shared" si="875"/>
        <v>631.66332806127468</v>
      </c>
      <c r="AA241" s="38">
        <f t="shared" si="875"/>
        <v>1033.4846651886276</v>
      </c>
      <c r="AB241" s="39">
        <f t="shared" si="875"/>
        <v>3228.9297024699076</v>
      </c>
      <c r="AC241" s="38">
        <f t="shared" si="875"/>
        <v>1091.9260587983567</v>
      </c>
      <c r="AD241" s="38">
        <f t="shared" si="875"/>
        <v>641.99480326098455</v>
      </c>
      <c r="AE241" s="38">
        <f t="shared" si="875"/>
        <v>699.77408675057688</v>
      </c>
      <c r="AF241" s="38">
        <f t="shared" si="875"/>
        <v>1119.0857244792462</v>
      </c>
      <c r="AG241" s="39">
        <f t="shared" si="875"/>
        <v>3552.7806732891586</v>
      </c>
      <c r="AH241" s="38">
        <f t="shared" si="875"/>
        <v>1197.4063713945632</v>
      </c>
      <c r="AI241" s="38">
        <f t="shared" si="875"/>
        <v>708.05814137127413</v>
      </c>
      <c r="AJ241" s="38">
        <f t="shared" si="875"/>
        <v>772.81698395096146</v>
      </c>
      <c r="AK241" s="38">
        <f t="shared" si="875"/>
        <v>1222.3364308866269</v>
      </c>
      <c r="AL241" s="39">
        <f t="shared" si="875"/>
        <v>3900.6179276034272</v>
      </c>
    </row>
    <row r="242" spans="1:38" outlineLevel="1">
      <c r="A242" s="297"/>
      <c r="B242" s="65" t="s">
        <v>71</v>
      </c>
      <c r="C242" s="163"/>
      <c r="D242" s="38">
        <v>350.8</v>
      </c>
      <c r="E242" s="38">
        <f>723.5-D242</f>
        <v>372.7</v>
      </c>
      <c r="F242" s="38">
        <f>1083.6-E242-D242</f>
        <v>360.09999999999985</v>
      </c>
      <c r="G242" s="38">
        <f>1449.3-F242-E242-D242</f>
        <v>365.7</v>
      </c>
      <c r="H242" s="39">
        <f t="shared" ref="H242:H248" si="876">SUM(D242:G242)</f>
        <v>1449.3</v>
      </c>
      <c r="I242" s="38">
        <v>369.2</v>
      </c>
      <c r="J242" s="38">
        <f>746.9-I242</f>
        <v>377.7</v>
      </c>
      <c r="K242" s="38">
        <f>1124-J242-I242</f>
        <v>377.09999999999997</v>
      </c>
      <c r="L242" s="38">
        <f>(K192*L236)</f>
        <v>368.49523072332948</v>
      </c>
      <c r="M242" s="39">
        <f t="shared" ref="M242:M248" si="877">SUM(I242:L242)</f>
        <v>1492.4952307233295</v>
      </c>
      <c r="N242" s="38">
        <f>(M192*N236)</f>
        <v>369.09492723944282</v>
      </c>
      <c r="O242" s="38">
        <f>(N192*O236)</f>
        <v>372.61811025842934</v>
      </c>
      <c r="P242" s="38">
        <f>(O192*P236)</f>
        <v>370.36394554263802</v>
      </c>
      <c r="Q242" s="38">
        <f>(P192*Q236)</f>
        <v>368.79486500306109</v>
      </c>
      <c r="R242" s="39">
        <f t="shared" ref="R242:R248" si="878">SUM(N242:Q242)</f>
        <v>1480.8718480435714</v>
      </c>
      <c r="S242" s="38">
        <f>(R192*S236)</f>
        <v>374.82510534372193</v>
      </c>
      <c r="T242" s="38">
        <f>(S192*T236)</f>
        <v>380.13986702060436</v>
      </c>
      <c r="U242" s="38">
        <f>(T192*U236)</f>
        <v>378.53094735969984</v>
      </c>
      <c r="V242" s="38">
        <f>(U192*V236)</f>
        <v>377.8603698747379</v>
      </c>
      <c r="W242" s="39">
        <f t="shared" ref="W242:W248" si="879">SUM(S242:V242)</f>
        <v>1511.3562895987641</v>
      </c>
      <c r="X242" s="38">
        <f>(W192*X236)</f>
        <v>383.78743179561383</v>
      </c>
      <c r="Y242" s="38">
        <f>(X192*Y236)</f>
        <v>385.42012578339057</v>
      </c>
      <c r="Z242" s="38">
        <f>(Y192*Z236)</f>
        <v>381.09826199094516</v>
      </c>
      <c r="AA242" s="38">
        <f>(Z192*AA236)</f>
        <v>377.78523194344223</v>
      </c>
      <c r="AB242" s="39">
        <f t="shared" ref="AB242:AB248" si="880">SUM(X242:AA242)</f>
        <v>1528.0910515133919</v>
      </c>
      <c r="AC242" s="38">
        <f>(AB192*AC236)</f>
        <v>379.98749338420799</v>
      </c>
      <c r="AD242" s="38">
        <f>(AC192*AD236)</f>
        <v>383.51926469889668</v>
      </c>
      <c r="AE242" s="38">
        <f>(AD192*AE236)</f>
        <v>380.38498382340202</v>
      </c>
      <c r="AF242" s="38">
        <f>(AE192*AF236)</f>
        <v>378.25315900549526</v>
      </c>
      <c r="AG242" s="39">
        <f t="shared" ref="AG242" si="881">SUM(AC242:AF242)</f>
        <v>1522.144900912002</v>
      </c>
      <c r="AH242" s="38">
        <f>(AG192*AH236)</f>
        <v>381.77053931610027</v>
      </c>
      <c r="AI242" s="38">
        <f>(AH192*AI236)</f>
        <v>387.00758728396482</v>
      </c>
      <c r="AJ242" s="38">
        <f>(AI192*AJ236)</f>
        <v>384.8962379289502</v>
      </c>
      <c r="AK242" s="38">
        <f>(AJ192*AK236)</f>
        <v>383.80956961697245</v>
      </c>
      <c r="AL242" s="39">
        <f t="shared" ref="AL242" si="882">SUM(AH242:AK242)</f>
        <v>1537.4839341459879</v>
      </c>
    </row>
    <row r="243" spans="1:38" outlineLevel="1">
      <c r="A243" s="297"/>
      <c r="B243" s="65" t="s">
        <v>234</v>
      </c>
      <c r="C243" s="163"/>
      <c r="D243" s="38">
        <v>-354.6</v>
      </c>
      <c r="E243" s="38">
        <f>-714.5-D243</f>
        <v>-359.9</v>
      </c>
      <c r="F243" s="38">
        <f>-1243.5-E243-D243</f>
        <v>-529</v>
      </c>
      <c r="G243" s="299">
        <f>-1495.4-F243-E243-D243</f>
        <v>-251.90000000000009</v>
      </c>
      <c r="H243" s="39">
        <f>SUM(D243:G243)</f>
        <v>-1495.4</v>
      </c>
      <c r="I243" s="38">
        <v>10.4</v>
      </c>
      <c r="J243" s="38">
        <f>47.7-I243</f>
        <v>37.300000000000004</v>
      </c>
      <c r="K243" s="38">
        <f>20-J243-I243</f>
        <v>-27.700000000000003</v>
      </c>
      <c r="L243" s="38">
        <f>-(L194-K194)</f>
        <v>25.055166400376265</v>
      </c>
      <c r="M243" s="39">
        <f>SUM(I243:L243)</f>
        <v>45.055166400376265</v>
      </c>
      <c r="N243" s="38">
        <f>-(N194-L194)</f>
        <v>-70.463367615727748</v>
      </c>
      <c r="O243" s="38">
        <f>-(O194-N194)</f>
        <v>53.549754982101831</v>
      </c>
      <c r="P243" s="38">
        <f>-(P194-O194)</f>
        <v>5.6625068847347393</v>
      </c>
      <c r="Q243" s="38">
        <f>-(Q194-P194)</f>
        <v>13.203700820194626</v>
      </c>
      <c r="R243" s="39">
        <f>SUM(N243:Q243)</f>
        <v>1.952595071303449</v>
      </c>
      <c r="S243" s="38">
        <f>-(S194-Q194)</f>
        <v>-92.909097737393495</v>
      </c>
      <c r="T243" s="38">
        <f>-(T194-S194)</f>
        <v>67.994166337819706</v>
      </c>
      <c r="U243" s="38">
        <f>-(U194-T194)</f>
        <v>9.1574316432540854</v>
      </c>
      <c r="V243" s="38">
        <f>-(V194-U194)</f>
        <v>9.9225845020494035</v>
      </c>
      <c r="W243" s="39">
        <f>SUM(S243:V243)</f>
        <v>-5.8349152542702996</v>
      </c>
      <c r="X243" s="38">
        <f>-(X194-V194)</f>
        <v>-102.69593898336075</v>
      </c>
      <c r="Y243" s="38">
        <f>-(Y194-X194)</f>
        <v>75.284447809598078</v>
      </c>
      <c r="Z243" s="38">
        <f>-(Z194-Y194)</f>
        <v>9.4751715599220461</v>
      </c>
      <c r="AA243" s="38">
        <f>-(AA194-Z194)</f>
        <v>9.4380135637345575</v>
      </c>
      <c r="AB243" s="39">
        <f>SUM(X243:AA243)</f>
        <v>-8.4983060501060663</v>
      </c>
      <c r="AC243" s="38">
        <f>-(AC194-AA194)</f>
        <v>-111.77312612313131</v>
      </c>
      <c r="AD243" s="38">
        <f>-(AD194-AC194)</f>
        <v>81.372296787129244</v>
      </c>
      <c r="AE243" s="38">
        <f>-(AE194-AD194)</f>
        <v>9.6501090012479835</v>
      </c>
      <c r="AF243" s="38">
        <f>-(AF194-AE194)</f>
        <v>9.5680554352488798</v>
      </c>
      <c r="AG243" s="39">
        <f>SUM(AC243:AF243)</f>
        <v>-11.182664899505198</v>
      </c>
      <c r="AH243" s="38">
        <f>-(AH194-AF194)</f>
        <v>-121.54194663776229</v>
      </c>
      <c r="AI243" s="38">
        <f>-(AI194-AH194)</f>
        <v>87.652256704996034</v>
      </c>
      <c r="AJ243" s="38">
        <f>-(AJ194-AI194)</f>
        <v>9.8986538853296224</v>
      </c>
      <c r="AK243" s="38">
        <f>-(AK194-AJ194)</f>
        <v>9.8247388848267292</v>
      </c>
      <c r="AL243" s="39">
        <f>SUM(AH243:AK243)</f>
        <v>-14.166297162609908</v>
      </c>
    </row>
    <row r="244" spans="1:38" outlineLevel="1">
      <c r="A244" s="297"/>
      <c r="B244" s="65" t="s">
        <v>235</v>
      </c>
      <c r="C244" s="163"/>
      <c r="D244" s="38">
        <v>-55</v>
      </c>
      <c r="E244" s="38">
        <f>-108.2-D244</f>
        <v>-53.2</v>
      </c>
      <c r="F244" s="38">
        <f>-174.1-E244-D244</f>
        <v>-65.899999999999991</v>
      </c>
      <c r="G244" s="299">
        <f>-250.6-F244-E244-D244</f>
        <v>-76.5</v>
      </c>
      <c r="H244" s="39">
        <f t="shared" si="876"/>
        <v>-250.6</v>
      </c>
      <c r="I244" s="38">
        <v>-62.9</v>
      </c>
      <c r="J244" s="38">
        <f>-116.3-I244</f>
        <v>-53.4</v>
      </c>
      <c r="K244" s="38">
        <f>-182.3-J244-I244</f>
        <v>-66</v>
      </c>
      <c r="L244" s="38">
        <f>-L24</f>
        <v>-75.524999999999991</v>
      </c>
      <c r="M244" s="39">
        <f t="shared" ref="M244:M247" si="883">SUM(I244:L244)</f>
        <v>-257.82499999999999</v>
      </c>
      <c r="N244" s="38">
        <f>-N24</f>
        <v>-71.431250000000006</v>
      </c>
      <c r="O244" s="38">
        <f>-O24</f>
        <v>-70.814062499999991</v>
      </c>
      <c r="P244" s="38">
        <f>-P24</f>
        <v>-71.542578124999991</v>
      </c>
      <c r="Q244" s="38">
        <f>-Q24</f>
        <v>-72.328222656249991</v>
      </c>
      <c r="R244" s="39">
        <f t="shared" ref="R244:R247" si="884">SUM(N244:Q244)</f>
        <v>-286.11611328124997</v>
      </c>
      <c r="S244" s="38">
        <f>-S24</f>
        <v>-71.529028320312491</v>
      </c>
      <c r="T244" s="38">
        <f>-T24</f>
        <v>-71.553472900390616</v>
      </c>
      <c r="U244" s="38">
        <f>-U24</f>
        <v>-71.738325500488273</v>
      </c>
      <c r="V244" s="38">
        <f>-V24</f>
        <v>-71.787262344360343</v>
      </c>
      <c r="W244" s="39">
        <f t="shared" ref="W244:W247" si="885">SUM(S244:V244)</f>
        <v>-286.60808906555172</v>
      </c>
      <c r="X244" s="38">
        <f>-X24</f>
        <v>-71.652022266387931</v>
      </c>
      <c r="Y244" s="38">
        <f>-Y24</f>
        <v>-71.682770752906791</v>
      </c>
      <c r="Z244" s="38">
        <f>-Z24</f>
        <v>-71.715095216035834</v>
      </c>
      <c r="AA244" s="38">
        <f>-AA24</f>
        <v>-71.709287644922725</v>
      </c>
      <c r="AB244" s="39">
        <f t="shared" ref="AB244:AB247" si="886">SUM(X244:AA244)</f>
        <v>-286.75917588025328</v>
      </c>
      <c r="AC244" s="38">
        <f>-AC24</f>
        <v>-71.68979397006332</v>
      </c>
      <c r="AD244" s="38">
        <f>-AD24</f>
        <v>-71.699236895982168</v>
      </c>
      <c r="AE244" s="38">
        <f>-AE24</f>
        <v>-71.703353431751012</v>
      </c>
      <c r="AF244" s="38">
        <f>-AF24</f>
        <v>-71.700417985679806</v>
      </c>
      <c r="AG244" s="39">
        <f t="shared" ref="AG244:AG248" si="887">SUM(AC244:AF244)</f>
        <v>-286.79280228347631</v>
      </c>
      <c r="AH244" s="38">
        <f>-AH24</f>
        <v>-71.698200570869076</v>
      </c>
      <c r="AI244" s="38">
        <f>-AI24</f>
        <v>-71.700302221070515</v>
      </c>
      <c r="AJ244" s="38">
        <f>-AJ24</f>
        <v>-71.700568552342602</v>
      </c>
      <c r="AK244" s="38">
        <f>-AK24</f>
        <v>-71.6998723324905</v>
      </c>
      <c r="AL244" s="39">
        <f t="shared" ref="AL244:AL248" si="888">SUM(AH244:AK244)</f>
        <v>-286.79894367677269</v>
      </c>
    </row>
    <row r="245" spans="1:38" outlineLevel="1">
      <c r="A245" s="297"/>
      <c r="B245" s="65" t="s">
        <v>236</v>
      </c>
      <c r="C245" s="163"/>
      <c r="D245" s="38">
        <v>63.7</v>
      </c>
      <c r="E245" s="38">
        <f>93.3-D245</f>
        <v>29.599999999999994</v>
      </c>
      <c r="F245" s="38">
        <f>163.7-E245-D245</f>
        <v>70.399999999999991</v>
      </c>
      <c r="G245" s="299">
        <f>216.8-F245-E245-D245</f>
        <v>53.100000000000037</v>
      </c>
      <c r="H245" s="39">
        <f t="shared" si="876"/>
        <v>216.8</v>
      </c>
      <c r="I245" s="38">
        <v>64.3</v>
      </c>
      <c r="J245" s="38">
        <f>98.1-I245</f>
        <v>33.799999999999997</v>
      </c>
      <c r="K245" s="38">
        <f>165.6-J245-I245</f>
        <v>67.500000000000014</v>
      </c>
      <c r="L245" s="38">
        <f>-L289*L244</f>
        <v>75.524999999999991</v>
      </c>
      <c r="M245" s="39">
        <f t="shared" si="883"/>
        <v>241.125</v>
      </c>
      <c r="N245" s="38">
        <f>-N289*N244</f>
        <v>71.431250000000006</v>
      </c>
      <c r="O245" s="38">
        <f>-O289*O244</f>
        <v>70.814062499999991</v>
      </c>
      <c r="P245" s="38">
        <f>-P289*P244</f>
        <v>71.542578124999991</v>
      </c>
      <c r="Q245" s="38">
        <f>-Q289*Q244</f>
        <v>72.328222656249991</v>
      </c>
      <c r="R245" s="39">
        <f t="shared" si="884"/>
        <v>286.11611328124997</v>
      </c>
      <c r="S245" s="38">
        <f>-S289*S244</f>
        <v>71.529028320312491</v>
      </c>
      <c r="T245" s="38">
        <f>-T289*T244</f>
        <v>71.553472900390616</v>
      </c>
      <c r="U245" s="38">
        <f>-U289*U244</f>
        <v>71.738325500488273</v>
      </c>
      <c r="V245" s="38">
        <f>-V289*V244</f>
        <v>71.787262344360343</v>
      </c>
      <c r="W245" s="39">
        <f t="shared" si="885"/>
        <v>286.60808906555172</v>
      </c>
      <c r="X245" s="38">
        <f>-X289*X244</f>
        <v>71.652022266387931</v>
      </c>
      <c r="Y245" s="38">
        <f>-Y289*Y244</f>
        <v>71.682770752906791</v>
      </c>
      <c r="Z245" s="38">
        <f>-Z289*Z244</f>
        <v>71.715095216035834</v>
      </c>
      <c r="AA245" s="38">
        <f>-AA289*AA244</f>
        <v>71.709287644922725</v>
      </c>
      <c r="AB245" s="39">
        <f t="shared" si="886"/>
        <v>286.75917588025328</v>
      </c>
      <c r="AC245" s="38">
        <f>-AC289*AC244</f>
        <v>71.68979397006332</v>
      </c>
      <c r="AD245" s="38">
        <f>-AD289*AD244</f>
        <v>71.699236895982168</v>
      </c>
      <c r="AE245" s="38">
        <f>-AE289*AE244</f>
        <v>71.703353431751012</v>
      </c>
      <c r="AF245" s="38">
        <f>-AF289*AF244</f>
        <v>71.700417985679806</v>
      </c>
      <c r="AG245" s="39">
        <f t="shared" si="887"/>
        <v>286.79280228347631</v>
      </c>
      <c r="AH245" s="38">
        <f>-AH289*AH244</f>
        <v>71.698200570869076</v>
      </c>
      <c r="AI245" s="38">
        <f>-AI289*AI244</f>
        <v>71.700302221070515</v>
      </c>
      <c r="AJ245" s="38">
        <f>-AJ289*AJ244</f>
        <v>71.700568552342602</v>
      </c>
      <c r="AK245" s="38">
        <f>-AK289*AK244</f>
        <v>71.6998723324905</v>
      </c>
      <c r="AL245" s="39">
        <f t="shared" si="888"/>
        <v>286.79894367677269</v>
      </c>
    </row>
    <row r="246" spans="1:38" outlineLevel="1">
      <c r="A246" s="297"/>
      <c r="B246" s="65" t="s">
        <v>242</v>
      </c>
      <c r="C246" s="163"/>
      <c r="D246" s="38">
        <v>0</v>
      </c>
      <c r="E246" s="38">
        <f>-21-D246</f>
        <v>-21</v>
      </c>
      <c r="F246" s="38">
        <f>-622.8-E246-D246</f>
        <v>-601.79999999999995</v>
      </c>
      <c r="G246" s="299">
        <f>-622.8-F246-E246-D246</f>
        <v>0</v>
      </c>
      <c r="H246" s="39">
        <f t="shared" si="876"/>
        <v>-622.79999999999995</v>
      </c>
      <c r="I246" s="38">
        <v>0</v>
      </c>
      <c r="J246" s="38">
        <f t="shared" ref="J246" si="889">0-I246</f>
        <v>0</v>
      </c>
      <c r="K246" s="38">
        <f t="shared" ref="K246" si="890">0-J246-I246</f>
        <v>0</v>
      </c>
      <c r="L246" s="38">
        <f>L28</f>
        <v>0</v>
      </c>
      <c r="M246" s="39">
        <f t="shared" si="883"/>
        <v>0</v>
      </c>
      <c r="N246" s="38">
        <f>N28</f>
        <v>0</v>
      </c>
      <c r="O246" s="38">
        <f>O28</f>
        <v>0</v>
      </c>
      <c r="P246" s="38">
        <f>P28</f>
        <v>0</v>
      </c>
      <c r="Q246" s="38">
        <f>Q28</f>
        <v>0</v>
      </c>
      <c r="R246" s="39">
        <f t="shared" si="884"/>
        <v>0</v>
      </c>
      <c r="S246" s="38">
        <f>S28</f>
        <v>0</v>
      </c>
      <c r="T246" s="38">
        <f>T28</f>
        <v>0</v>
      </c>
      <c r="U246" s="38">
        <f>U28</f>
        <v>0</v>
      </c>
      <c r="V246" s="38">
        <f>V28</f>
        <v>0</v>
      </c>
      <c r="W246" s="39">
        <f t="shared" si="885"/>
        <v>0</v>
      </c>
      <c r="X246" s="38">
        <f>X28</f>
        <v>0</v>
      </c>
      <c r="Y246" s="38">
        <f>Y28</f>
        <v>0</v>
      </c>
      <c r="Z246" s="38">
        <f>Z28</f>
        <v>0</v>
      </c>
      <c r="AA246" s="38">
        <f>AA28</f>
        <v>0</v>
      </c>
      <c r="AB246" s="39">
        <f t="shared" si="886"/>
        <v>0</v>
      </c>
      <c r="AC246" s="38">
        <f>AC28</f>
        <v>0</v>
      </c>
      <c r="AD246" s="38">
        <f>AD28</f>
        <v>0</v>
      </c>
      <c r="AE246" s="38">
        <f>AE28</f>
        <v>0</v>
      </c>
      <c r="AF246" s="38">
        <f>AF28</f>
        <v>0</v>
      </c>
      <c r="AG246" s="39">
        <f t="shared" si="887"/>
        <v>0</v>
      </c>
      <c r="AH246" s="38">
        <f>AH28</f>
        <v>0</v>
      </c>
      <c r="AI246" s="38">
        <f>AI28</f>
        <v>0</v>
      </c>
      <c r="AJ246" s="38">
        <f>AJ28</f>
        <v>0</v>
      </c>
      <c r="AK246" s="38">
        <f>AK28</f>
        <v>0</v>
      </c>
      <c r="AL246" s="39">
        <f t="shared" si="888"/>
        <v>0</v>
      </c>
    </row>
    <row r="247" spans="1:38" outlineLevel="1">
      <c r="A247" s="297"/>
      <c r="B247" s="65" t="s">
        <v>237</v>
      </c>
      <c r="C247" s="163"/>
      <c r="D247" s="38">
        <v>97.3</v>
      </c>
      <c r="E247" s="38">
        <f>192.1-D247</f>
        <v>94.8</v>
      </c>
      <c r="F247" s="38">
        <f>255.4-E247-D247</f>
        <v>63.300000000000026</v>
      </c>
      <c r="G247" s="299">
        <f>308-F247-E247-D247</f>
        <v>52.59999999999998</v>
      </c>
      <c r="H247" s="39">
        <f t="shared" si="876"/>
        <v>308</v>
      </c>
      <c r="I247" s="38">
        <v>90.3</v>
      </c>
      <c r="J247" s="38">
        <f>146.6-I247</f>
        <v>56.3</v>
      </c>
      <c r="K247" s="38">
        <f>188-J247-I247</f>
        <v>41.399999999999991</v>
      </c>
      <c r="L247" s="38">
        <f>L16*L288</f>
        <v>59.854788639453979</v>
      </c>
      <c r="M247" s="39">
        <f t="shared" si="883"/>
        <v>247.85478863945397</v>
      </c>
      <c r="N247" s="38">
        <f>N16*N288</f>
        <v>67.854154617216551</v>
      </c>
      <c r="O247" s="38">
        <f>O16*O288</f>
        <v>53.101359797775025</v>
      </c>
      <c r="P247" s="38">
        <f>P16*P288</f>
        <v>56.37347723985647</v>
      </c>
      <c r="Q247" s="38">
        <f>Q16*Q288</f>
        <v>75.340649547546576</v>
      </c>
      <c r="R247" s="39">
        <f t="shared" si="884"/>
        <v>252.66964120239462</v>
      </c>
      <c r="S247" s="38">
        <f>S16*S288</f>
        <v>77.734554698264532</v>
      </c>
      <c r="T247" s="38">
        <f>T16*T288</f>
        <v>59.365071945878121</v>
      </c>
      <c r="U247" s="38">
        <f>U16*U288</f>
        <v>61.867945703011273</v>
      </c>
      <c r="V247" s="38">
        <f>V16*V288</f>
        <v>80.067617373184461</v>
      </c>
      <c r="W247" s="39">
        <f t="shared" si="885"/>
        <v>279.03518972033839</v>
      </c>
      <c r="X247" s="38">
        <f>X16*X288</f>
        <v>82.800825527943161</v>
      </c>
      <c r="Y247" s="38">
        <f>Y16*Y288</f>
        <v>62.86665467434257</v>
      </c>
      <c r="Z247" s="38">
        <f>Z16*Z288</f>
        <v>65.40013853442494</v>
      </c>
      <c r="AA247" s="38">
        <f>AA16*AA288</f>
        <v>83.5234110597317</v>
      </c>
      <c r="AB247" s="39">
        <f t="shared" si="886"/>
        <v>294.5910297964424</v>
      </c>
      <c r="AC247" s="38">
        <f>AC16*AC288</f>
        <v>88.56681416695514</v>
      </c>
      <c r="AD247" s="38">
        <f>AD16*AD288</f>
        <v>66.48371396696129</v>
      </c>
      <c r="AE247" s="38">
        <f>AE16*AE288</f>
        <v>69.2672947083704</v>
      </c>
      <c r="AF247" s="38">
        <f>AF16*AF288</f>
        <v>88.156562440265205</v>
      </c>
      <c r="AG247" s="39">
        <f t="shared" si="887"/>
        <v>312.47438528255202</v>
      </c>
      <c r="AH247" s="38">
        <f>AH16*AH288</f>
        <v>94.757208476570156</v>
      </c>
      <c r="AI247" s="38">
        <f>AI16*AI288</f>
        <v>70.672743932914116</v>
      </c>
      <c r="AJ247" s="38">
        <f>AJ16*AJ288</f>
        <v>73.750129540490533</v>
      </c>
      <c r="AK247" s="38">
        <f>AK16*AK288</f>
        <v>94.008532454247344</v>
      </c>
      <c r="AL247" s="39">
        <f t="shared" si="888"/>
        <v>333.18861440422216</v>
      </c>
    </row>
    <row r="248" spans="1:38" outlineLevel="1">
      <c r="A248" s="297"/>
      <c r="B248" s="166" t="s">
        <v>243</v>
      </c>
      <c r="C248" s="167"/>
      <c r="D248" s="38">
        <v>6.1</v>
      </c>
      <c r="E248" s="299">
        <f>5.4+91.1-D248</f>
        <v>90.4</v>
      </c>
      <c r="F248" s="299">
        <f>10.5+122.3-E248-D248</f>
        <v>36.300000000000004</v>
      </c>
      <c r="G248" s="299">
        <f>10.5+187.9-F248-E248-D248</f>
        <v>65.599999999999994</v>
      </c>
      <c r="H248" s="39">
        <f t="shared" si="876"/>
        <v>198.4</v>
      </c>
      <c r="I248" s="299">
        <f>5.1+294.9</f>
        <v>300</v>
      </c>
      <c r="J248" s="299">
        <f>596.3+67.7-I248</f>
        <v>364</v>
      </c>
      <c r="K248" s="299">
        <f>902.4+124.6+63.7-J248-I248</f>
        <v>426.70000000000005</v>
      </c>
      <c r="L248" s="71">
        <v>0</v>
      </c>
      <c r="M248" s="39">
        <f t="shared" si="877"/>
        <v>1090.7</v>
      </c>
      <c r="N248" s="71">
        <v>0</v>
      </c>
      <c r="O248" s="71">
        <v>0</v>
      </c>
      <c r="P248" s="71">
        <v>0</v>
      </c>
      <c r="Q248" s="71">
        <v>0</v>
      </c>
      <c r="R248" s="39">
        <f t="shared" si="878"/>
        <v>0</v>
      </c>
      <c r="S248" s="71">
        <v>0</v>
      </c>
      <c r="T248" s="71">
        <v>0</v>
      </c>
      <c r="U248" s="71">
        <v>0</v>
      </c>
      <c r="V248" s="71">
        <v>0</v>
      </c>
      <c r="W248" s="39">
        <f t="shared" si="879"/>
        <v>0</v>
      </c>
      <c r="X248" s="71">
        <v>0</v>
      </c>
      <c r="Y248" s="71">
        <v>0</v>
      </c>
      <c r="Z248" s="71">
        <v>0</v>
      </c>
      <c r="AA248" s="71">
        <v>0</v>
      </c>
      <c r="AB248" s="39">
        <f t="shared" si="880"/>
        <v>0</v>
      </c>
      <c r="AC248" s="71">
        <v>0</v>
      </c>
      <c r="AD248" s="71">
        <v>0</v>
      </c>
      <c r="AE248" s="71">
        <v>0</v>
      </c>
      <c r="AF248" s="71">
        <v>0</v>
      </c>
      <c r="AG248" s="39">
        <f t="shared" si="887"/>
        <v>0</v>
      </c>
      <c r="AH248" s="71">
        <v>0</v>
      </c>
      <c r="AI248" s="71">
        <v>0</v>
      </c>
      <c r="AJ248" s="71">
        <v>0</v>
      </c>
      <c r="AK248" s="71">
        <v>0</v>
      </c>
      <c r="AL248" s="39">
        <f t="shared" si="888"/>
        <v>0</v>
      </c>
    </row>
    <row r="249" spans="1:38" outlineLevel="1">
      <c r="A249" s="297"/>
      <c r="B249" s="546" t="s">
        <v>72</v>
      </c>
      <c r="C249" s="547"/>
      <c r="D249" s="281"/>
      <c r="E249" s="433"/>
      <c r="F249" s="276"/>
      <c r="G249" s="276"/>
      <c r="H249" s="277"/>
      <c r="I249" s="276"/>
      <c r="J249" s="276"/>
      <c r="K249" s="276"/>
      <c r="L249" s="276"/>
      <c r="M249" s="277"/>
      <c r="N249" s="276"/>
      <c r="O249" s="276"/>
      <c r="P249" s="276"/>
      <c r="Q249" s="276"/>
      <c r="R249" s="277"/>
      <c r="S249" s="276"/>
      <c r="T249" s="276"/>
      <c r="U249" s="276"/>
      <c r="V249" s="276"/>
      <c r="W249" s="277"/>
      <c r="X249" s="276"/>
      <c r="Y249" s="276"/>
      <c r="Z249" s="276"/>
      <c r="AA249" s="276"/>
      <c r="AB249" s="277"/>
      <c r="AC249" s="276"/>
      <c r="AD249" s="276"/>
      <c r="AE249" s="276"/>
      <c r="AF249" s="276"/>
      <c r="AG249" s="277"/>
      <c r="AH249" s="276"/>
      <c r="AI249" s="276"/>
      <c r="AJ249" s="276"/>
      <c r="AK249" s="276"/>
      <c r="AL249" s="277"/>
    </row>
    <row r="250" spans="1:38" outlineLevel="1">
      <c r="A250" s="297"/>
      <c r="B250" s="520" t="s">
        <v>112</v>
      </c>
      <c r="C250" s="521"/>
      <c r="D250" s="98">
        <v>-28.8</v>
      </c>
      <c r="E250" s="98">
        <f>9.8-D250</f>
        <v>38.6</v>
      </c>
      <c r="F250" s="98">
        <f>-70.1-E250-D250</f>
        <v>-79.899999999999991</v>
      </c>
      <c r="G250" s="98">
        <f>-197.7-F250-E250-D250</f>
        <v>-127.60000000000001</v>
      </c>
      <c r="H250" s="99">
        <f t="shared" ref="H250:H255" si="891">SUM(D250:G250)</f>
        <v>-197.7</v>
      </c>
      <c r="I250" s="98">
        <v>-22.9</v>
      </c>
      <c r="J250" s="98">
        <f>-60.7-I250</f>
        <v>-37.800000000000004</v>
      </c>
      <c r="K250" s="98">
        <f>13.4-J250-I250</f>
        <v>74.099999999999994</v>
      </c>
      <c r="L250" s="98">
        <f>-(L186-K186)</f>
        <v>-13.113403498375078</v>
      </c>
      <c r="M250" s="99">
        <f t="shared" ref="M250:M255" si="892">SUM(I250:L250)</f>
        <v>0.28659650162491346</v>
      </c>
      <c r="N250" s="98">
        <f>-(N186-L186)</f>
        <v>29.441856871533219</v>
      </c>
      <c r="O250" s="98">
        <f t="shared" ref="O250:Q252" si="893">-(O186-N186)</f>
        <v>136.00840143349615</v>
      </c>
      <c r="P250" s="98">
        <f t="shared" si="893"/>
        <v>13.675677238432399</v>
      </c>
      <c r="Q250" s="98">
        <f t="shared" si="893"/>
        <v>-253.63556388511154</v>
      </c>
      <c r="R250" s="99">
        <f t="shared" ref="R250:R255" si="894">SUM(N250:Q250)</f>
        <v>-74.509628341649773</v>
      </c>
      <c r="S250" s="98">
        <f>-(S186-Q186)</f>
        <v>-55.967834847425706</v>
      </c>
      <c r="T250" s="98">
        <f t="shared" ref="T250:V252" si="895">-(T186-S186)</f>
        <v>220.64723395768851</v>
      </c>
      <c r="U250" s="98">
        <f t="shared" si="895"/>
        <v>22.202666416335092</v>
      </c>
      <c r="V250" s="98">
        <f t="shared" si="895"/>
        <v>-248.40327517287449</v>
      </c>
      <c r="W250" s="99">
        <f t="shared" ref="W250:W255" si="896">SUM(S250:V250)</f>
        <v>-61.521209646276589</v>
      </c>
      <c r="X250" s="98">
        <f>-(X186-V186)</f>
        <v>-66.24784444185093</v>
      </c>
      <c r="Y250" s="98">
        <f t="shared" ref="Y250:AA252" si="897">-(Y186-X186)</f>
        <v>247.47100473923854</v>
      </c>
      <c r="Z250" s="98">
        <f t="shared" si="897"/>
        <v>22.811687033201792</v>
      </c>
      <c r="AA250" s="98">
        <f t="shared" si="897"/>
        <v>-249.07139121485852</v>
      </c>
      <c r="AB250" s="99">
        <f t="shared" ref="AB250:AB255" si="898">SUM(X250:AA250)</f>
        <v>-45.036543884269122</v>
      </c>
      <c r="AC250" s="98">
        <f>-(AC186-AA186)</f>
        <v>-98.133984657841893</v>
      </c>
      <c r="AD250" s="98">
        <f t="shared" ref="AD250:AF252" si="899">-(AD186-AC186)</f>
        <v>276.0354127300925</v>
      </c>
      <c r="AE250" s="98">
        <f t="shared" si="899"/>
        <v>22.28452627847139</v>
      </c>
      <c r="AF250" s="98">
        <f t="shared" si="899"/>
        <v>-259.97585884874854</v>
      </c>
      <c r="AG250" s="99">
        <f t="shared" ref="AG250:AG255" si="900">SUM(AC250:AF250)</f>
        <v>-59.789904498026544</v>
      </c>
      <c r="AH250" s="98">
        <f>-(AH186-AF186)</f>
        <v>-120.3908811248607</v>
      </c>
      <c r="AI250" s="98">
        <f t="shared" ref="AI250:AK252" si="901">-(AI186-AH186)</f>
        <v>301.62577894742685</v>
      </c>
      <c r="AJ250" s="98">
        <f t="shared" si="901"/>
        <v>22.084371301033798</v>
      </c>
      <c r="AK250" s="98">
        <f t="shared" si="901"/>
        <v>-278.69245404937465</v>
      </c>
      <c r="AL250" s="99">
        <f t="shared" ref="AL250:AL255" si="902">SUM(AH250:AK250)</f>
        <v>-75.373184925774694</v>
      </c>
    </row>
    <row r="251" spans="1:38" outlineLevel="1">
      <c r="A251" s="297"/>
      <c r="B251" s="58" t="s">
        <v>223</v>
      </c>
      <c r="C251" s="52"/>
      <c r="D251" s="98">
        <v>44.8</v>
      </c>
      <c r="E251" s="98">
        <f>-51-D251</f>
        <v>-95.8</v>
      </c>
      <c r="F251" s="98">
        <f>-140.5-E251-D251</f>
        <v>-89.5</v>
      </c>
      <c r="G251" s="98">
        <f>-173-F251-E251-D251</f>
        <v>-32.5</v>
      </c>
      <c r="H251" s="99">
        <f t="shared" si="891"/>
        <v>-173</v>
      </c>
      <c r="I251" s="98">
        <v>122.8</v>
      </c>
      <c r="J251" s="98">
        <f>36.9-I251</f>
        <v>-85.9</v>
      </c>
      <c r="K251" s="98">
        <f>-51.7-J251-I251</f>
        <v>-88.6</v>
      </c>
      <c r="L251" s="98">
        <f>-(L187-K187)</f>
        <v>-43.945609853319183</v>
      </c>
      <c r="M251" s="99">
        <f t="shared" si="892"/>
        <v>-95.645609853319186</v>
      </c>
      <c r="N251" s="98">
        <f>-(N187-L187)</f>
        <v>105.21338343810953</v>
      </c>
      <c r="O251" s="98">
        <f t="shared" si="893"/>
        <v>144.36979888870974</v>
      </c>
      <c r="P251" s="98">
        <f t="shared" si="893"/>
        <v>-19.582961817033038</v>
      </c>
      <c r="Q251" s="98">
        <f t="shared" si="893"/>
        <v>-423.88259036100885</v>
      </c>
      <c r="R251" s="99">
        <f t="shared" si="894"/>
        <v>-193.88236985122262</v>
      </c>
      <c r="S251" s="98">
        <f>-(S187-Q187)</f>
        <v>98.814884811068168</v>
      </c>
      <c r="T251" s="98">
        <f t="shared" si="895"/>
        <v>233.58883851948531</v>
      </c>
      <c r="U251" s="98">
        <f t="shared" si="895"/>
        <v>-31.416486692103945</v>
      </c>
      <c r="V251" s="98">
        <f t="shared" si="895"/>
        <v>-398.47219161602379</v>
      </c>
      <c r="W251" s="99">
        <f t="shared" si="896"/>
        <v>-97.484954977574262</v>
      </c>
      <c r="X251" s="98">
        <f>-(X187-V187)</f>
        <v>92.648393104822617</v>
      </c>
      <c r="Y251" s="98">
        <f t="shared" si="897"/>
        <v>260.7008361709743</v>
      </c>
      <c r="Z251" s="98">
        <f t="shared" si="897"/>
        <v>-39.232810640460229</v>
      </c>
      <c r="AA251" s="98">
        <f t="shared" si="897"/>
        <v>-401.1343091150693</v>
      </c>
      <c r="AB251" s="99">
        <f t="shared" si="898"/>
        <v>-87.017890479732614</v>
      </c>
      <c r="AC251" s="98">
        <f>-(AC187-AA187)</f>
        <v>56.332886549001159</v>
      </c>
      <c r="AD251" s="98">
        <f t="shared" si="899"/>
        <v>296.00547022207797</v>
      </c>
      <c r="AE251" s="98">
        <f t="shared" si="899"/>
        <v>-44.526989470060471</v>
      </c>
      <c r="AF251" s="98">
        <f t="shared" si="899"/>
        <v>-419.88351901434999</v>
      </c>
      <c r="AG251" s="99">
        <f t="shared" si="900"/>
        <v>-112.07215171333132</v>
      </c>
      <c r="AH251" s="98">
        <f>-(AH187-AF187)</f>
        <v>36.702663339031915</v>
      </c>
      <c r="AI251" s="98">
        <f t="shared" si="901"/>
        <v>326.42004931948941</v>
      </c>
      <c r="AJ251" s="98">
        <f t="shared" si="901"/>
        <v>-50.343970919810317</v>
      </c>
      <c r="AK251" s="98">
        <f t="shared" si="901"/>
        <v>-451.23924002864737</v>
      </c>
      <c r="AL251" s="99">
        <f t="shared" si="902"/>
        <v>-138.46049828993637</v>
      </c>
    </row>
    <row r="252" spans="1:38" outlineLevel="1">
      <c r="A252" s="297"/>
      <c r="B252" s="520" t="s">
        <v>246</v>
      </c>
      <c r="C252" s="521"/>
      <c r="D252" s="98">
        <v>847.3</v>
      </c>
      <c r="E252" s="98">
        <f>774.6-D252</f>
        <v>-72.699999999999932</v>
      </c>
      <c r="F252" s="98">
        <f>831.6-E252-D252</f>
        <v>57</v>
      </c>
      <c r="G252" s="98">
        <f>922-F252-E252-D252</f>
        <v>90.399999999999977</v>
      </c>
      <c r="H252" s="99">
        <f t="shared" si="891"/>
        <v>922</v>
      </c>
      <c r="I252" s="98">
        <v>-28.5</v>
      </c>
      <c r="J252" s="98">
        <f>-247.7-I252</f>
        <v>-219.2</v>
      </c>
      <c r="K252" s="98">
        <f>-492.1-J252-I252</f>
        <v>-244.40000000000003</v>
      </c>
      <c r="L252" s="98">
        <f>-(L188-K188)</f>
        <v>138.04499999999996</v>
      </c>
      <c r="M252" s="99">
        <f t="shared" si="892"/>
        <v>-354.05500000000006</v>
      </c>
      <c r="N252" s="98">
        <f>-(N188-L188)</f>
        <v>78.225500000000011</v>
      </c>
      <c r="O252" s="98">
        <f t="shared" si="893"/>
        <v>35.201475000000073</v>
      </c>
      <c r="P252" s="98">
        <f t="shared" si="893"/>
        <v>33.441401250000013</v>
      </c>
      <c r="Q252" s="98">
        <f t="shared" si="893"/>
        <v>31.769331187500029</v>
      </c>
      <c r="R252" s="99">
        <f t="shared" si="894"/>
        <v>178.63770743750013</v>
      </c>
      <c r="S252" s="98">
        <f>-(S188-Q188)</f>
        <v>-12.07234585125002</v>
      </c>
      <c r="T252" s="98">
        <f t="shared" si="895"/>
        <v>-12.313792768274993</v>
      </c>
      <c r="U252" s="98">
        <f t="shared" si="895"/>
        <v>-12.560068623640518</v>
      </c>
      <c r="V252" s="98">
        <f t="shared" si="895"/>
        <v>-12.81126999611331</v>
      </c>
      <c r="W252" s="99">
        <f t="shared" si="896"/>
        <v>-49.757477239278842</v>
      </c>
      <c r="X252" s="98">
        <f>-(X188-V188)</f>
        <v>-13.067495396035611</v>
      </c>
      <c r="Y252" s="98">
        <f t="shared" si="897"/>
        <v>-13.328845303956314</v>
      </c>
      <c r="Z252" s="98">
        <f t="shared" si="897"/>
        <v>-13.595422210035395</v>
      </c>
      <c r="AA252" s="98">
        <f t="shared" si="897"/>
        <v>-13.867330654236184</v>
      </c>
      <c r="AB252" s="99">
        <f t="shared" si="898"/>
        <v>-53.859093564263503</v>
      </c>
      <c r="AC252" s="98">
        <f>-(AC188-AA188)</f>
        <v>-14.144677267320844</v>
      </c>
      <c r="AD252" s="98">
        <f t="shared" si="899"/>
        <v>-14.427570812667227</v>
      </c>
      <c r="AE252" s="98">
        <f t="shared" si="899"/>
        <v>-14.716122228920653</v>
      </c>
      <c r="AF252" s="98">
        <f t="shared" si="899"/>
        <v>-15.010444673499023</v>
      </c>
      <c r="AG252" s="99">
        <f t="shared" si="900"/>
        <v>-58.298814982407748</v>
      </c>
      <c r="AH252" s="98">
        <f>-(AH188-AF188)</f>
        <v>-15.310653566968995</v>
      </c>
      <c r="AI252" s="98">
        <f t="shared" si="901"/>
        <v>-15.616866638308352</v>
      </c>
      <c r="AJ252" s="98">
        <f t="shared" si="901"/>
        <v>-15.929203971074571</v>
      </c>
      <c r="AK252" s="98">
        <f t="shared" si="901"/>
        <v>-16.247788050496069</v>
      </c>
      <c r="AL252" s="99">
        <f t="shared" si="902"/>
        <v>-63.104512226847987</v>
      </c>
    </row>
    <row r="253" spans="1:38" outlineLevel="1">
      <c r="A253" s="297"/>
      <c r="B253" s="520" t="s">
        <v>38</v>
      </c>
      <c r="C253" s="521"/>
      <c r="D253" s="98">
        <v>-21.3</v>
      </c>
      <c r="E253" s="98">
        <f>-83.4-D253</f>
        <v>-62.100000000000009</v>
      </c>
      <c r="F253" s="98">
        <f>-15.1-E253-D253</f>
        <v>68.300000000000011</v>
      </c>
      <c r="G253" s="98">
        <f>31.9-F253-E253-D253</f>
        <v>47</v>
      </c>
      <c r="H253" s="99">
        <f t="shared" si="891"/>
        <v>31.900000000000006</v>
      </c>
      <c r="I253" s="98">
        <v>-110.3</v>
      </c>
      <c r="J253" s="98">
        <f>-186.4-I253</f>
        <v>-76.100000000000009</v>
      </c>
      <c r="K253" s="98">
        <f>-320.3-J253-I253</f>
        <v>-133.89999999999998</v>
      </c>
      <c r="L253" s="98">
        <f>L200-K200</f>
        <v>206.59192030773784</v>
      </c>
      <c r="M253" s="99">
        <f t="shared" si="892"/>
        <v>-113.70807969226212</v>
      </c>
      <c r="N253" s="98">
        <f>N200-L200</f>
        <v>-47.175519430333907</v>
      </c>
      <c r="O253" s="98">
        <f>O200-N200</f>
        <v>-127.13157643501961</v>
      </c>
      <c r="P253" s="98">
        <f>P200-O200</f>
        <v>-39.90790366903866</v>
      </c>
      <c r="Q253" s="98">
        <f>Q200-P200</f>
        <v>199.12127692904198</v>
      </c>
      <c r="R253" s="99">
        <f t="shared" si="894"/>
        <v>-15.093722605350194</v>
      </c>
      <c r="S253" s="98">
        <f>S200-Q200</f>
        <v>1.2972036544249477</v>
      </c>
      <c r="T253" s="98">
        <f>T200-S200</f>
        <v>-135.14301934287198</v>
      </c>
      <c r="U253" s="98">
        <f>U200-T200</f>
        <v>-64.747046115596731</v>
      </c>
      <c r="V253" s="98">
        <f>V200-U200</f>
        <v>244.52404732115372</v>
      </c>
      <c r="W253" s="99">
        <f t="shared" si="896"/>
        <v>45.931185517109952</v>
      </c>
      <c r="X253" s="98">
        <f>X200-V200</f>
        <v>-29.331256714679739</v>
      </c>
      <c r="Y253" s="98">
        <f>Y200-X200</f>
        <v>-137.54392566835349</v>
      </c>
      <c r="Z253" s="98">
        <f>Z200-Y200</f>
        <v>-40.803493277426242</v>
      </c>
      <c r="AA253" s="98">
        <f>AA200-Z200</f>
        <v>235.34649940931104</v>
      </c>
      <c r="AB253" s="99">
        <f t="shared" si="898"/>
        <v>27.667823748851561</v>
      </c>
      <c r="AC253" s="98">
        <f>AC200-AA200</f>
        <v>-21.973536028872104</v>
      </c>
      <c r="AD253" s="98">
        <f>AD200-AC200</f>
        <v>-148.201860123595</v>
      </c>
      <c r="AE253" s="98">
        <f>AE200-AD200</f>
        <v>-49.342785189262372</v>
      </c>
      <c r="AF253" s="98">
        <f>AF200-AE200</f>
        <v>252.70855933771247</v>
      </c>
      <c r="AG253" s="99">
        <f t="shared" si="900"/>
        <v>33.190377995982999</v>
      </c>
      <c r="AH253" s="98">
        <f>AH200-AF200</f>
        <v>-17.555917755729524</v>
      </c>
      <c r="AI253" s="98">
        <f>AI200-AH200</f>
        <v>-159.8583386622937</v>
      </c>
      <c r="AJ253" s="98">
        <f>AJ200-AI200</f>
        <v>-43.772790276137471</v>
      </c>
      <c r="AK253" s="98">
        <f>AK200-AJ200</f>
        <v>262.12950745147259</v>
      </c>
      <c r="AL253" s="99">
        <f t="shared" si="902"/>
        <v>40.942460757311892</v>
      </c>
    </row>
    <row r="254" spans="1:38" outlineLevel="1">
      <c r="A254" s="297"/>
      <c r="B254" s="58" t="s">
        <v>228</v>
      </c>
      <c r="C254" s="52"/>
      <c r="D254" s="98">
        <v>362.7</v>
      </c>
      <c r="E254" s="98">
        <f>9.4-D254</f>
        <v>-353.3</v>
      </c>
      <c r="F254" s="98">
        <f>-32.4-E254-D254</f>
        <v>-41.799999999999955</v>
      </c>
      <c r="G254" s="98">
        <f>-30.5-F254-E254-D254</f>
        <v>1.8999999999999773</v>
      </c>
      <c r="H254" s="99">
        <f t="shared" si="891"/>
        <v>-30.5</v>
      </c>
      <c r="I254" s="98">
        <v>426.7</v>
      </c>
      <c r="J254" s="98">
        <f>112.1-I254</f>
        <v>-314.60000000000002</v>
      </c>
      <c r="K254" s="98">
        <f>92-J254-I254</f>
        <v>-20.099999999999966</v>
      </c>
      <c r="L254" s="98">
        <f>+(L205-K205)</f>
        <v>-14.633000000000038</v>
      </c>
      <c r="M254" s="99">
        <f t="shared" si="892"/>
        <v>77.366999999999962</v>
      </c>
      <c r="N254" s="98">
        <f>+(N205-L205)</f>
        <v>434.60010000000011</v>
      </c>
      <c r="O254" s="98">
        <f>+(O205-N205)</f>
        <v>-282.49006499999996</v>
      </c>
      <c r="P254" s="98">
        <f>+(P205-O205)</f>
        <v>-16.007770350000101</v>
      </c>
      <c r="Q254" s="98">
        <f>+(Q205-P205)</f>
        <v>-15.847692646500036</v>
      </c>
      <c r="R254" s="99">
        <f t="shared" si="894"/>
        <v>120.25457200350002</v>
      </c>
      <c r="S254" s="98">
        <f>+(S205-Q205)</f>
        <v>470.67647160105003</v>
      </c>
      <c r="T254" s="98">
        <f>+(T205-S205)</f>
        <v>-305.93970654068244</v>
      </c>
      <c r="U254" s="98">
        <f>+(U205-T205)</f>
        <v>-17.336583370638664</v>
      </c>
      <c r="V254" s="98">
        <f>+(V205-U205)</f>
        <v>-17.163217536932279</v>
      </c>
      <c r="W254" s="99">
        <f t="shared" si="896"/>
        <v>130.23696415279665</v>
      </c>
      <c r="X254" s="98">
        <f>+(X205-V205)</f>
        <v>509.74756084688897</v>
      </c>
      <c r="Y254" s="98">
        <f>+(Y205-X205)</f>
        <v>-331.33591455047781</v>
      </c>
      <c r="Z254" s="98">
        <f>+(Z205-Y205)</f>
        <v>-18.775701824527005</v>
      </c>
      <c r="AA254" s="98">
        <f>+(AA205-Z205)</f>
        <v>-18.587944806281712</v>
      </c>
      <c r="AB254" s="99">
        <f t="shared" si="898"/>
        <v>141.04799966560245</v>
      </c>
      <c r="AC254" s="98">
        <f>+(AC205-AA205)</f>
        <v>552.06196074656987</v>
      </c>
      <c r="AD254" s="98">
        <f>+(AD205-AC205)</f>
        <v>-358.84027448527036</v>
      </c>
      <c r="AE254" s="98">
        <f>+(AE205-AD205)</f>
        <v>-20.334282220831938</v>
      </c>
      <c r="AF254" s="98">
        <f>+(AF205-AE205)</f>
        <v>-20.130939398623696</v>
      </c>
      <c r="AG254" s="99">
        <f t="shared" si="900"/>
        <v>152.75646464184388</v>
      </c>
      <c r="AH254" s="98">
        <f>+(AH205-AF205)</f>
        <v>597.88890013912305</v>
      </c>
      <c r="AI254" s="98">
        <f>+(AI205-AH205)</f>
        <v>-388.62778509042982</v>
      </c>
      <c r="AJ254" s="98">
        <f>+(AJ205-AI205)</f>
        <v>-22.022241155124448</v>
      </c>
      <c r="AK254" s="98">
        <f>+(AK205-AJ205)</f>
        <v>-21.802018743573171</v>
      </c>
      <c r="AL254" s="99">
        <f t="shared" si="902"/>
        <v>165.43685514999561</v>
      </c>
    </row>
    <row r="255" spans="1:38" outlineLevel="1">
      <c r="A255" s="297"/>
      <c r="B255" s="342" t="s">
        <v>306</v>
      </c>
      <c r="C255" s="343"/>
      <c r="D255" s="98">
        <v>0</v>
      </c>
      <c r="E255" s="98">
        <v>0</v>
      </c>
      <c r="F255" s="98">
        <f>1045.4-E255-D255</f>
        <v>1045.4000000000001</v>
      </c>
      <c r="G255" s="98">
        <f>1237-F255-E255-D255</f>
        <v>191.59999999999991</v>
      </c>
      <c r="H255" s="99">
        <f t="shared" si="891"/>
        <v>1237</v>
      </c>
      <c r="I255" s="98">
        <v>125.1</v>
      </c>
      <c r="J255" s="98">
        <f>-1227.4-I255</f>
        <v>-1352.5</v>
      </c>
      <c r="K255" s="98">
        <f>-1224.5-J255-I255</f>
        <v>2.9000000000000057</v>
      </c>
      <c r="L255" s="98">
        <f>+(L203-K203)</f>
        <v>0</v>
      </c>
      <c r="M255" s="99">
        <f t="shared" si="892"/>
        <v>-1224.5</v>
      </c>
      <c r="N255" s="98">
        <f>+(N203-L203)</f>
        <v>0</v>
      </c>
      <c r="O255" s="98">
        <f t="shared" ref="O255:Q255" si="903">+(O203-N203)</f>
        <v>0</v>
      </c>
      <c r="P255" s="98">
        <f t="shared" si="903"/>
        <v>0</v>
      </c>
      <c r="Q255" s="98">
        <f t="shared" si="903"/>
        <v>0</v>
      </c>
      <c r="R255" s="99">
        <f t="shared" si="894"/>
        <v>0</v>
      </c>
      <c r="S255" s="98">
        <f>+(S203-Q203)</f>
        <v>0</v>
      </c>
      <c r="T255" s="98">
        <f t="shared" ref="T255:V255" si="904">+(T203-S203)</f>
        <v>0</v>
      </c>
      <c r="U255" s="98">
        <f t="shared" si="904"/>
        <v>0</v>
      </c>
      <c r="V255" s="98">
        <f t="shared" si="904"/>
        <v>0</v>
      </c>
      <c r="W255" s="99">
        <f t="shared" si="896"/>
        <v>0</v>
      </c>
      <c r="X255" s="98">
        <f>+(X203-V203)</f>
        <v>0</v>
      </c>
      <c r="Y255" s="98">
        <f t="shared" ref="Y255:AA255" si="905">+(Y203-X203)</f>
        <v>0</v>
      </c>
      <c r="Z255" s="98">
        <f t="shared" si="905"/>
        <v>0</v>
      </c>
      <c r="AA255" s="98">
        <f t="shared" si="905"/>
        <v>0</v>
      </c>
      <c r="AB255" s="99">
        <f t="shared" si="898"/>
        <v>0</v>
      </c>
      <c r="AC255" s="98">
        <f>+(AC203-AA203)</f>
        <v>0</v>
      </c>
      <c r="AD255" s="98">
        <f t="shared" ref="AD255:AF255" si="906">+(AD203-AC203)</f>
        <v>0</v>
      </c>
      <c r="AE255" s="98">
        <f t="shared" si="906"/>
        <v>0</v>
      </c>
      <c r="AF255" s="98">
        <f t="shared" si="906"/>
        <v>0</v>
      </c>
      <c r="AG255" s="99">
        <f t="shared" si="900"/>
        <v>0</v>
      </c>
      <c r="AH255" s="98">
        <f>+(AH203-AF203)</f>
        <v>0</v>
      </c>
      <c r="AI255" s="98">
        <f t="shared" ref="AI255:AK255" si="907">+(AI203-AH203)</f>
        <v>0</v>
      </c>
      <c r="AJ255" s="98">
        <f t="shared" si="907"/>
        <v>0</v>
      </c>
      <c r="AK255" s="98">
        <f t="shared" si="907"/>
        <v>0</v>
      </c>
      <c r="AL255" s="99">
        <f t="shared" si="902"/>
        <v>0</v>
      </c>
    </row>
    <row r="256" spans="1:38" ht="17.25" outlineLevel="1">
      <c r="A256" s="297"/>
      <c r="B256" s="520" t="s">
        <v>244</v>
      </c>
      <c r="C256" s="521"/>
      <c r="D256" s="278">
        <v>305.60000000000002</v>
      </c>
      <c r="E256" s="278">
        <f>429.3-D256</f>
        <v>123.69999999999999</v>
      </c>
      <c r="F256" s="278">
        <f>-67.4-E256-D256</f>
        <v>-496.70000000000005</v>
      </c>
      <c r="G256" s="278">
        <f>-141.1-F256-E256-D256</f>
        <v>-73.699999999999989</v>
      </c>
      <c r="H256" s="271">
        <f t="shared" ref="H256" si="908">SUM(D256:G256)</f>
        <v>-141.10000000000002</v>
      </c>
      <c r="I256" s="278">
        <f>-31.8-301.6</f>
        <v>-333.40000000000003</v>
      </c>
      <c r="J256" s="278">
        <f>-608.6-140.5-I256</f>
        <v>-415.7</v>
      </c>
      <c r="K256" s="278">
        <f>-918.2+70.5-J256-I256</f>
        <v>-98.600000000000023</v>
      </c>
      <c r="L256" s="278">
        <f>(L201-K201)+(L211-K211)+(L212-K212)+(L204-K204)+(L202-K202)</f>
        <v>-25.980657935110003</v>
      </c>
      <c r="M256" s="271">
        <f t="shared" ref="M256" si="909">SUM(I256:L256)</f>
        <v>-873.68065793511005</v>
      </c>
      <c r="N256" s="278">
        <f>(N201-L201)+(N211-L211)+(N212-L212)+(N204-L204)+(N202-L202)</f>
        <v>28.326330419090027</v>
      </c>
      <c r="O256" s="278">
        <f t="shared" ref="O256:Q256" si="910">(O201-N201)+(O211-N211)+(O212-N212)+(O204-N204)+(O202-N202)</f>
        <v>-130.35760099785728</v>
      </c>
      <c r="P256" s="278">
        <f t="shared" si="910"/>
        <v>-211.73132000232044</v>
      </c>
      <c r="Q256" s="278">
        <f t="shared" si="910"/>
        <v>145.37007585151673</v>
      </c>
      <c r="R256" s="271">
        <f t="shared" ref="R256" si="911">SUM(N256:Q256)</f>
        <v>-168.39251472957096</v>
      </c>
      <c r="S256" s="278">
        <f>(S201-Q201)+(S211-Q211)+(S212-Q212)+(S204-Q204)+(S202-Q202)</f>
        <v>25.591066308469522</v>
      </c>
      <c r="T256" s="278">
        <f t="shared" ref="T256:V256" si="912">(T201-S201)+(T211-S211)+(T212-S212)+(T204-S204)+(T202-S202)</f>
        <v>-281.811369747345</v>
      </c>
      <c r="U256" s="278">
        <f t="shared" si="912"/>
        <v>2.6973877627020784</v>
      </c>
      <c r="V256" s="278">
        <f t="shared" si="912"/>
        <v>353.7470080503158</v>
      </c>
      <c r="W256" s="271">
        <f t="shared" ref="W256" si="913">SUM(S256:V256)</f>
        <v>100.2240923741424</v>
      </c>
      <c r="X256" s="278">
        <f>(X201-V201)+(X211-V211)+(X212-V212)+(X204-V204)+(X202-V202)</f>
        <v>28.514849641500291</v>
      </c>
      <c r="Y256" s="278">
        <f t="shared" ref="Y256:AA256" si="914">(Y201-X201)+(Y211-X211)+(Y212-X212)+(Y204-X204)+(Y202-X202)</f>
        <v>-382.9077319516914</v>
      </c>
      <c r="Z256" s="278">
        <f t="shared" si="914"/>
        <v>21.152142957424189</v>
      </c>
      <c r="AA256" s="278">
        <f t="shared" si="914"/>
        <v>331.15820711288552</v>
      </c>
      <c r="AB256" s="271">
        <f t="shared" ref="AB256" si="915">SUM(X256:AA256)</f>
        <v>-2.0825322398814023</v>
      </c>
      <c r="AC256" s="278">
        <f>(AC201-AA201)+(AC211-AA211)+(AC212-AA212)+(AC204-AA204)+(AC202-AA202)</f>
        <v>45.631944446375883</v>
      </c>
      <c r="AD256" s="278">
        <f t="shared" ref="AD256:AF256" si="916">(AD201-AC201)+(AD211-AC211)+(AD212-AC212)+(AD204-AC204)+(AD202-AC202)</f>
        <v>-416.90792552992389</v>
      </c>
      <c r="AE256" s="278">
        <f t="shared" si="916"/>
        <v>30.489651665958718</v>
      </c>
      <c r="AF256" s="278">
        <f t="shared" si="916"/>
        <v>331.57687321531785</v>
      </c>
      <c r="AG256" s="271">
        <f t="shared" ref="AG256" si="917">SUM(AC256:AF256)</f>
        <v>-9.2094562022714399</v>
      </c>
      <c r="AH256" s="278">
        <f>(AH201-AF201)+(AH211-AF211)+(AH212-AF212)+(AH204-AF204)+(AH202-AF202)</f>
        <v>95.477889523840759</v>
      </c>
      <c r="AI256" s="278">
        <f t="shared" ref="AI256:AK256" si="918">(AI201-AH201)+(AI211-AH211)+(AI212-AH212)+(AI204-AH204)+(AI202-AH202)</f>
        <v>-460.2677166852975</v>
      </c>
      <c r="AJ256" s="278">
        <f t="shared" si="918"/>
        <v>38.077916920318103</v>
      </c>
      <c r="AK256" s="278">
        <f t="shared" si="918"/>
        <v>348.11201877639132</v>
      </c>
      <c r="AL256" s="271">
        <f t="shared" ref="AL256" si="919">SUM(AH256:AK256)</f>
        <v>21.400108535252684</v>
      </c>
    </row>
    <row r="257" spans="1:38" outlineLevel="1">
      <c r="A257" s="297"/>
      <c r="B257" s="544" t="s">
        <v>12</v>
      </c>
      <c r="C257" s="545"/>
      <c r="D257" s="97">
        <f t="shared" ref="D257:AL257" si="920">D241+SUM(D242:D256)</f>
        <v>2379.0000000000005</v>
      </c>
      <c r="E257" s="97">
        <f t="shared" si="920"/>
        <v>390.39999999999969</v>
      </c>
      <c r="F257" s="97">
        <f t="shared" si="920"/>
        <v>1169.400000000001</v>
      </c>
      <c r="G257" s="97">
        <f t="shared" si="920"/>
        <v>1108.1000000000008</v>
      </c>
      <c r="H257" s="272">
        <f t="shared" si="920"/>
        <v>5046.9000000000051</v>
      </c>
      <c r="I257" s="97">
        <f t="shared" si="920"/>
        <v>1836.0999999999985</v>
      </c>
      <c r="J257" s="97">
        <f t="shared" si="920"/>
        <v>-1361.3000000000009</v>
      </c>
      <c r="K257" s="97">
        <f t="shared" si="920"/>
        <v>-367.69999999999925</v>
      </c>
      <c r="L257" s="97">
        <f t="shared" si="920"/>
        <v>941.14605359098221</v>
      </c>
      <c r="M257" s="272">
        <f t="shared" si="920"/>
        <v>1048.2460535909802</v>
      </c>
      <c r="N257" s="97">
        <f t="shared" si="920"/>
        <v>1490.0613957745163</v>
      </c>
      <c r="O257" s="97">
        <f t="shared" si="920"/>
        <v>605.63374575251942</v>
      </c>
      <c r="P257" s="97">
        <f t="shared" si="920"/>
        <v>669.21124220892273</v>
      </c>
      <c r="Q257" s="97">
        <f t="shared" si="920"/>
        <v>988.78337141181646</v>
      </c>
      <c r="R257" s="272">
        <f t="shared" si="920"/>
        <v>3753.6897551477732</v>
      </c>
      <c r="S257" s="97">
        <f t="shared" si="920"/>
        <v>1750.7661330951951</v>
      </c>
      <c r="T257" s="97">
        <f t="shared" si="920"/>
        <v>739.75836467112288</v>
      </c>
      <c r="U257" s="97">
        <f t="shared" si="920"/>
        <v>919.72502613395227</v>
      </c>
      <c r="V257" s="97">
        <f t="shared" si="920"/>
        <v>1358.5962857937968</v>
      </c>
      <c r="W257" s="272">
        <f t="shared" si="920"/>
        <v>4768.8458096940631</v>
      </c>
      <c r="X257" s="97">
        <f t="shared" si="920"/>
        <v>1870.8426422644748</v>
      </c>
      <c r="Y257" s="97">
        <f t="shared" si="920"/>
        <v>745.72224403943164</v>
      </c>
      <c r="Z257" s="97">
        <f t="shared" si="920"/>
        <v>1019.193302184744</v>
      </c>
      <c r="AA257" s="97">
        <f t="shared" si="920"/>
        <v>1388.0750524872869</v>
      </c>
      <c r="AB257" s="272">
        <f t="shared" si="920"/>
        <v>5023.8332409759432</v>
      </c>
      <c r="AC257" s="97">
        <f t="shared" si="920"/>
        <v>1968.4818340143006</v>
      </c>
      <c r="AD257" s="97">
        <f t="shared" si="920"/>
        <v>807.03333071468569</v>
      </c>
      <c r="AE257" s="97">
        <f t="shared" si="920"/>
        <v>1082.930473118952</v>
      </c>
      <c r="AF257" s="97">
        <f t="shared" si="920"/>
        <v>1464.3481719780646</v>
      </c>
      <c r="AG257" s="272">
        <f t="shared" si="920"/>
        <v>5322.7938098259974</v>
      </c>
      <c r="AH257" s="97">
        <f t="shared" si="920"/>
        <v>2129.204173103908</v>
      </c>
      <c r="AI257" s="97">
        <f t="shared" si="920"/>
        <v>857.06585048373597</v>
      </c>
      <c r="AJ257" s="97">
        <f t="shared" si="920"/>
        <v>1169.4560872049369</v>
      </c>
      <c r="AK257" s="97">
        <f t="shared" si="920"/>
        <v>1552.2392971984461</v>
      </c>
      <c r="AL257" s="272">
        <f t="shared" si="920"/>
        <v>5707.9654079910288</v>
      </c>
    </row>
    <row r="258" spans="1:38" outlineLevel="1">
      <c r="A258" s="297"/>
      <c r="B258" s="536" t="s">
        <v>13</v>
      </c>
      <c r="C258" s="537"/>
      <c r="D258" s="434"/>
      <c r="E258" s="25"/>
      <c r="F258" s="25"/>
      <c r="G258" s="25"/>
      <c r="H258" s="26"/>
      <c r="I258" s="356"/>
      <c r="J258" s="356"/>
      <c r="K258" s="25"/>
      <c r="L258" s="25"/>
      <c r="M258" s="279"/>
      <c r="N258" s="25"/>
      <c r="O258" s="25"/>
      <c r="P258" s="25"/>
      <c r="Q258" s="25"/>
      <c r="R258" s="279"/>
      <c r="S258" s="25"/>
      <c r="T258" s="25"/>
      <c r="U258" s="25"/>
      <c r="V258" s="25"/>
      <c r="W258" s="279"/>
      <c r="X258" s="25"/>
      <c r="Y258" s="25"/>
      <c r="Z258" s="25"/>
      <c r="AA258" s="25"/>
      <c r="AB258" s="279"/>
      <c r="AC258" s="25"/>
      <c r="AD258" s="25"/>
      <c r="AE258" s="25"/>
      <c r="AF258" s="25"/>
      <c r="AG258" s="279"/>
      <c r="AH258" s="25"/>
      <c r="AI258" s="25"/>
      <c r="AJ258" s="25"/>
      <c r="AK258" s="25"/>
      <c r="AL258" s="279"/>
    </row>
    <row r="259" spans="1:38" outlineLevel="1">
      <c r="A259" s="297"/>
      <c r="B259" s="84" t="s">
        <v>240</v>
      </c>
      <c r="C259" s="85"/>
      <c r="D259" s="38">
        <f>-108.7+32.1+14.2</f>
        <v>-62.399999999999991</v>
      </c>
      <c r="E259" s="38">
        <f>-150.2+218.3+55.1-D259</f>
        <v>185.60000000000002</v>
      </c>
      <c r="F259" s="38">
        <f>-176.3+281.7+57.5-E259-D259</f>
        <v>39.699999999999946</v>
      </c>
      <c r="G259" s="38">
        <f>-190.4+298.3+59.8-F259-E259-D259</f>
        <v>4.8000000000000256</v>
      </c>
      <c r="H259" s="39">
        <f>SUM(D259:G259)</f>
        <v>167.7</v>
      </c>
      <c r="I259" s="38">
        <f>-38+64.6+1.3</f>
        <v>27.899999999999995</v>
      </c>
      <c r="J259" s="38">
        <f>-65.1+93.7+4.3-I259</f>
        <v>5.0000000000000107</v>
      </c>
      <c r="K259" s="38">
        <f>-297.4+133.5+10-J259-I259</f>
        <v>-186.79999999999998</v>
      </c>
      <c r="L259" s="38">
        <f>-(L185-K185)-(L190-K190)</f>
        <v>101.03420967553909</v>
      </c>
      <c r="M259" s="39">
        <f>SUM(I259:L259)</f>
        <v>-52.865790324460889</v>
      </c>
      <c r="N259" s="38">
        <f>-(N185-L185)-(N190-L190)</f>
        <v>20.787467490761983</v>
      </c>
      <c r="O259" s="38">
        <f>-(O185-N185)-(O190-N190)</f>
        <v>0.59632821346714593</v>
      </c>
      <c r="P259" s="38">
        <f>-(P185-O185)-(P190-O190)</f>
        <v>-9.9849558378021044</v>
      </c>
      <c r="Q259" s="38">
        <f>-(Q185-P185)-(Q190-P190)</f>
        <v>9.5262038376014289</v>
      </c>
      <c r="R259" s="39">
        <f>SUM(N259:Q259)</f>
        <v>20.925043704028454</v>
      </c>
      <c r="S259" s="38">
        <f>-(S185-Q185)-(S190-Q190)</f>
        <v>-4.8723286619170949</v>
      </c>
      <c r="T259" s="38">
        <f>-(T185-S185)-(T190-S190)</f>
        <v>10.996360009808399</v>
      </c>
      <c r="U259" s="38">
        <f>-(U185-T185)-(U190-T190)</f>
        <v>5.6025893790900057</v>
      </c>
      <c r="V259" s="38">
        <f>-(V185-U185)-(V190-U190)</f>
        <v>-13.527166153116298</v>
      </c>
      <c r="W259" s="39">
        <f>SUM(S259:V259)</f>
        <v>-1.8005454261349882</v>
      </c>
      <c r="X259" s="38">
        <f>-(X185-V185)-(X190-V190)</f>
        <v>-5.2105925378916709</v>
      </c>
      <c r="Y259" s="38">
        <f>-(Y185-X185)-(Y190-X190)</f>
        <v>16.670233631737773</v>
      </c>
      <c r="Z259" s="38">
        <f>-(Z185-Y185)-(Z190-Y190)</f>
        <v>6.6597192604092896</v>
      </c>
      <c r="AA259" s="38">
        <f>-(AA185-Z185)-(AA190-Z190)</f>
        <v>-22.872037064928648</v>
      </c>
      <c r="AB259" s="39">
        <f>SUM(X259:AA259)</f>
        <v>-4.7526767106732564</v>
      </c>
      <c r="AC259" s="38">
        <f>-(AC185-AA185)-(AC190-AA190)</f>
        <v>-5.0871282802139746</v>
      </c>
      <c r="AD259" s="38">
        <f>-(AD185-AC185)-(AD190-AC190)</f>
        <v>19.427907552243454</v>
      </c>
      <c r="AE259" s="38">
        <f>-(AE185-AD185)-(AE190-AD190)</f>
        <v>7.8129951722900017</v>
      </c>
      <c r="AF259" s="38">
        <f>-(AF185-AE185)-(AF190-AE190)</f>
        <v>-40.624925260726172</v>
      </c>
      <c r="AG259" s="39">
        <f>SUM(AC259:AF259)</f>
        <v>-18.471150816406691</v>
      </c>
      <c r="AH259" s="38">
        <f>-(AH185-AF185)-(AH190-AF190)</f>
        <v>-2.6820145717058921</v>
      </c>
      <c r="AI259" s="38">
        <f>-(AI185-AH185)-(AI190-AH190)</f>
        <v>24.595864795230497</v>
      </c>
      <c r="AJ259" s="38">
        <f>-(AJ185-AI185)-(AJ190-AI190)</f>
        <v>11.558185149749065</v>
      </c>
      <c r="AK259" s="38">
        <f>-(AK185-AJ185)-(AK190-AJ190)</f>
        <v>-25.009742797327164</v>
      </c>
      <c r="AL259" s="39">
        <f>SUM(AH259:AK259)</f>
        <v>8.4622925759465062</v>
      </c>
    </row>
    <row r="260" spans="1:38" outlineLevel="1">
      <c r="A260" s="297"/>
      <c r="B260" s="522" t="s">
        <v>241</v>
      </c>
      <c r="C260" s="523"/>
      <c r="D260" s="38">
        <v>-431.4</v>
      </c>
      <c r="E260" s="38">
        <f>-845.6-D260</f>
        <v>-414.20000000000005</v>
      </c>
      <c r="F260" s="38">
        <f>-1280.7-E260-D260</f>
        <v>-435.1</v>
      </c>
      <c r="G260" s="38">
        <f>-1806.6-F260-E260-D260</f>
        <v>-525.9</v>
      </c>
      <c r="H260" s="300">
        <f>SUM(D260:G260)</f>
        <v>-1806.6</v>
      </c>
      <c r="I260" s="38">
        <v>-394.3</v>
      </c>
      <c r="J260" s="38">
        <f>-758.3-I260</f>
        <v>-363.99999999999994</v>
      </c>
      <c r="K260" s="38">
        <f>-1138.4-J260-I260</f>
        <v>-380.10000000000008</v>
      </c>
      <c r="L260" s="38">
        <f>-L16*L291</f>
        <v>-363.31187466666654</v>
      </c>
      <c r="M260" s="427">
        <f>SUM(I260:L260)</f>
        <v>-1501.7118746666665</v>
      </c>
      <c r="N260" s="38">
        <f>-N16*N291</f>
        <v>-399.78557130095766</v>
      </c>
      <c r="O260" s="38">
        <f>-O16*O291</f>
        <v>-338.89704765197075</v>
      </c>
      <c r="P260" s="38">
        <f>-P16*P291</f>
        <v>-358.68033046404076</v>
      </c>
      <c r="Q260" s="38">
        <f>-Q16*Q291</f>
        <v>-465.08528463710581</v>
      </c>
      <c r="R260" s="39">
        <f>SUM(N260:Q260)</f>
        <v>-1562.4482340540749</v>
      </c>
      <c r="S260" s="38">
        <f>-S16*S291</f>
        <v>-461.11089546610287</v>
      </c>
      <c r="T260" s="38">
        <f>-T16*T291</f>
        <v>-355.19291943758458</v>
      </c>
      <c r="U260" s="38">
        <f>-U16*U291</f>
        <v>-368.95865785727028</v>
      </c>
      <c r="V260" s="38">
        <f>-V16*V291</f>
        <v>-477.0478766311561</v>
      </c>
      <c r="W260" s="39">
        <f>SUM(S260:V260)</f>
        <v>-1662.3103493921139</v>
      </c>
      <c r="X260" s="38">
        <f>-X16*X291</f>
        <v>-411.18453708898272</v>
      </c>
      <c r="Y260" s="38">
        <f>-Y16*Y291</f>
        <v>-312.55173249296041</v>
      </c>
      <c r="Z260" s="38">
        <f>-Z16*Z291</f>
        <v>-324.91380633555838</v>
      </c>
      <c r="AA260" s="38">
        <f>-AA16*AA291</f>
        <v>-414.91812878539736</v>
      </c>
      <c r="AB260" s="39">
        <f>SUM(X260:AA260)</f>
        <v>-1463.5682047028988</v>
      </c>
      <c r="AC260" s="38">
        <f>-AC16*AC291</f>
        <v>-440.03054396794164</v>
      </c>
      <c r="AD260" s="38">
        <f>-AD16*AD291</f>
        <v>-330.35395591620278</v>
      </c>
      <c r="AE260" s="38">
        <f>-AE16*AE291</f>
        <v>-344.13841631731043</v>
      </c>
      <c r="AF260" s="38">
        <f>-AF16*AF291</f>
        <v>-437.98923321885871</v>
      </c>
      <c r="AG260" s="39">
        <f>SUM(AC260:AF260)</f>
        <v>-1552.5121494203136</v>
      </c>
      <c r="AH260" s="38">
        <f>-AH16*AH291</f>
        <v>-470.79809469393444</v>
      </c>
      <c r="AI260" s="38">
        <f>-AI16*AI291</f>
        <v>-351.13736975801595</v>
      </c>
      <c r="AJ260" s="38">
        <f>-AJ16*AJ291</f>
        <v>-366.41909764556067</v>
      </c>
      <c r="AK260" s="38">
        <f>-AK16*AK291</f>
        <v>-467.07345129053232</v>
      </c>
      <c r="AL260" s="39">
        <f>SUM(AH260:AK260)</f>
        <v>-1655.4280133880434</v>
      </c>
    </row>
    <row r="261" spans="1:38" ht="17.25" outlineLevel="1">
      <c r="A261" s="297"/>
      <c r="B261" s="522" t="s">
        <v>113</v>
      </c>
      <c r="C261" s="523"/>
      <c r="D261" s="41">
        <v>-16.600000000000001</v>
      </c>
      <c r="E261" s="41">
        <f>48.5-37.1-D261</f>
        <v>28</v>
      </c>
      <c r="F261" s="41">
        <f>684.2-72.9-E261-D261</f>
        <v>599.90000000000009</v>
      </c>
      <c r="G261" s="41">
        <f>684.3-56.2-F261-E261-D261</f>
        <v>16.79999999999982</v>
      </c>
      <c r="H261" s="42">
        <f>SUM(D261:G261)</f>
        <v>628.09999999999991</v>
      </c>
      <c r="I261" s="41">
        <v>-19.899999999999999</v>
      </c>
      <c r="J261" s="41">
        <f>-22.5-I261</f>
        <v>-2.6000000000000014</v>
      </c>
      <c r="K261" s="41">
        <f>-39.4-J261-I261</f>
        <v>-16.899999999999999</v>
      </c>
      <c r="L261" s="41">
        <f>-(L191-K191)-(L195-K195)-(L193-K193)+(L210-K210)-(L196-K196)-(L197-K197)</f>
        <v>54.350762150437959</v>
      </c>
      <c r="M261" s="42">
        <f>SUM(I261:L261)</f>
        <v>14.95076215043796</v>
      </c>
      <c r="N261" s="41">
        <f>-(N191-L191)-(N195-L195)-(N193-L193)+(N210-L210)-(N196-L196)-(N197-L197)</f>
        <v>41.455036077225827</v>
      </c>
      <c r="O261" s="41">
        <f t="shared" ref="O261:Q261" si="921">-(O191-N191)-(O195-N195)-(O193-N193)+(O210-N210)-(O196-N196)-(O197-N197)</f>
        <v>60.388783769091049</v>
      </c>
      <c r="P261" s="41">
        <f t="shared" si="921"/>
        <v>50.792745187990931</v>
      </c>
      <c r="Q261" s="41">
        <f t="shared" si="921"/>
        <v>21.816895792366267</v>
      </c>
      <c r="R261" s="42">
        <f>SUM(N261:Q261)</f>
        <v>174.45346082667407</v>
      </c>
      <c r="S261" s="41">
        <f>-(S191-Q191)-(S195-Q195)-(S193-Q193)+(S210-Q210)-(S196-Q196)-(S197-Q197)</f>
        <v>23.495438904343757</v>
      </c>
      <c r="T261" s="41">
        <f t="shared" ref="T261:V261" si="922">-(T191-S191)-(T195-S195)-(T193-S193)+(T210-S210)-(T196-S196)-(T197-S197)</f>
        <v>53.001920448200792</v>
      </c>
      <c r="U261" s="41">
        <f t="shared" si="922"/>
        <v>39.397415731557203</v>
      </c>
      <c r="V261" s="41">
        <f t="shared" si="922"/>
        <v>1.9614436701068598</v>
      </c>
      <c r="W261" s="42">
        <f>SUM(S261:V261)</f>
        <v>117.85621875420861</v>
      </c>
      <c r="X261" s="41">
        <f>-(X191-V191)-(X195-V195)-(X193-V193)+(X210-V210)-(X196-V196)-(X197-V197)</f>
        <v>18.569434841817781</v>
      </c>
      <c r="Y261" s="41">
        <f t="shared" ref="Y261:AA261" si="923">-(Y191-X191)-(Y195-X195)-(Y193-X193)+(Y210-X210)-(Y196-X196)-(Y197-X197)</f>
        <v>50.971825779438177</v>
      </c>
      <c r="Z261" s="41">
        <f t="shared" si="923"/>
        <v>33.286462050834018</v>
      </c>
      <c r="AA261" s="41">
        <f t="shared" si="923"/>
        <v>-13.425390283921502</v>
      </c>
      <c r="AB261" s="42">
        <f>SUM(X261:AA261)</f>
        <v>89.402332388168475</v>
      </c>
      <c r="AC261" s="41">
        <f>-(AC191-AA191)-(AC195-AA195)-(AC193-AA193)+(AC210-AA210)-(AC196-AA196)-(AC197-AA197)</f>
        <v>13.555744450059535</v>
      </c>
      <c r="AD261" s="41">
        <f t="shared" ref="AD261:AF261" si="924">-(AD191-AC191)-(AD195-AC195)-(AD193-AC193)+(AD210-AC210)-(AD196-AC196)-(AD197-AC197)</f>
        <v>49.733384514461221</v>
      </c>
      <c r="AE261" s="41">
        <f t="shared" si="924"/>
        <v>30.850887371806238</v>
      </c>
      <c r="AF261" s="41">
        <f t="shared" si="924"/>
        <v>-43.796792522951449</v>
      </c>
      <c r="AG261" s="42">
        <f>SUM(AC261:AF261)</f>
        <v>50.343223813375545</v>
      </c>
      <c r="AH261" s="41">
        <f>-(AH191-AF191)-(AH195-AF195)-(AH193-AF193)+(AH210-AF210)-(AH196-AF196)-(AH197-AF197)</f>
        <v>13.279595006790032</v>
      </c>
      <c r="AI261" s="41">
        <f t="shared" ref="AI261:AK261" si="925">-(AI191-AH191)-(AI195-AH195)-(AI193-AH193)+(AI210-AH210)-(AI196-AH196)-(AI197-AH197)</f>
        <v>53.945706437035852</v>
      </c>
      <c r="AJ261" s="41">
        <f t="shared" si="925"/>
        <v>33.305749758020454</v>
      </c>
      <c r="AK261" s="41">
        <f t="shared" si="925"/>
        <v>-23.0607955588587</v>
      </c>
      <c r="AL261" s="42">
        <f>SUM(AH261:AK261)</f>
        <v>77.470255642987638</v>
      </c>
    </row>
    <row r="262" spans="1:38" outlineLevel="1">
      <c r="A262" s="297"/>
      <c r="B262" s="530" t="s">
        <v>14</v>
      </c>
      <c r="C262" s="531"/>
      <c r="D262" s="45">
        <f t="shared" ref="D262:AA262" si="926">SUM(D259:D261)</f>
        <v>-510.4</v>
      </c>
      <c r="E262" s="45">
        <f t="shared" si="926"/>
        <v>-200.60000000000002</v>
      </c>
      <c r="F262" s="45">
        <f t="shared" si="926"/>
        <v>204.5</v>
      </c>
      <c r="G262" s="45">
        <f t="shared" si="926"/>
        <v>-504.30000000000007</v>
      </c>
      <c r="H262" s="46">
        <f t="shared" si="926"/>
        <v>-1010.8</v>
      </c>
      <c r="I262" s="45">
        <f t="shared" si="926"/>
        <v>-386.3</v>
      </c>
      <c r="J262" s="45">
        <f t="shared" si="926"/>
        <v>-361.59999999999997</v>
      </c>
      <c r="K262" s="45">
        <f t="shared" si="926"/>
        <v>-583.80000000000007</v>
      </c>
      <c r="L262" s="45">
        <f t="shared" si="926"/>
        <v>-207.92690284068948</v>
      </c>
      <c r="M262" s="46">
        <f t="shared" si="926"/>
        <v>-1539.6269028406896</v>
      </c>
      <c r="N262" s="45">
        <f t="shared" si="926"/>
        <v>-337.54306773296986</v>
      </c>
      <c r="O262" s="45">
        <f t="shared" si="926"/>
        <v>-277.91193566941257</v>
      </c>
      <c r="P262" s="45">
        <f t="shared" si="926"/>
        <v>-317.87254111385192</v>
      </c>
      <c r="Q262" s="45">
        <f t="shared" si="926"/>
        <v>-433.74218500713812</v>
      </c>
      <c r="R262" s="46">
        <f t="shared" ref="R262" si="927">SUM(R259:R261)</f>
        <v>-1367.0697295233724</v>
      </c>
      <c r="S262" s="45">
        <f t="shared" si="926"/>
        <v>-442.48778522367621</v>
      </c>
      <c r="T262" s="45">
        <f t="shared" si="926"/>
        <v>-291.19463897957536</v>
      </c>
      <c r="U262" s="45">
        <f t="shared" si="926"/>
        <v>-323.9586527466231</v>
      </c>
      <c r="V262" s="45">
        <f t="shared" si="926"/>
        <v>-488.61359911416554</v>
      </c>
      <c r="W262" s="46">
        <f t="shared" ref="W262" si="928">SUM(W259:W261)</f>
        <v>-1546.2546760640403</v>
      </c>
      <c r="X262" s="45">
        <f t="shared" si="926"/>
        <v>-397.82569478505661</v>
      </c>
      <c r="Y262" s="45">
        <f t="shared" si="926"/>
        <v>-244.90967308178449</v>
      </c>
      <c r="Z262" s="45">
        <f t="shared" si="926"/>
        <v>-284.96762502431505</v>
      </c>
      <c r="AA262" s="45">
        <f t="shared" si="926"/>
        <v>-451.21555613424749</v>
      </c>
      <c r="AB262" s="46">
        <f t="shared" ref="AB262" si="929">SUM(AB259:AB261)</f>
        <v>-1378.9185490254035</v>
      </c>
      <c r="AC262" s="45">
        <f t="shared" ref="AC262:AG262" si="930">SUM(AC259:AC261)</f>
        <v>-431.56192779809606</v>
      </c>
      <c r="AD262" s="45">
        <f t="shared" si="930"/>
        <v>-261.1926638494981</v>
      </c>
      <c r="AE262" s="45">
        <f t="shared" si="930"/>
        <v>-305.47453377321415</v>
      </c>
      <c r="AF262" s="45">
        <f t="shared" si="930"/>
        <v>-522.41095100253631</v>
      </c>
      <c r="AG262" s="46">
        <f t="shared" si="930"/>
        <v>-1520.6400764233447</v>
      </c>
      <c r="AH262" s="45">
        <f t="shared" ref="AH262:AL262" si="931">SUM(AH259:AH261)</f>
        <v>-460.20051425885032</v>
      </c>
      <c r="AI262" s="45">
        <f t="shared" si="931"/>
        <v>-272.59579852574961</v>
      </c>
      <c r="AJ262" s="45">
        <f t="shared" si="931"/>
        <v>-321.55516273779114</v>
      </c>
      <c r="AK262" s="45">
        <f t="shared" si="931"/>
        <v>-515.14398964671818</v>
      </c>
      <c r="AL262" s="46">
        <f t="shared" si="931"/>
        <v>-1569.4954651691091</v>
      </c>
    </row>
    <row r="263" spans="1:38" outlineLevel="1">
      <c r="A263" s="297"/>
      <c r="B263" s="546" t="s">
        <v>15</v>
      </c>
      <c r="C263" s="547"/>
      <c r="D263" s="281"/>
      <c r="E263" s="276"/>
      <c r="F263" s="276"/>
      <c r="G263" s="276"/>
      <c r="H263" s="277"/>
      <c r="I263" s="276"/>
      <c r="J263" s="276"/>
      <c r="K263" s="276"/>
      <c r="L263" s="276"/>
      <c r="M263" s="277"/>
      <c r="N263" s="276"/>
      <c r="O263" s="276"/>
      <c r="P263" s="276"/>
      <c r="Q263" s="276"/>
      <c r="R263" s="277"/>
      <c r="S263" s="276"/>
      <c r="T263" s="276"/>
      <c r="U263" s="276"/>
      <c r="V263" s="276"/>
      <c r="W263" s="277"/>
      <c r="X263" s="276"/>
      <c r="Y263" s="276"/>
      <c r="Z263" s="276"/>
      <c r="AA263" s="276"/>
      <c r="AB263" s="277"/>
      <c r="AC263" s="276"/>
      <c r="AD263" s="276"/>
      <c r="AE263" s="276"/>
      <c r="AF263" s="276"/>
      <c r="AG263" s="277"/>
      <c r="AH263" s="276"/>
      <c r="AI263" s="276"/>
      <c r="AJ263" s="276"/>
      <c r="AK263" s="276"/>
      <c r="AL263" s="277"/>
    </row>
    <row r="264" spans="1:38" outlineLevel="1">
      <c r="A264" s="297"/>
      <c r="B264" s="520" t="s">
        <v>308</v>
      </c>
      <c r="C264" s="521"/>
      <c r="D264" s="98">
        <v>0</v>
      </c>
      <c r="E264" s="98">
        <f>-D264</f>
        <v>0</v>
      </c>
      <c r="F264" s="98">
        <f>1996-350-E264-D264</f>
        <v>1646</v>
      </c>
      <c r="G264" s="98">
        <f>1996-F264-E264-D264</f>
        <v>350</v>
      </c>
      <c r="H264" s="99">
        <f t="shared" ref="H264:H268" si="932">SUM(D264:G264)</f>
        <v>1996</v>
      </c>
      <c r="I264" s="98">
        <v>0</v>
      </c>
      <c r="J264" s="98">
        <f>1739.7-I264</f>
        <v>1739.7</v>
      </c>
      <c r="K264" s="98">
        <f>1157.2+4727.6-J264-I264</f>
        <v>4145.1000000000004</v>
      </c>
      <c r="L264" s="98">
        <f>+(L206-K206)+(L209-K209)</f>
        <v>-437</v>
      </c>
      <c r="M264" s="99">
        <f t="shared" ref="M264:M268" si="933">SUM(I264:L264)</f>
        <v>5447.8</v>
      </c>
      <c r="N264" s="98">
        <f>+(N206-L206)+(N209-L209)</f>
        <v>-437</v>
      </c>
      <c r="O264" s="98">
        <f>+(O206-N206)+(O209-N209)</f>
        <v>-437</v>
      </c>
      <c r="P264" s="98">
        <f>+(P206-O206)+(P209-O209)</f>
        <v>-437</v>
      </c>
      <c r="Q264" s="98">
        <f>+(Q206-P206)+(Q209-P209)</f>
        <v>61.900000000000091</v>
      </c>
      <c r="R264" s="99">
        <f t="shared" ref="R264:R268" si="934">SUM(N264:Q264)</f>
        <v>-1249.0999999999999</v>
      </c>
      <c r="S264" s="98">
        <f>+(S206-Q206)+(S209-Q209)</f>
        <v>-250</v>
      </c>
      <c r="T264" s="98">
        <f>+(T206-S206)+(T209-S209)</f>
        <v>-250</v>
      </c>
      <c r="U264" s="98">
        <f>+(U206-T206)+(U209-T209)</f>
        <v>-250</v>
      </c>
      <c r="V264" s="98">
        <f>+(V206-U206)+(V209-U209)</f>
        <v>650</v>
      </c>
      <c r="W264" s="99">
        <f t="shared" ref="W264:W268" si="935">SUM(S264:V264)</f>
        <v>-100</v>
      </c>
      <c r="X264" s="98">
        <f>+(X206-V206)+(X209-V209)</f>
        <v>-250</v>
      </c>
      <c r="Y264" s="98">
        <f>+(Y206-X206)+(Y209-X209)</f>
        <v>-250</v>
      </c>
      <c r="Z264" s="98">
        <f>+(Z206-Y206)+(Z209-Y209)</f>
        <v>-250</v>
      </c>
      <c r="AA264" s="98">
        <f>+(AA206-Z206)+(AA209-Z209)</f>
        <v>1193</v>
      </c>
      <c r="AB264" s="99">
        <f t="shared" ref="AB264:AB268" si="936">SUM(X264:AA264)</f>
        <v>443</v>
      </c>
      <c r="AC264" s="98">
        <f>+(AC206-AA206)+(AC209-AA209)</f>
        <v>-385.75</v>
      </c>
      <c r="AD264" s="98">
        <f>+(AD206-AC206)+(AD209-AC209)</f>
        <v>-385.75</v>
      </c>
      <c r="AE264" s="98">
        <f>+(AE206-AD206)+(AE209-AD209)</f>
        <v>-385.75</v>
      </c>
      <c r="AF264" s="98">
        <f>+(AF206-AE206)+(AF209-AE209)</f>
        <v>2514.25</v>
      </c>
      <c r="AG264" s="99">
        <f t="shared" ref="AG264:AG268" si="937">SUM(AC264:AF264)</f>
        <v>1357</v>
      </c>
      <c r="AH264" s="98">
        <f>+(AH206-AF206)+(AH209-AF209)</f>
        <v>-750</v>
      </c>
      <c r="AI264" s="98">
        <f>+(AI206-AH206)+(AI209-AH209)</f>
        <v>-750</v>
      </c>
      <c r="AJ264" s="98">
        <f>+(AJ206-AI206)+(AJ209-AI209)</f>
        <v>-750</v>
      </c>
      <c r="AK264" s="98">
        <f>+(AK206-AJ206)+(AK209-AJ209)</f>
        <v>1150</v>
      </c>
      <c r="AL264" s="99">
        <f t="shared" ref="AL264:AL268" si="938">SUM(AH264:AK264)</f>
        <v>-1100</v>
      </c>
    </row>
    <row r="265" spans="1:38" outlineLevel="1">
      <c r="A265" s="297"/>
      <c r="B265" s="342" t="s">
        <v>307</v>
      </c>
      <c r="C265" s="343"/>
      <c r="D265" s="98">
        <v>-350</v>
      </c>
      <c r="E265" s="98">
        <v>0</v>
      </c>
      <c r="F265" s="98">
        <f>-75-E265-D265</f>
        <v>275</v>
      </c>
      <c r="G265" s="98">
        <f>-350-F265-E265-D265</f>
        <v>-275</v>
      </c>
      <c r="H265" s="99">
        <f t="shared" si="932"/>
        <v>-350</v>
      </c>
      <c r="I265" s="98"/>
      <c r="J265" s="98">
        <f t="shared" ref="J265" si="939">0-I265</f>
        <v>0</v>
      </c>
      <c r="K265" s="98">
        <v>-220.7</v>
      </c>
      <c r="L265" s="98"/>
      <c r="M265" s="99">
        <f t="shared" si="933"/>
        <v>-220.7</v>
      </c>
      <c r="N265" s="98"/>
      <c r="O265" s="98"/>
      <c r="P265" s="98"/>
      <c r="Q265" s="98"/>
      <c r="R265" s="99">
        <f t="shared" si="934"/>
        <v>0</v>
      </c>
      <c r="S265" s="98"/>
      <c r="T265" s="98"/>
      <c r="U265" s="98"/>
      <c r="V265" s="98"/>
      <c r="W265" s="99">
        <f t="shared" si="935"/>
        <v>0</v>
      </c>
      <c r="X265" s="98"/>
      <c r="Y265" s="98"/>
      <c r="Z265" s="98"/>
      <c r="AA265" s="98"/>
      <c r="AB265" s="99">
        <f t="shared" si="936"/>
        <v>0</v>
      </c>
      <c r="AC265" s="98"/>
      <c r="AD265" s="98"/>
      <c r="AE265" s="98"/>
      <c r="AF265" s="98"/>
      <c r="AG265" s="99">
        <f t="shared" si="937"/>
        <v>0</v>
      </c>
      <c r="AH265" s="98"/>
      <c r="AI265" s="98"/>
      <c r="AJ265" s="98"/>
      <c r="AK265" s="98"/>
      <c r="AL265" s="99">
        <f t="shared" si="938"/>
        <v>0</v>
      </c>
    </row>
    <row r="266" spans="1:38" outlineLevel="1">
      <c r="A266" s="297"/>
      <c r="B266" s="342" t="s">
        <v>305</v>
      </c>
      <c r="C266" s="343"/>
      <c r="D266" s="98"/>
      <c r="E266" s="98">
        <v>75</v>
      </c>
      <c r="F266" s="98">
        <v>0</v>
      </c>
      <c r="G266" s="98">
        <f>0-F266-E266-D266</f>
        <v>-75</v>
      </c>
      <c r="H266" s="99">
        <f t="shared" si="932"/>
        <v>0</v>
      </c>
      <c r="I266" s="98">
        <f>398.9+99</f>
        <v>497.9</v>
      </c>
      <c r="J266" s="98">
        <f>613+494.1-I266</f>
        <v>609.19999999999993</v>
      </c>
      <c r="K266" s="98">
        <f t="shared" ref="K266" si="940">0-J266-I266</f>
        <v>-1107.0999999999999</v>
      </c>
      <c r="L266" s="98"/>
      <c r="M266" s="99">
        <f t="shared" si="933"/>
        <v>0</v>
      </c>
      <c r="N266" s="98"/>
      <c r="O266" s="98"/>
      <c r="P266" s="98"/>
      <c r="Q266" s="98"/>
      <c r="R266" s="99">
        <f t="shared" si="934"/>
        <v>0</v>
      </c>
      <c r="S266" s="98"/>
      <c r="T266" s="98"/>
      <c r="U266" s="98"/>
      <c r="V266" s="98"/>
      <c r="W266" s="99">
        <f t="shared" si="935"/>
        <v>0</v>
      </c>
      <c r="X266" s="98"/>
      <c r="Y266" s="98"/>
      <c r="Z266" s="98"/>
      <c r="AA266" s="98"/>
      <c r="AB266" s="99">
        <f t="shared" si="936"/>
        <v>0</v>
      </c>
      <c r="AC266" s="98"/>
      <c r="AD266" s="98"/>
      <c r="AE266" s="98"/>
      <c r="AF266" s="98"/>
      <c r="AG266" s="99">
        <f t="shared" si="937"/>
        <v>0</v>
      </c>
      <c r="AH266" s="98"/>
      <c r="AI266" s="98"/>
      <c r="AJ266" s="98"/>
      <c r="AK266" s="98"/>
      <c r="AL266" s="99">
        <f t="shared" si="938"/>
        <v>0</v>
      </c>
    </row>
    <row r="267" spans="1:38" outlineLevel="1">
      <c r="A267" s="297"/>
      <c r="B267" s="58" t="s">
        <v>239</v>
      </c>
      <c r="C267" s="52"/>
      <c r="D267" s="98">
        <v>108.4</v>
      </c>
      <c r="E267" s="98">
        <f>275.7-D267</f>
        <v>167.29999999999998</v>
      </c>
      <c r="F267" s="98">
        <f>358.5-E267-D267</f>
        <v>82.800000000000011</v>
      </c>
      <c r="G267" s="98">
        <f>409.8-F267-E267-D267</f>
        <v>51.300000000000011</v>
      </c>
      <c r="H267" s="99">
        <f t="shared" si="932"/>
        <v>409.8</v>
      </c>
      <c r="I267" s="98">
        <v>33.1</v>
      </c>
      <c r="J267" s="98">
        <f>65.4-I267</f>
        <v>32.300000000000004</v>
      </c>
      <c r="K267" s="98">
        <f>98.9-J267-I267</f>
        <v>33.499999999999993</v>
      </c>
      <c r="L267" s="98">
        <v>0</v>
      </c>
      <c r="M267" s="99">
        <f t="shared" si="933"/>
        <v>98.9</v>
      </c>
      <c r="N267" s="98">
        <v>0</v>
      </c>
      <c r="O267" s="98">
        <v>0</v>
      </c>
      <c r="P267" s="98">
        <v>0</v>
      </c>
      <c r="Q267" s="98">
        <v>0</v>
      </c>
      <c r="R267" s="99">
        <f t="shared" si="934"/>
        <v>0</v>
      </c>
      <c r="S267" s="98">
        <v>0</v>
      </c>
      <c r="T267" s="98">
        <v>0</v>
      </c>
      <c r="U267" s="98">
        <v>0</v>
      </c>
      <c r="V267" s="98">
        <v>0</v>
      </c>
      <c r="W267" s="99">
        <f t="shared" si="935"/>
        <v>0</v>
      </c>
      <c r="X267" s="98">
        <v>0</v>
      </c>
      <c r="Y267" s="98">
        <v>0</v>
      </c>
      <c r="Z267" s="98">
        <v>0</v>
      </c>
      <c r="AA267" s="98">
        <v>0</v>
      </c>
      <c r="AB267" s="99">
        <f t="shared" si="936"/>
        <v>0</v>
      </c>
      <c r="AC267" s="98">
        <v>0</v>
      </c>
      <c r="AD267" s="98">
        <v>0</v>
      </c>
      <c r="AE267" s="98">
        <v>0</v>
      </c>
      <c r="AF267" s="98">
        <v>0</v>
      </c>
      <c r="AG267" s="99">
        <f t="shared" si="937"/>
        <v>0</v>
      </c>
      <c r="AH267" s="98">
        <v>0</v>
      </c>
      <c r="AI267" s="98">
        <v>0</v>
      </c>
      <c r="AJ267" s="98">
        <v>0</v>
      </c>
      <c r="AK267" s="98">
        <v>0</v>
      </c>
      <c r="AL267" s="99">
        <f t="shared" si="938"/>
        <v>0</v>
      </c>
    </row>
    <row r="268" spans="1:38" outlineLevel="1">
      <c r="A268" s="297"/>
      <c r="B268" s="58" t="s">
        <v>245</v>
      </c>
      <c r="C268" s="52"/>
      <c r="D268" s="98">
        <v>-446.7</v>
      </c>
      <c r="E268" s="98">
        <f>-894.5-D268</f>
        <v>-447.8</v>
      </c>
      <c r="F268" s="98">
        <f>-1330.7-E268-D268</f>
        <v>-436.2000000000001</v>
      </c>
      <c r="G268" s="98">
        <f>-1761.3-F268-E268-D268</f>
        <v>-430.59999999999997</v>
      </c>
      <c r="H268" s="99">
        <f t="shared" si="932"/>
        <v>-1761.3</v>
      </c>
      <c r="I268" s="98">
        <v>-484.2</v>
      </c>
      <c r="J268" s="98">
        <f>-965.2-I268</f>
        <v>-481.00000000000006</v>
      </c>
      <c r="K268" s="98">
        <f>-1444.2-J268-I268</f>
        <v>-479.00000000000006</v>
      </c>
      <c r="L268" s="98">
        <f>-L43*L38</f>
        <v>-526.55438537883424</v>
      </c>
      <c r="M268" s="99">
        <f t="shared" si="933"/>
        <v>-1970.7543853788343</v>
      </c>
      <c r="N268" s="98">
        <f>-N43*N38</f>
        <v>-523.87416419314513</v>
      </c>
      <c r="O268" s="98">
        <f>-O43*O38</f>
        <v>-522.49534307850058</v>
      </c>
      <c r="P268" s="98">
        <f>-P43*P38</f>
        <v>-521.01736868739954</v>
      </c>
      <c r="Q268" s="98">
        <f>-Q43*Q38</f>
        <v>-571.59079919634405</v>
      </c>
      <c r="R268" s="99">
        <f t="shared" si="934"/>
        <v>-2138.9776751553891</v>
      </c>
      <c r="S268" s="98">
        <f>-S43*S38</f>
        <v>-626.69606781985681</v>
      </c>
      <c r="T268" s="98">
        <f>-T43*T38</f>
        <v>-687.41657242855399</v>
      </c>
      <c r="U268" s="98">
        <f>-U43*U38</f>
        <v>-753.970574280101</v>
      </c>
      <c r="V268" s="98">
        <f>-V43*V38</f>
        <v>-826.94822599726149</v>
      </c>
      <c r="W268" s="99">
        <f t="shared" si="935"/>
        <v>-2895.0314405257732</v>
      </c>
      <c r="X268" s="98">
        <f>-X43*X38</f>
        <v>-824.4840752463698</v>
      </c>
      <c r="Y268" s="98">
        <f>-Y43*Y38</f>
        <v>-822.08634839830165</v>
      </c>
      <c r="Z268" s="98">
        <f>-Z43*Z38</f>
        <v>-819.67898408729945</v>
      </c>
      <c r="AA268" s="98">
        <f>-AA43*AA38</f>
        <v>-858.13500896953428</v>
      </c>
      <c r="AB268" s="99">
        <f t="shared" si="936"/>
        <v>-3324.384416701505</v>
      </c>
      <c r="AC268" s="98">
        <f>-AC43*AC38</f>
        <v>-855.61020470503706</v>
      </c>
      <c r="AD268" s="98">
        <f>-AD43*AD38</f>
        <v>-853.10086311565908</v>
      </c>
      <c r="AE268" s="98">
        <f>-AE43*AE38</f>
        <v>-850.59361130545778</v>
      </c>
      <c r="AF268" s="98">
        <f>-AF43*AF38</f>
        <v>-890.49602996191231</v>
      </c>
      <c r="AG268" s="99">
        <f t="shared" si="937"/>
        <v>-3449.8007090880665</v>
      </c>
      <c r="AH268" s="98">
        <f>-AH43*AH38</f>
        <v>-887.87548863971256</v>
      </c>
      <c r="AI268" s="98">
        <f>-AI43*AI38</f>
        <v>-885.26251630859804</v>
      </c>
      <c r="AJ268" s="98">
        <f>-AJ43*AJ38</f>
        <v>-882.65497776176426</v>
      </c>
      <c r="AK268" s="98">
        <f>-AK43*AK38</f>
        <v>-924.05635448171961</v>
      </c>
      <c r="AL268" s="99">
        <f t="shared" si="938"/>
        <v>-3579.8493371917943</v>
      </c>
    </row>
    <row r="269" spans="1:38" outlineLevel="1">
      <c r="A269" s="297"/>
      <c r="B269" s="58" t="s">
        <v>114</v>
      </c>
      <c r="C269" s="168"/>
      <c r="D269" s="98">
        <v>-5114.7</v>
      </c>
      <c r="E269" s="98">
        <f>-7827.9-D269</f>
        <v>-2713.2</v>
      </c>
      <c r="F269" s="98">
        <f>-7972.9-E269-D269</f>
        <v>-145</v>
      </c>
      <c r="G269" s="98">
        <f>-10222.3-F269-E269-D269</f>
        <v>-2249.3999999999996</v>
      </c>
      <c r="H269" s="99">
        <f>SUM(D269:G269)</f>
        <v>-10222.299999999999</v>
      </c>
      <c r="I269" s="98">
        <v>-1091.4000000000001</v>
      </c>
      <c r="J269" s="98">
        <f>-1698.9-I269</f>
        <v>-607.5</v>
      </c>
      <c r="K269" s="98">
        <f>-1698.9-J269-I269</f>
        <v>0</v>
      </c>
      <c r="L269" s="98">
        <f>-L160</f>
        <v>-100</v>
      </c>
      <c r="M269" s="99">
        <f>SUM(I269:L269)</f>
        <v>-1798.9</v>
      </c>
      <c r="N269" s="98">
        <f>-N160</f>
        <v>-50</v>
      </c>
      <c r="O269" s="98">
        <f>-O160</f>
        <v>-50</v>
      </c>
      <c r="P269" s="98">
        <f>-P160</f>
        <v>-50</v>
      </c>
      <c r="Q269" s="98">
        <f>-Q160</f>
        <v>-50</v>
      </c>
      <c r="R269" s="99">
        <f>SUM(N269:Q269)</f>
        <v>-200</v>
      </c>
      <c r="S269" s="98">
        <f>-S160</f>
        <v>-50</v>
      </c>
      <c r="T269" s="98">
        <f>-T160</f>
        <v>-50</v>
      </c>
      <c r="U269" s="98">
        <f>-U160</f>
        <v>-50</v>
      </c>
      <c r="V269" s="98">
        <f>-V160</f>
        <v>-50</v>
      </c>
      <c r="W269" s="99">
        <f>SUM(S269:V269)</f>
        <v>-200</v>
      </c>
      <c r="X269" s="98">
        <f>-X160</f>
        <v>-50</v>
      </c>
      <c r="Y269" s="98">
        <f>-Y160</f>
        <v>-50</v>
      </c>
      <c r="Z269" s="98">
        <f>-Z160</f>
        <v>-50</v>
      </c>
      <c r="AA269" s="98">
        <f>-AA160</f>
        <v>-50</v>
      </c>
      <c r="AB269" s="99">
        <f>SUM(X269:AA269)</f>
        <v>-200</v>
      </c>
      <c r="AC269" s="98">
        <f>-AC160</f>
        <v>-50</v>
      </c>
      <c r="AD269" s="98">
        <f>-AD160</f>
        <v>-50</v>
      </c>
      <c r="AE269" s="98">
        <f>-AE160</f>
        <v>-50</v>
      </c>
      <c r="AF269" s="98">
        <f>-AF160</f>
        <v>-50</v>
      </c>
      <c r="AG269" s="99">
        <f>SUM(AC269:AF269)</f>
        <v>-200</v>
      </c>
      <c r="AH269" s="98">
        <f>-AH160</f>
        <v>-50</v>
      </c>
      <c r="AI269" s="98">
        <f>-AI160</f>
        <v>-50</v>
      </c>
      <c r="AJ269" s="98">
        <f>-AJ160</f>
        <v>-50</v>
      </c>
      <c r="AK269" s="98">
        <f>-AK160</f>
        <v>-50</v>
      </c>
      <c r="AL269" s="99">
        <f>SUM(AH269:AK269)</f>
        <v>-200</v>
      </c>
    </row>
    <row r="270" spans="1:38" outlineLevel="1">
      <c r="A270" s="297"/>
      <c r="B270" s="58" t="s">
        <v>278</v>
      </c>
      <c r="C270" s="89"/>
      <c r="D270" s="98">
        <v>-55.3</v>
      </c>
      <c r="E270" s="98">
        <f>-56.3-D270</f>
        <v>-1</v>
      </c>
      <c r="F270" s="98">
        <f>-106.1-E270-D270</f>
        <v>-49.8</v>
      </c>
      <c r="G270" s="98">
        <f>-111.6-F270-E270-D270</f>
        <v>-5.5</v>
      </c>
      <c r="H270" s="99">
        <f t="shared" ref="H270" si="941">SUM(D270:G270)</f>
        <v>-111.6</v>
      </c>
      <c r="I270" s="98">
        <v>-78.400000000000006</v>
      </c>
      <c r="J270" s="98">
        <f>-87.6-I270</f>
        <v>-9.1999999999999886</v>
      </c>
      <c r="K270" s="98">
        <f>-89.1-J270-I270</f>
        <v>-1.5</v>
      </c>
      <c r="L270" s="98">
        <f>(K270/K247)*L247</f>
        <v>-2.1686517622990578</v>
      </c>
      <c r="M270" s="99">
        <f t="shared" ref="M270" si="942">SUM(I270:L270)</f>
        <v>-91.268651762299058</v>
      </c>
      <c r="N270" s="98">
        <f>(L270/L247)*N247</f>
        <v>-2.4584838629426291</v>
      </c>
      <c r="O270" s="98">
        <f>(N270/N247)*O247</f>
        <v>-1.9239623115135882</v>
      </c>
      <c r="P270" s="98">
        <f>(O270/O247)*P247</f>
        <v>-2.0425172912991481</v>
      </c>
      <c r="Q270" s="98">
        <f>(P270/P247)*Q247</f>
        <v>-2.7297336792589344</v>
      </c>
      <c r="R270" s="99">
        <f t="shared" ref="R270" si="943">SUM(N270:Q270)</f>
        <v>-9.1546971450142998</v>
      </c>
      <c r="S270" s="98">
        <f>(Q270/Q247)*S247</f>
        <v>-2.816469373125527</v>
      </c>
      <c r="T270" s="98">
        <f>(S270/S247)*T247</f>
        <v>-2.1509084038361643</v>
      </c>
      <c r="U270" s="98">
        <f>(T270/T247)*U247</f>
        <v>-2.2415922356163511</v>
      </c>
      <c r="V270" s="98">
        <f>(U270/U247)*V247</f>
        <v>-2.9010006294632058</v>
      </c>
      <c r="W270" s="99">
        <f t="shared" ref="W270" si="944">SUM(S270:V270)</f>
        <v>-10.109970642041247</v>
      </c>
      <c r="X270" s="98">
        <f>(V270/V247)*X247</f>
        <v>-3.0000299104327239</v>
      </c>
      <c r="Y270" s="98">
        <f>(X270/X247)*Y247</f>
        <v>-2.2777773432732822</v>
      </c>
      <c r="Z270" s="98">
        <f>(Y270/Y247)*Z247</f>
        <v>-2.3695702367545275</v>
      </c>
      <c r="AA270" s="98">
        <f>(Z270/Z247)*AA247</f>
        <v>-3.0262105456424537</v>
      </c>
      <c r="AB270" s="99">
        <f t="shared" ref="AB270" si="945">SUM(X270:AA270)</f>
        <v>-10.673588036102988</v>
      </c>
      <c r="AC270" s="98">
        <f>(AA270/AA247)*AC247</f>
        <v>-3.2089425422809841</v>
      </c>
      <c r="AD270" s="98">
        <f>(AC270/AC247)*AD247</f>
        <v>-2.4088302161942501</v>
      </c>
      <c r="AE270" s="98">
        <f>(AD270/AD247)*AE247</f>
        <v>-2.5096845908829861</v>
      </c>
      <c r="AF270" s="98">
        <f>(AE270/AE247)*AF247</f>
        <v>-3.1940783492849718</v>
      </c>
      <c r="AG270" s="99">
        <f t="shared" ref="AG270" si="946">SUM(AC270:AF270)</f>
        <v>-11.321535698643192</v>
      </c>
      <c r="AH270" s="98">
        <f>(AF270/AF247)*AH247</f>
        <v>-3.4332321911800787</v>
      </c>
      <c r="AI270" s="98">
        <f>(AH270/AH247)*AI247</f>
        <v>-2.5606066642360195</v>
      </c>
      <c r="AJ270" s="98">
        <f>(AI270/AI247)*AJ247</f>
        <v>-2.6721061427713968</v>
      </c>
      <c r="AK270" s="98">
        <f>(AJ270/AJ247)*AK247</f>
        <v>-3.4061062483422959</v>
      </c>
      <c r="AL270" s="99">
        <f t="shared" ref="AL270" si="947">SUM(AH270:AK270)</f>
        <v>-12.07205124652979</v>
      </c>
    </row>
    <row r="271" spans="1:38" ht="17.25" outlineLevel="1">
      <c r="A271" s="297"/>
      <c r="B271" s="520" t="s">
        <v>115</v>
      </c>
      <c r="C271" s="521"/>
      <c r="D271" s="278">
        <v>-0.3</v>
      </c>
      <c r="E271" s="278">
        <f>0.1-D271</f>
        <v>0.4</v>
      </c>
      <c r="F271" s="278">
        <f>-17.6-E271-D271</f>
        <v>-17.7</v>
      </c>
      <c r="G271" s="278">
        <f>-17.5-F271-E271-D271</f>
        <v>9.9999999999999256E-2</v>
      </c>
      <c r="H271" s="271">
        <f t="shared" ref="H271" si="948">SUM(D271:G271)</f>
        <v>-17.5</v>
      </c>
      <c r="I271" s="278">
        <v>0</v>
      </c>
      <c r="J271" s="278">
        <f>-10.4-I271</f>
        <v>-10.4</v>
      </c>
      <c r="K271" s="278">
        <f>-37.8-J271-I271</f>
        <v>-27.4</v>
      </c>
      <c r="L271" s="278">
        <v>0</v>
      </c>
      <c r="M271" s="271">
        <f t="shared" ref="M271" si="949">SUM(I271:L271)</f>
        <v>-37.799999999999997</v>
      </c>
      <c r="N271" s="278">
        <v>0</v>
      </c>
      <c r="O271" s="278">
        <v>0</v>
      </c>
      <c r="P271" s="278">
        <v>0</v>
      </c>
      <c r="Q271" s="278">
        <v>0</v>
      </c>
      <c r="R271" s="271">
        <f t="shared" ref="R271" si="950">SUM(N271:Q271)</f>
        <v>0</v>
      </c>
      <c r="S271" s="278">
        <v>0</v>
      </c>
      <c r="T271" s="278">
        <v>0</v>
      </c>
      <c r="U271" s="278">
        <v>0</v>
      </c>
      <c r="V271" s="278">
        <v>0</v>
      </c>
      <c r="W271" s="271">
        <f t="shared" ref="W271" si="951">SUM(S271:V271)</f>
        <v>0</v>
      </c>
      <c r="X271" s="278">
        <v>0</v>
      </c>
      <c r="Y271" s="278">
        <v>0</v>
      </c>
      <c r="Z271" s="278">
        <v>0</v>
      </c>
      <c r="AA271" s="278">
        <v>0</v>
      </c>
      <c r="AB271" s="271">
        <f t="shared" ref="AB271" si="952">SUM(X271:AA271)</f>
        <v>0</v>
      </c>
      <c r="AC271" s="278">
        <v>0</v>
      </c>
      <c r="AD271" s="278">
        <v>0</v>
      </c>
      <c r="AE271" s="278">
        <v>0</v>
      </c>
      <c r="AF271" s="278">
        <v>0</v>
      </c>
      <c r="AG271" s="271">
        <f t="shared" ref="AG271" si="953">SUM(AC271:AF271)</f>
        <v>0</v>
      </c>
      <c r="AH271" s="278">
        <v>0</v>
      </c>
      <c r="AI271" s="278">
        <v>0</v>
      </c>
      <c r="AJ271" s="278">
        <v>0</v>
      </c>
      <c r="AK271" s="278">
        <v>0</v>
      </c>
      <c r="AL271" s="271">
        <f t="shared" ref="AL271" si="954">SUM(AH271:AK271)</f>
        <v>0</v>
      </c>
    </row>
    <row r="272" spans="1:38" outlineLevel="1">
      <c r="A272" s="297"/>
      <c r="B272" s="544" t="s">
        <v>16</v>
      </c>
      <c r="C272" s="545"/>
      <c r="D272" s="97">
        <f t="shared" ref="D272:AB272" si="955">SUM(D264:D271)</f>
        <v>-5858.6</v>
      </c>
      <c r="E272" s="97">
        <f t="shared" si="955"/>
        <v>-2919.2999999999997</v>
      </c>
      <c r="F272" s="97">
        <f t="shared" si="955"/>
        <v>1355.1</v>
      </c>
      <c r="G272" s="97">
        <f t="shared" si="955"/>
        <v>-2634.1</v>
      </c>
      <c r="H272" s="272">
        <f t="shared" si="955"/>
        <v>-10056.9</v>
      </c>
      <c r="I272" s="97">
        <f t="shared" si="955"/>
        <v>-1123.0000000000002</v>
      </c>
      <c r="J272" s="97">
        <f t="shared" si="955"/>
        <v>1273.1000000000001</v>
      </c>
      <c r="K272" s="97">
        <f t="shared" si="955"/>
        <v>2342.9000000000005</v>
      </c>
      <c r="L272" s="97">
        <f t="shared" si="955"/>
        <v>-1065.7230371411333</v>
      </c>
      <c r="M272" s="272">
        <f t="shared" si="955"/>
        <v>1427.2769628588667</v>
      </c>
      <c r="N272" s="97">
        <f t="shared" si="955"/>
        <v>-1013.3326480560878</v>
      </c>
      <c r="O272" s="97">
        <f t="shared" si="955"/>
        <v>-1011.4193053900142</v>
      </c>
      <c r="P272" s="97">
        <f t="shared" si="955"/>
        <v>-1010.0598859786987</v>
      </c>
      <c r="Q272" s="97">
        <f t="shared" si="955"/>
        <v>-562.42053287560293</v>
      </c>
      <c r="R272" s="272">
        <f t="shared" si="955"/>
        <v>-3597.2323723004033</v>
      </c>
      <c r="S272" s="97">
        <f t="shared" si="955"/>
        <v>-929.51253719298234</v>
      </c>
      <c r="T272" s="97">
        <f t="shared" si="955"/>
        <v>-989.56748083239017</v>
      </c>
      <c r="U272" s="97">
        <f t="shared" si="955"/>
        <v>-1056.2121665157174</v>
      </c>
      <c r="V272" s="97">
        <f t="shared" si="955"/>
        <v>-229.84922662672469</v>
      </c>
      <c r="W272" s="272">
        <f t="shared" si="955"/>
        <v>-3205.1414111678146</v>
      </c>
      <c r="X272" s="97">
        <f t="shared" si="955"/>
        <v>-1127.4841051568023</v>
      </c>
      <c r="Y272" s="97">
        <f t="shared" si="955"/>
        <v>-1124.364125741575</v>
      </c>
      <c r="Z272" s="97">
        <f t="shared" si="955"/>
        <v>-1122.0485543240538</v>
      </c>
      <c r="AA272" s="97">
        <f t="shared" si="955"/>
        <v>281.83878048482325</v>
      </c>
      <c r="AB272" s="272">
        <f t="shared" si="955"/>
        <v>-3092.0580047376079</v>
      </c>
      <c r="AC272" s="97">
        <f t="shared" ref="AC272:AG272" si="956">SUM(AC264:AC271)</f>
        <v>-1294.5691472473181</v>
      </c>
      <c r="AD272" s="97">
        <f t="shared" si="956"/>
        <v>-1291.2596933318534</v>
      </c>
      <c r="AE272" s="97">
        <f t="shared" si="956"/>
        <v>-1288.8532958963406</v>
      </c>
      <c r="AF272" s="97">
        <f t="shared" si="956"/>
        <v>1570.5598916888025</v>
      </c>
      <c r="AG272" s="272">
        <f t="shared" si="956"/>
        <v>-2304.1222447867099</v>
      </c>
      <c r="AH272" s="97">
        <f t="shared" ref="AH272:AL272" si="957">SUM(AH264:AH271)</f>
        <v>-1691.3087208308925</v>
      </c>
      <c r="AI272" s="97">
        <f t="shared" si="957"/>
        <v>-1687.8231229728342</v>
      </c>
      <c r="AJ272" s="97">
        <f t="shared" si="957"/>
        <v>-1685.3270839045356</v>
      </c>
      <c r="AK272" s="97">
        <f t="shared" si="957"/>
        <v>172.53753926993809</v>
      </c>
      <c r="AL272" s="272">
        <f t="shared" si="957"/>
        <v>-4891.9213884383234</v>
      </c>
    </row>
    <row r="273" spans="1:38" outlineLevel="1">
      <c r="A273" s="297"/>
      <c r="B273" s="90" t="s">
        <v>117</v>
      </c>
      <c r="C273" s="91"/>
      <c r="D273" s="434">
        <f>-4.7-0.1</f>
        <v>-4.8</v>
      </c>
      <c r="E273" s="354">
        <f>18.3-0.1-D273</f>
        <v>23</v>
      </c>
      <c r="F273" s="354">
        <f>-2.5-E273-D273</f>
        <v>-20.7</v>
      </c>
      <c r="G273" s="354">
        <f>-49-F273-E273-D273</f>
        <v>-46.5</v>
      </c>
      <c r="H273" s="279">
        <f>SUM(D273:G273)</f>
        <v>-49</v>
      </c>
      <c r="I273" s="354">
        <v>27.1</v>
      </c>
      <c r="J273" s="354">
        <f>8.7-I273</f>
        <v>-18.400000000000002</v>
      </c>
      <c r="K273" s="354">
        <f>10.9-J273-I273</f>
        <v>2.2000000000000028</v>
      </c>
      <c r="L273" s="280">
        <v>0</v>
      </c>
      <c r="M273" s="279">
        <f>SUM(I273:L273)</f>
        <v>10.900000000000002</v>
      </c>
      <c r="N273" s="280">
        <v>0</v>
      </c>
      <c r="O273" s="280">
        <v>0</v>
      </c>
      <c r="P273" s="280">
        <v>0</v>
      </c>
      <c r="Q273" s="280">
        <v>0</v>
      </c>
      <c r="R273" s="279">
        <f>SUM(N273:Q273)</f>
        <v>0</v>
      </c>
      <c r="S273" s="280">
        <v>0</v>
      </c>
      <c r="T273" s="280">
        <v>0</v>
      </c>
      <c r="U273" s="280">
        <v>0</v>
      </c>
      <c r="V273" s="280">
        <v>0</v>
      </c>
      <c r="W273" s="279">
        <f>SUM(S273:V273)</f>
        <v>0</v>
      </c>
      <c r="X273" s="280">
        <v>0</v>
      </c>
      <c r="Y273" s="280">
        <v>0</v>
      </c>
      <c r="Z273" s="280">
        <v>0</v>
      </c>
      <c r="AA273" s="280">
        <v>0</v>
      </c>
      <c r="AB273" s="279">
        <f>SUM(X273:AA273)</f>
        <v>0</v>
      </c>
      <c r="AC273" s="280">
        <v>0</v>
      </c>
      <c r="AD273" s="280">
        <v>0</v>
      </c>
      <c r="AE273" s="280">
        <v>0</v>
      </c>
      <c r="AF273" s="280">
        <v>0</v>
      </c>
      <c r="AG273" s="279">
        <f>SUM(AC273:AF273)</f>
        <v>0</v>
      </c>
      <c r="AH273" s="280">
        <v>0</v>
      </c>
      <c r="AI273" s="280">
        <v>0</v>
      </c>
      <c r="AJ273" s="280">
        <v>0</v>
      </c>
      <c r="AK273" s="280">
        <v>0</v>
      </c>
      <c r="AL273" s="279">
        <f>SUM(AH273:AK273)</f>
        <v>0</v>
      </c>
    </row>
    <row r="274" spans="1:38" ht="17.25" outlineLevel="1">
      <c r="A274" s="297"/>
      <c r="B274" s="522" t="s">
        <v>17</v>
      </c>
      <c r="C274" s="523"/>
      <c r="D274" s="41">
        <f t="shared" ref="D274:AB274" si="958">D272+D262+D257+D273</f>
        <v>-3994.7999999999997</v>
      </c>
      <c r="E274" s="41">
        <f t="shared" si="958"/>
        <v>-2706.5</v>
      </c>
      <c r="F274" s="41">
        <f t="shared" si="958"/>
        <v>2708.3000000000011</v>
      </c>
      <c r="G274" s="41">
        <f t="shared" si="958"/>
        <v>-2076.7999999999993</v>
      </c>
      <c r="H274" s="42">
        <f t="shared" si="958"/>
        <v>-6069.7999999999938</v>
      </c>
      <c r="I274" s="41">
        <f t="shared" si="958"/>
        <v>353.89999999999839</v>
      </c>
      <c r="J274" s="41">
        <f t="shared" si="958"/>
        <v>-468.20000000000061</v>
      </c>
      <c r="K274" s="41">
        <f t="shared" si="958"/>
        <v>1393.600000000001</v>
      </c>
      <c r="L274" s="41">
        <f t="shared" si="958"/>
        <v>-332.50388639084065</v>
      </c>
      <c r="M274" s="42">
        <f t="shared" si="958"/>
        <v>946.79611360915726</v>
      </c>
      <c r="N274" s="41">
        <f t="shared" si="958"/>
        <v>139.18567998545859</v>
      </c>
      <c r="O274" s="41">
        <f t="shared" si="958"/>
        <v>-683.69749530690729</v>
      </c>
      <c r="P274" s="41">
        <f t="shared" si="958"/>
        <v>-658.72118488362787</v>
      </c>
      <c r="Q274" s="41">
        <f t="shared" si="958"/>
        <v>-7.3793464709245882</v>
      </c>
      <c r="R274" s="42">
        <f t="shared" si="958"/>
        <v>-1210.6123466760027</v>
      </c>
      <c r="S274" s="41">
        <f t="shared" si="958"/>
        <v>378.76581067853658</v>
      </c>
      <c r="T274" s="41">
        <f t="shared" si="958"/>
        <v>-541.0037551408426</v>
      </c>
      <c r="U274" s="41">
        <f t="shared" si="958"/>
        <v>-460.44579312838823</v>
      </c>
      <c r="V274" s="41">
        <f t="shared" si="958"/>
        <v>640.13346005290657</v>
      </c>
      <c r="W274" s="42">
        <f t="shared" si="958"/>
        <v>17.449722462208229</v>
      </c>
      <c r="X274" s="41">
        <f t="shared" si="958"/>
        <v>345.53284232261581</v>
      </c>
      <c r="Y274" s="41">
        <f t="shared" si="958"/>
        <v>-623.55155478392771</v>
      </c>
      <c r="Z274" s="41">
        <f t="shared" si="958"/>
        <v>-387.82287716362498</v>
      </c>
      <c r="AA274" s="41">
        <f t="shared" si="958"/>
        <v>1218.6982768378627</v>
      </c>
      <c r="AB274" s="42">
        <f t="shared" si="958"/>
        <v>552.85668721293132</v>
      </c>
      <c r="AC274" s="41">
        <f t="shared" ref="AC274:AG274" si="959">AC272+AC262+AC257+AC273</f>
        <v>242.35075896888634</v>
      </c>
      <c r="AD274" s="41">
        <f t="shared" si="959"/>
        <v>-745.41902646666585</v>
      </c>
      <c r="AE274" s="41">
        <f t="shared" si="959"/>
        <v>-511.39735655060281</v>
      </c>
      <c r="AF274" s="41">
        <f t="shared" si="959"/>
        <v>2512.4971126643304</v>
      </c>
      <c r="AG274" s="42">
        <f t="shared" si="959"/>
        <v>1498.0314886159431</v>
      </c>
      <c r="AH274" s="41">
        <f t="shared" ref="AH274:AL274" si="960">AH272+AH262+AH257+AH273</f>
        <v>-22.305061985834982</v>
      </c>
      <c r="AI274" s="41">
        <f t="shared" si="960"/>
        <v>-1103.353071014848</v>
      </c>
      <c r="AJ274" s="41">
        <f t="shared" si="960"/>
        <v>-837.42615943738974</v>
      </c>
      <c r="AK274" s="41">
        <f t="shared" si="960"/>
        <v>1209.6328468216661</v>
      </c>
      <c r="AL274" s="42">
        <f t="shared" si="960"/>
        <v>-753.45144561640336</v>
      </c>
    </row>
    <row r="275" spans="1:38" ht="17.25" outlineLevel="1">
      <c r="A275" s="297"/>
      <c r="B275" s="522" t="s">
        <v>18</v>
      </c>
      <c r="C275" s="523"/>
      <c r="D275" s="41">
        <v>8756.2999999999993</v>
      </c>
      <c r="E275" s="41">
        <f>D276</f>
        <v>4761.6000000000004</v>
      </c>
      <c r="F275" s="41">
        <f>E276</f>
        <v>2055.1000000000004</v>
      </c>
      <c r="G275" s="41">
        <f>F276</f>
        <v>4763.4000000000015</v>
      </c>
      <c r="H275" s="42">
        <f>D275</f>
        <v>8756.2999999999993</v>
      </c>
      <c r="I275" s="314">
        <f>H276</f>
        <v>2686.5000000000055</v>
      </c>
      <c r="J275" s="41">
        <f>I276</f>
        <v>3040.5000000000036</v>
      </c>
      <c r="K275" s="41">
        <f>J276</f>
        <v>2572.3000000000029</v>
      </c>
      <c r="L275" s="41">
        <f>K276</f>
        <v>3965.9000000000042</v>
      </c>
      <c r="M275" s="42">
        <f>H276</f>
        <v>2686.5000000000055</v>
      </c>
      <c r="N275" s="41">
        <f>+M276</f>
        <v>3633.2961136091626</v>
      </c>
      <c r="O275" s="41">
        <f>N276</f>
        <v>3772.4817935946212</v>
      </c>
      <c r="P275" s="41">
        <f>O276</f>
        <v>3088.7842982877137</v>
      </c>
      <c r="Q275" s="41">
        <f>P276</f>
        <v>2430.0631134040859</v>
      </c>
      <c r="R275" s="42">
        <f>M276</f>
        <v>3633.2961136091626</v>
      </c>
      <c r="S275" s="41">
        <f>+R276</f>
        <v>2422.6837669331599</v>
      </c>
      <c r="T275" s="41">
        <f>S276</f>
        <v>2801.4495776116964</v>
      </c>
      <c r="U275" s="41">
        <f>T276</f>
        <v>2260.4458224708537</v>
      </c>
      <c r="V275" s="41">
        <f>U276</f>
        <v>1800.0000293424655</v>
      </c>
      <c r="W275" s="42">
        <f>R276</f>
        <v>2422.6837669331599</v>
      </c>
      <c r="X275" s="41">
        <f>+W276</f>
        <v>2440.1334893953681</v>
      </c>
      <c r="Y275" s="41">
        <f>X276</f>
        <v>2785.6663317179837</v>
      </c>
      <c r="Z275" s="41">
        <f>Y276</f>
        <v>2162.114776934056</v>
      </c>
      <c r="AA275" s="41">
        <f>Z276</f>
        <v>1774.291899770431</v>
      </c>
      <c r="AB275" s="42">
        <f>W276</f>
        <v>2440.1334893953681</v>
      </c>
      <c r="AC275" s="41">
        <f>+AB276</f>
        <v>2992.9901766082994</v>
      </c>
      <c r="AD275" s="41">
        <f>AC276</f>
        <v>3235.3409355771855</v>
      </c>
      <c r="AE275" s="41">
        <f>AD276</f>
        <v>2489.9219091105197</v>
      </c>
      <c r="AF275" s="41">
        <f>AE276</f>
        <v>1978.5245525599169</v>
      </c>
      <c r="AG275" s="42">
        <f>AB276</f>
        <v>2992.9901766082994</v>
      </c>
      <c r="AH275" s="41">
        <f>+AG276</f>
        <v>4491.0216652242425</v>
      </c>
      <c r="AI275" s="41">
        <f>AH276</f>
        <v>4468.7166032384075</v>
      </c>
      <c r="AJ275" s="41">
        <f>AI276</f>
        <v>3365.3635322235596</v>
      </c>
      <c r="AK275" s="41">
        <f>AJ276</f>
        <v>2527.9373727861698</v>
      </c>
      <c r="AL275" s="42">
        <f>AG276</f>
        <v>4491.0216652242425</v>
      </c>
    </row>
    <row r="276" spans="1:38" outlineLevel="1">
      <c r="A276" s="297"/>
      <c r="B276" s="576" t="s">
        <v>116</v>
      </c>
      <c r="C276" s="577"/>
      <c r="D276" s="328">
        <f>+D275+D274+0.1</f>
        <v>4761.6000000000004</v>
      </c>
      <c r="E276" s="328">
        <f t="shared" ref="E276" si="961">+E275+E274</f>
        <v>2055.1000000000004</v>
      </c>
      <c r="F276" s="328">
        <f t="shared" ref="F276" si="962">+F275+F274</f>
        <v>4763.4000000000015</v>
      </c>
      <c r="G276" s="328">
        <f t="shared" ref="G276" si="963">+G275+G274</f>
        <v>2686.6000000000022</v>
      </c>
      <c r="H276" s="437">
        <f>+D275+H274</f>
        <v>2686.5000000000055</v>
      </c>
      <c r="I276" s="328">
        <f>+I275+I274+0.1</f>
        <v>3040.5000000000036</v>
      </c>
      <c r="J276" s="328">
        <f t="shared" ref="J276:L276" si="964">+J275+J274</f>
        <v>2572.3000000000029</v>
      </c>
      <c r="K276" s="328">
        <f t="shared" si="964"/>
        <v>3965.9000000000042</v>
      </c>
      <c r="L276" s="45">
        <f t="shared" si="964"/>
        <v>3633.3961136091634</v>
      </c>
      <c r="M276" s="46">
        <f>+I275+M274</f>
        <v>3633.2961136091626</v>
      </c>
      <c r="N276" s="45">
        <f>+N275+N274</f>
        <v>3772.4817935946212</v>
      </c>
      <c r="O276" s="45">
        <f t="shared" ref="O276:Q276" si="965">+O275+O274</f>
        <v>3088.7842982877137</v>
      </c>
      <c r="P276" s="45">
        <f t="shared" si="965"/>
        <v>2430.0631134040859</v>
      </c>
      <c r="Q276" s="45">
        <f t="shared" si="965"/>
        <v>2422.6837669331612</v>
      </c>
      <c r="R276" s="46">
        <f>+N275+R274</f>
        <v>2422.6837669331599</v>
      </c>
      <c r="S276" s="45">
        <f>+S275+S274</f>
        <v>2801.4495776116964</v>
      </c>
      <c r="T276" s="45">
        <f t="shared" ref="T276:V276" si="966">+T275+T274</f>
        <v>2260.4458224708537</v>
      </c>
      <c r="U276" s="45">
        <f t="shared" si="966"/>
        <v>1800.0000293424655</v>
      </c>
      <c r="V276" s="45">
        <f t="shared" si="966"/>
        <v>2440.1334893953722</v>
      </c>
      <c r="W276" s="46">
        <f>+S275+W274</f>
        <v>2440.1334893953681</v>
      </c>
      <c r="X276" s="45">
        <f>+X275+X274</f>
        <v>2785.6663317179837</v>
      </c>
      <c r="Y276" s="45">
        <f t="shared" ref="Y276:AA276" si="967">+Y275+Y274</f>
        <v>2162.114776934056</v>
      </c>
      <c r="Z276" s="45">
        <f t="shared" si="967"/>
        <v>1774.291899770431</v>
      </c>
      <c r="AA276" s="45">
        <f t="shared" si="967"/>
        <v>2992.990176608294</v>
      </c>
      <c r="AB276" s="46">
        <f>+X275+AB274</f>
        <v>2992.9901766082994</v>
      </c>
      <c r="AC276" s="45">
        <f>+AC275+AC274</f>
        <v>3235.3409355771855</v>
      </c>
      <c r="AD276" s="45">
        <f t="shared" ref="AD276:AF276" si="968">+AD275+AD274</f>
        <v>2489.9219091105197</v>
      </c>
      <c r="AE276" s="45">
        <f t="shared" si="968"/>
        <v>1978.5245525599169</v>
      </c>
      <c r="AF276" s="45">
        <f t="shared" si="968"/>
        <v>4491.021665224247</v>
      </c>
      <c r="AG276" s="46">
        <f>+AC275+AG274</f>
        <v>4491.0216652242425</v>
      </c>
      <c r="AH276" s="45">
        <f>+AH275+AH274</f>
        <v>4468.7166032384075</v>
      </c>
      <c r="AI276" s="45">
        <f t="shared" ref="AI276:AK276" si="969">+AI275+AI274</f>
        <v>3365.3635322235596</v>
      </c>
      <c r="AJ276" s="45">
        <f t="shared" si="969"/>
        <v>2527.9373727861698</v>
      </c>
      <c r="AK276" s="45">
        <f t="shared" si="969"/>
        <v>3737.570219607836</v>
      </c>
      <c r="AL276" s="46">
        <f>+AH275+AL274</f>
        <v>3737.5702196078391</v>
      </c>
    </row>
    <row r="277" spans="1:38" s="47" customFormat="1" outlineLevel="1">
      <c r="A277" s="362"/>
      <c r="B277" s="572" t="s">
        <v>75</v>
      </c>
      <c r="C277" s="573"/>
      <c r="D277" s="281">
        <f t="shared" ref="D277:K277" si="970">D257-(-D260)</f>
        <v>1947.6000000000004</v>
      </c>
      <c r="E277" s="281">
        <f t="shared" si="970"/>
        <v>-23.800000000000352</v>
      </c>
      <c r="F277" s="281">
        <f t="shared" si="970"/>
        <v>734.30000000000098</v>
      </c>
      <c r="G277" s="281">
        <f t="shared" si="970"/>
        <v>582.20000000000084</v>
      </c>
      <c r="H277" s="282">
        <f>H257-(-H260)</f>
        <v>3240.3000000000052</v>
      </c>
      <c r="I277" s="281">
        <f t="shared" si="970"/>
        <v>1441.7999999999986</v>
      </c>
      <c r="J277" s="281">
        <f t="shared" si="970"/>
        <v>-1725.3000000000009</v>
      </c>
      <c r="K277" s="281">
        <f t="shared" si="970"/>
        <v>-747.79999999999927</v>
      </c>
      <c r="L277" s="281">
        <f>L257-(-L260)+((-L30*(1-$C$314)))</f>
        <v>675.50577242928114</v>
      </c>
      <c r="M277" s="281">
        <f>M257-(-M260)+((-M30*(1-$C$314)))</f>
        <v>-124.71002256135921</v>
      </c>
      <c r="N277" s="281">
        <f>N257-(-N260)+((-N30*(1-$C$314)))</f>
        <v>1185.7801734141246</v>
      </c>
      <c r="O277" s="281">
        <f t="shared" ref="O277:Q277" si="971">O257-(-O260)+((-O30*(1-$C$314)))</f>
        <v>359.12524221796366</v>
      </c>
      <c r="P277" s="281">
        <f t="shared" si="971"/>
        <v>400.6308279884729</v>
      </c>
      <c r="Q277" s="281">
        <f t="shared" si="971"/>
        <v>611.26986246874003</v>
      </c>
      <c r="R277" s="281">
        <f>R257-(-R260)+((-R30*(1-$C$314)))</f>
        <v>2556.8061060892996</v>
      </c>
      <c r="S277" s="281">
        <f>S257-(-S260)+((-S30*(1-$C$314)))</f>
        <v>1377.5973170597699</v>
      </c>
      <c r="T277" s="281">
        <f t="shared" ref="T277:V277" si="972">T257-(-T260)+((-T30*(1-$C$314)))</f>
        <v>470.98562724694244</v>
      </c>
      <c r="U277" s="281">
        <f t="shared" si="972"/>
        <v>635.78055088989515</v>
      </c>
      <c r="V277" s="281">
        <f t="shared" si="972"/>
        <v>965.11001329158955</v>
      </c>
      <c r="W277" s="281">
        <f>W257-(-W260)+((-W30*(1-$C$314)))</f>
        <v>3449.4735084881931</v>
      </c>
      <c r="X277" s="281">
        <f>X257-(-X260)+((-X30*(1-$C$314)))</f>
        <v>1546.9887544628496</v>
      </c>
      <c r="Y277" s="281">
        <f t="shared" ref="Y277:AA277" si="973">Y257-(-Y260)+((-Y30*(1-$C$314)))</f>
        <v>519.04249280604108</v>
      </c>
      <c r="Z277" s="281">
        <f t="shared" si="973"/>
        <v>778.70836340713311</v>
      </c>
      <c r="AA277" s="281">
        <f t="shared" si="973"/>
        <v>1056.1334956210233</v>
      </c>
      <c r="AB277" s="281">
        <f>AB257-(-AB260)+((-AB30*(1-$C$314)))</f>
        <v>3900.8731062970533</v>
      </c>
      <c r="AC277" s="281">
        <f t="shared" ref="AC277:AL277" si="974">AC257-(-AC260)+((-AC30*(1-$C$314)))</f>
        <v>1618.3512069347937</v>
      </c>
      <c r="AD277" s="281">
        <f t="shared" si="974"/>
        <v>564.33978979692961</v>
      </c>
      <c r="AE277" s="281">
        <f t="shared" si="974"/>
        <v>824.21475435362618</v>
      </c>
      <c r="AF277" s="281">
        <f t="shared" si="974"/>
        <v>1109.5422248357909</v>
      </c>
      <c r="AG277" s="281">
        <f t="shared" si="974"/>
        <v>4116.4479759211345</v>
      </c>
      <c r="AH277" s="281">
        <f t="shared" si="974"/>
        <v>1756.182563682361</v>
      </c>
      <c r="AI277" s="281">
        <f t="shared" si="974"/>
        <v>599.3518038213258</v>
      </c>
      <c r="AJ277" s="281">
        <f t="shared" si="974"/>
        <v>892.10728565489649</v>
      </c>
      <c r="AK277" s="281">
        <f t="shared" si="974"/>
        <v>1169.8828268695868</v>
      </c>
      <c r="AL277" s="281">
        <f t="shared" si="974"/>
        <v>4417.5244800281716</v>
      </c>
    </row>
    <row r="278" spans="1:38" s="47" customFormat="1" outlineLevel="1">
      <c r="A278" s="362"/>
      <c r="B278" s="58" t="s">
        <v>49</v>
      </c>
      <c r="C278" s="52"/>
      <c r="D278" s="98"/>
      <c r="E278" s="98"/>
      <c r="F278" s="355"/>
      <c r="G278" s="98"/>
      <c r="H278" s="99">
        <v>0</v>
      </c>
      <c r="I278" s="98"/>
      <c r="J278" s="98"/>
      <c r="K278" s="98"/>
      <c r="L278" s="98"/>
      <c r="M278" s="99">
        <v>0</v>
      </c>
      <c r="N278" s="98"/>
      <c r="O278" s="98"/>
      <c r="P278" s="98"/>
      <c r="Q278" s="98"/>
      <c r="R278" s="99">
        <f>M278+1</f>
        <v>1</v>
      </c>
      <c r="S278" s="98"/>
      <c r="T278" s="98"/>
      <c r="U278" s="98"/>
      <c r="V278" s="98"/>
      <c r="W278" s="99">
        <f>R278+1</f>
        <v>2</v>
      </c>
      <c r="X278" s="98"/>
      <c r="Y278" s="98"/>
      <c r="Z278" s="98"/>
      <c r="AA278" s="98"/>
      <c r="AB278" s="99">
        <f>W278+1</f>
        <v>3</v>
      </c>
      <c r="AC278" s="98"/>
      <c r="AD278" s="98"/>
      <c r="AE278" s="98"/>
      <c r="AF278" s="98"/>
      <c r="AG278" s="99">
        <f>AB278+1</f>
        <v>4</v>
      </c>
      <c r="AH278" s="98"/>
      <c r="AI278" s="98"/>
      <c r="AJ278" s="98"/>
      <c r="AK278" s="98"/>
      <c r="AL278" s="99">
        <f>AG278+1</f>
        <v>5</v>
      </c>
    </row>
    <row r="279" spans="1:38" s="47" customFormat="1" outlineLevel="1">
      <c r="A279" s="362"/>
      <c r="B279" s="570" t="s">
        <v>25</v>
      </c>
      <c r="C279" s="571"/>
      <c r="D279" s="100"/>
      <c r="E279" s="100"/>
      <c r="F279" s="100"/>
      <c r="G279" s="100"/>
      <c r="H279" s="101">
        <f>H277/(1+$C$316)^H278</f>
        <v>3240.3000000000052</v>
      </c>
      <c r="I279" s="100"/>
      <c r="J279" s="100"/>
      <c r="K279" s="100"/>
      <c r="L279" s="100"/>
      <c r="M279" s="101">
        <f>M277/(1+$C$316)^M278</f>
        <v>-124.71002256135921</v>
      </c>
      <c r="N279" s="100"/>
      <c r="O279" s="100"/>
      <c r="P279" s="100"/>
      <c r="Q279" s="100"/>
      <c r="R279" s="101">
        <f>R277/(1+$C$316)^R278</f>
        <v>2361.0981576003942</v>
      </c>
      <c r="S279" s="100"/>
      <c r="T279" s="100"/>
      <c r="U279" s="100"/>
      <c r="V279" s="100"/>
      <c r="W279" s="101">
        <f>W277/(1+$C$316)^W278</f>
        <v>2941.611461330303</v>
      </c>
      <c r="X279" s="100"/>
      <c r="Y279" s="100"/>
      <c r="Z279" s="100"/>
      <c r="AA279" s="100"/>
      <c r="AB279" s="101">
        <f>AB277/(1+$C$316)^AB278</f>
        <v>3071.924698194076</v>
      </c>
      <c r="AC279" s="100"/>
      <c r="AD279" s="100"/>
      <c r="AE279" s="100"/>
      <c r="AF279" s="100"/>
      <c r="AG279" s="101">
        <f>AG277/(1+$C$316)^AG278</f>
        <v>2993.557615268744</v>
      </c>
      <c r="AH279" s="100"/>
      <c r="AI279" s="100"/>
      <c r="AJ279" s="100"/>
      <c r="AK279" s="100"/>
      <c r="AL279" s="101">
        <f>AL277/(1+$C$316)^AL278</f>
        <v>2966.608265572022</v>
      </c>
    </row>
    <row r="280" spans="1:38" outlineLevel="1">
      <c r="A280" s="297"/>
      <c r="B280" s="75" t="s">
        <v>59</v>
      </c>
      <c r="C280" s="91"/>
      <c r="D280" s="25"/>
      <c r="E280" s="25"/>
      <c r="F280" s="25"/>
      <c r="G280" s="25"/>
      <c r="H280" s="26"/>
      <c r="I280" s="25"/>
      <c r="J280" s="25"/>
      <c r="K280" s="25"/>
      <c r="L280" s="25"/>
      <c r="M280" s="26"/>
      <c r="N280" s="25"/>
      <c r="O280" s="25"/>
      <c r="P280" s="25"/>
      <c r="Q280" s="25"/>
      <c r="R280" s="26"/>
      <c r="S280" s="25"/>
      <c r="T280" s="25"/>
      <c r="U280" s="25"/>
      <c r="V280" s="25"/>
      <c r="W280" s="26"/>
      <c r="X280" s="25"/>
      <c r="Y280" s="25"/>
      <c r="Z280" s="25"/>
      <c r="AA280" s="25"/>
      <c r="AB280" s="26"/>
      <c r="AC280" s="25"/>
      <c r="AD280" s="25"/>
      <c r="AE280" s="25"/>
      <c r="AF280" s="25"/>
      <c r="AG280" s="26"/>
      <c r="AH280" s="25"/>
      <c r="AI280" s="25"/>
      <c r="AJ280" s="25"/>
      <c r="AK280" s="25"/>
      <c r="AL280" s="26"/>
    </row>
    <row r="281" spans="1:38" outlineLevel="1">
      <c r="A281" s="297"/>
      <c r="B281" s="84" t="s">
        <v>280</v>
      </c>
      <c r="C281" s="85"/>
      <c r="D281" s="38">
        <f t="shared" ref="D281:AL281" si="975">+D184+D185+D190</f>
        <v>5256.8</v>
      </c>
      <c r="E281" s="38">
        <f t="shared" si="975"/>
        <v>2383.6000000000004</v>
      </c>
      <c r="F281" s="38">
        <f t="shared" si="975"/>
        <v>5058.1000000000022</v>
      </c>
      <c r="G281" s="38">
        <f t="shared" si="975"/>
        <v>2977.1000000000022</v>
      </c>
      <c r="H281" s="39">
        <f t="shared" si="975"/>
        <v>2977.1000000000022</v>
      </c>
      <c r="I281" s="38">
        <f t="shared" si="975"/>
        <v>3308.7000000000039</v>
      </c>
      <c r="J281" s="38">
        <f t="shared" si="975"/>
        <v>2824.0000000000032</v>
      </c>
      <c r="K281" s="38">
        <f t="shared" si="975"/>
        <v>4419.2000000000035</v>
      </c>
      <c r="L281" s="38">
        <f t="shared" si="975"/>
        <v>3985.6619039336242</v>
      </c>
      <c r="M281" s="39">
        <f t="shared" si="975"/>
        <v>3985.6619039336242</v>
      </c>
      <c r="N281" s="38">
        <f t="shared" si="975"/>
        <v>4103.9601164283204</v>
      </c>
      <c r="O281" s="38">
        <f t="shared" si="975"/>
        <v>3419.6662929079453</v>
      </c>
      <c r="P281" s="38">
        <f t="shared" si="975"/>
        <v>2770.9300638621198</v>
      </c>
      <c r="Q281" s="38">
        <f t="shared" si="975"/>
        <v>2754.0245135535938</v>
      </c>
      <c r="R281" s="39">
        <f t="shared" si="975"/>
        <v>2754.0245135535938</v>
      </c>
      <c r="S281" s="38">
        <f t="shared" si="975"/>
        <v>3137.662652894046</v>
      </c>
      <c r="T281" s="38">
        <f t="shared" si="975"/>
        <v>2585.6625377433952</v>
      </c>
      <c r="U281" s="38">
        <f t="shared" si="975"/>
        <v>2119.6141552359168</v>
      </c>
      <c r="V281" s="38">
        <f t="shared" si="975"/>
        <v>2773.2747814419399</v>
      </c>
      <c r="W281" s="39">
        <f t="shared" si="975"/>
        <v>2773.2747814419399</v>
      </c>
      <c r="X281" s="38">
        <f t="shared" si="975"/>
        <v>3124.0182163024429</v>
      </c>
      <c r="Y281" s="38">
        <f t="shared" si="975"/>
        <v>2483.7964278867776</v>
      </c>
      <c r="Z281" s="38">
        <f t="shared" si="975"/>
        <v>2089.3138314627431</v>
      </c>
      <c r="AA281" s="38">
        <f t="shared" si="975"/>
        <v>3330.8841453655346</v>
      </c>
      <c r="AB281" s="39">
        <f t="shared" si="975"/>
        <v>3330.8841453655346</v>
      </c>
      <c r="AC281" s="38">
        <f t="shared" si="975"/>
        <v>3578.3220326146402</v>
      </c>
      <c r="AD281" s="38">
        <f t="shared" si="975"/>
        <v>2813.4750985957307</v>
      </c>
      <c r="AE281" s="38">
        <f t="shared" si="975"/>
        <v>2294.2647468728383</v>
      </c>
      <c r="AF281" s="38">
        <f t="shared" si="975"/>
        <v>4847.3867847978945</v>
      </c>
      <c r="AG281" s="39">
        <f t="shared" si="975"/>
        <v>4847.3867847978945</v>
      </c>
      <c r="AH281" s="38">
        <f t="shared" si="975"/>
        <v>4827.7637373837606</v>
      </c>
      <c r="AI281" s="38">
        <f t="shared" si="975"/>
        <v>3699.814801573682</v>
      </c>
      <c r="AJ281" s="38">
        <f t="shared" si="975"/>
        <v>2850.8304569865436</v>
      </c>
      <c r="AK281" s="38">
        <f t="shared" si="975"/>
        <v>4085.4730466055371</v>
      </c>
      <c r="AL281" s="39">
        <f t="shared" si="975"/>
        <v>4085.4730466055371</v>
      </c>
    </row>
    <row r="282" spans="1:38" outlineLevel="1">
      <c r="A282" s="297"/>
      <c r="B282" s="84" t="s">
        <v>76</v>
      </c>
      <c r="C282" s="85"/>
      <c r="D282" s="38">
        <f t="shared" ref="D282:AL282" si="976">D206+D209</f>
        <v>9130.7000000000007</v>
      </c>
      <c r="E282" s="38">
        <f t="shared" si="976"/>
        <v>9216.5</v>
      </c>
      <c r="F282" s="38">
        <f t="shared" si="976"/>
        <v>11159.1</v>
      </c>
      <c r="G282" s="38">
        <f t="shared" si="976"/>
        <v>11167</v>
      </c>
      <c r="H282" s="39">
        <f t="shared" si="976"/>
        <v>11167</v>
      </c>
      <c r="I282" s="38">
        <f t="shared" si="976"/>
        <v>11649.800000000001</v>
      </c>
      <c r="J282" s="38">
        <f t="shared" si="976"/>
        <v>14015.2</v>
      </c>
      <c r="K282" s="38">
        <f t="shared" si="976"/>
        <v>16831.7</v>
      </c>
      <c r="L282" s="38">
        <f t="shared" si="976"/>
        <v>16394.7</v>
      </c>
      <c r="M282" s="39">
        <f t="shared" si="976"/>
        <v>16394.7</v>
      </c>
      <c r="N282" s="38">
        <f t="shared" si="976"/>
        <v>15957.7</v>
      </c>
      <c r="O282" s="38">
        <f t="shared" si="976"/>
        <v>15520.7</v>
      </c>
      <c r="P282" s="38">
        <f t="shared" si="976"/>
        <v>15083.7</v>
      </c>
      <c r="Q282" s="38">
        <f t="shared" si="976"/>
        <v>15145.6</v>
      </c>
      <c r="R282" s="39">
        <f t="shared" si="976"/>
        <v>15145.6</v>
      </c>
      <c r="S282" s="38">
        <f t="shared" si="976"/>
        <v>14895.6</v>
      </c>
      <c r="T282" s="38">
        <f t="shared" si="976"/>
        <v>14645.6</v>
      </c>
      <c r="U282" s="38">
        <f t="shared" si="976"/>
        <v>14395.6</v>
      </c>
      <c r="V282" s="38">
        <f t="shared" si="976"/>
        <v>15045.6</v>
      </c>
      <c r="W282" s="39">
        <f t="shared" si="976"/>
        <v>15045.6</v>
      </c>
      <c r="X282" s="38">
        <f t="shared" si="976"/>
        <v>14795.6</v>
      </c>
      <c r="Y282" s="38">
        <f t="shared" si="976"/>
        <v>14545.6</v>
      </c>
      <c r="Z282" s="38">
        <f t="shared" si="976"/>
        <v>14295.6</v>
      </c>
      <c r="AA282" s="38">
        <f t="shared" si="976"/>
        <v>15488.6</v>
      </c>
      <c r="AB282" s="39">
        <f t="shared" si="976"/>
        <v>15488.6</v>
      </c>
      <c r="AC282" s="38">
        <f t="shared" si="976"/>
        <v>15102.85</v>
      </c>
      <c r="AD282" s="38">
        <f t="shared" si="976"/>
        <v>14717.1</v>
      </c>
      <c r="AE282" s="38">
        <f t="shared" si="976"/>
        <v>14331.35</v>
      </c>
      <c r="AF282" s="38">
        <f t="shared" si="976"/>
        <v>16845.599999999999</v>
      </c>
      <c r="AG282" s="39">
        <f t="shared" si="976"/>
        <v>16845.599999999999</v>
      </c>
      <c r="AH282" s="38">
        <f t="shared" si="976"/>
        <v>16095.6</v>
      </c>
      <c r="AI282" s="38">
        <f t="shared" si="976"/>
        <v>15345.6</v>
      </c>
      <c r="AJ282" s="38">
        <f t="shared" si="976"/>
        <v>14595.6</v>
      </c>
      <c r="AK282" s="38">
        <f t="shared" si="976"/>
        <v>15745.6</v>
      </c>
      <c r="AL282" s="39">
        <f t="shared" si="976"/>
        <v>15745.6</v>
      </c>
    </row>
    <row r="283" spans="1:38" outlineLevel="1">
      <c r="A283" s="297"/>
      <c r="B283" s="574" t="s">
        <v>77</v>
      </c>
      <c r="C283" s="575"/>
      <c r="D283" s="80">
        <f t="shared" ref="D283:AL283" si="977">(D281-D282)/D39</f>
        <v>-3.0907132599329823</v>
      </c>
      <c r="E283" s="80">
        <f t="shared" si="977"/>
        <v>-5.4632605740785154</v>
      </c>
      <c r="F283" s="80">
        <f t="shared" si="977"/>
        <v>-4.9885527391659839</v>
      </c>
      <c r="G283" s="80">
        <f t="shared" si="977"/>
        <v>-6.6975821179389685</v>
      </c>
      <c r="H283" s="81">
        <f t="shared" si="977"/>
        <v>-6.6411774245864397</v>
      </c>
      <c r="I283" s="80">
        <f t="shared" si="977"/>
        <v>-7.0034424853064623</v>
      </c>
      <c r="J283" s="80">
        <f t="shared" si="977"/>
        <v>-9.4784449902600123</v>
      </c>
      <c r="K283" s="80">
        <f>(K281-K282)/K39</f>
        <v>-10.62259306803594</v>
      </c>
      <c r="L283" s="80">
        <f t="shared" si="977"/>
        <v>-10.655484943838919</v>
      </c>
      <c r="M283" s="81">
        <f t="shared" si="977"/>
        <v>-10.357598231634645</v>
      </c>
      <c r="N283" s="80">
        <f t="shared" si="977"/>
        <v>-10.262955084604966</v>
      </c>
      <c r="O283" s="80">
        <f t="shared" si="977"/>
        <v>-10.543296883518131</v>
      </c>
      <c r="P283" s="80">
        <f t="shared" si="977"/>
        <v>-10.803815443352704</v>
      </c>
      <c r="Q283" s="80">
        <f t="shared" si="977"/>
        <v>-10.939144048559315</v>
      </c>
      <c r="R283" s="81">
        <f t="shared" si="977"/>
        <v>-10.852855839339755</v>
      </c>
      <c r="S283" s="80">
        <f t="shared" si="977"/>
        <v>-10.451500972093172</v>
      </c>
      <c r="T283" s="80">
        <f t="shared" si="977"/>
        <v>-10.790535247436233</v>
      </c>
      <c r="U283" s="80">
        <f t="shared" si="977"/>
        <v>-11.057082149486199</v>
      </c>
      <c r="V283" s="80">
        <f t="shared" si="977"/>
        <v>-11.126420665009213</v>
      </c>
      <c r="W283" s="81">
        <f t="shared" si="977"/>
        <v>-11.021405954969611</v>
      </c>
      <c r="X283" s="80">
        <f t="shared" si="977"/>
        <v>-10.65258731639002</v>
      </c>
      <c r="Y283" s="80">
        <f t="shared" si="977"/>
        <v>-11.081816305379371</v>
      </c>
      <c r="Z283" s="80">
        <f t="shared" si="977"/>
        <v>-11.289151622968634</v>
      </c>
      <c r="AA283" s="80">
        <f t="shared" si="977"/>
        <v>-11.318973630388482</v>
      </c>
      <c r="AB283" s="81">
        <f t="shared" si="977"/>
        <v>-11.208969803357563</v>
      </c>
      <c r="AC283" s="80">
        <f t="shared" si="977"/>
        <v>-10.800994472113661</v>
      </c>
      <c r="AD283" s="80">
        <f t="shared" si="977"/>
        <v>-11.230590478972047</v>
      </c>
      <c r="AE283" s="80">
        <f t="shared" si="977"/>
        <v>-11.432200841934753</v>
      </c>
      <c r="AF283" s="80">
        <f t="shared" si="977"/>
        <v>-11.47127751812056</v>
      </c>
      <c r="AG283" s="81">
        <f t="shared" si="977"/>
        <v>-11.358628385955399</v>
      </c>
      <c r="AH283" s="80">
        <f t="shared" si="977"/>
        <v>-10.844881729453693</v>
      </c>
      <c r="AI283" s="80">
        <f t="shared" si="977"/>
        <v>-11.28348002941331</v>
      </c>
      <c r="AJ283" s="80">
        <f t="shared" si="977"/>
        <v>-11.455409629441956</v>
      </c>
      <c r="AK283" s="80">
        <f t="shared" si="977"/>
        <v>-11.448878297471101</v>
      </c>
      <c r="AL283" s="81">
        <f t="shared" si="977"/>
        <v>-11.336054041162635</v>
      </c>
    </row>
    <row r="284" spans="1:38">
      <c r="A284" s="297"/>
      <c r="B284" s="569"/>
      <c r="C284" s="56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row>
    <row r="285" spans="1:38" ht="15.75">
      <c r="A285" s="297"/>
      <c r="B285" s="524" t="s">
        <v>23</v>
      </c>
      <c r="C285" s="525"/>
      <c r="D285" s="35" t="s">
        <v>110</v>
      </c>
      <c r="E285" s="35" t="s">
        <v>282</v>
      </c>
      <c r="F285" s="35" t="s">
        <v>284</v>
      </c>
      <c r="G285" s="35" t="s">
        <v>124</v>
      </c>
      <c r="H285" s="102" t="s">
        <v>124</v>
      </c>
      <c r="I285" s="35" t="s">
        <v>125</v>
      </c>
      <c r="J285" s="35" t="s">
        <v>126</v>
      </c>
      <c r="K285" s="35" t="s">
        <v>127</v>
      </c>
      <c r="L285" s="37" t="s">
        <v>128</v>
      </c>
      <c r="M285" s="105" t="s">
        <v>128</v>
      </c>
      <c r="N285" s="37" t="s">
        <v>129</v>
      </c>
      <c r="O285" s="37" t="s">
        <v>130</v>
      </c>
      <c r="P285" s="37" t="s">
        <v>131</v>
      </c>
      <c r="Q285" s="37" t="s">
        <v>132</v>
      </c>
      <c r="R285" s="105" t="s">
        <v>132</v>
      </c>
      <c r="S285" s="37" t="s">
        <v>133</v>
      </c>
      <c r="T285" s="37" t="s">
        <v>134</v>
      </c>
      <c r="U285" s="37" t="s">
        <v>135</v>
      </c>
      <c r="V285" s="37" t="s">
        <v>136</v>
      </c>
      <c r="W285" s="105" t="s">
        <v>136</v>
      </c>
      <c r="X285" s="37" t="s">
        <v>137</v>
      </c>
      <c r="Y285" s="37" t="s">
        <v>138</v>
      </c>
      <c r="Z285" s="37" t="s">
        <v>139</v>
      </c>
      <c r="AA285" s="37" t="s">
        <v>140</v>
      </c>
      <c r="AB285" s="105" t="s">
        <v>140</v>
      </c>
      <c r="AC285" s="37" t="s">
        <v>286</v>
      </c>
      <c r="AD285" s="37" t="s">
        <v>287</v>
      </c>
      <c r="AE285" s="37" t="s">
        <v>288</v>
      </c>
      <c r="AF285" s="37" t="s">
        <v>289</v>
      </c>
      <c r="AG285" s="105" t="s">
        <v>289</v>
      </c>
      <c r="AH285" s="37" t="s">
        <v>319</v>
      </c>
      <c r="AI285" s="37" t="s">
        <v>320</v>
      </c>
      <c r="AJ285" s="37" t="s">
        <v>321</v>
      </c>
      <c r="AK285" s="37" t="s">
        <v>322</v>
      </c>
      <c r="AL285" s="105" t="s">
        <v>322</v>
      </c>
    </row>
    <row r="286" spans="1:38" ht="17.25">
      <c r="A286" s="297"/>
      <c r="B286" s="528"/>
      <c r="C286" s="529"/>
      <c r="D286" s="36" t="s">
        <v>123</v>
      </c>
      <c r="E286" s="36" t="s">
        <v>281</v>
      </c>
      <c r="F286" s="36" t="s">
        <v>285</v>
      </c>
      <c r="G286" s="36" t="s">
        <v>295</v>
      </c>
      <c r="H286" s="103" t="s">
        <v>296</v>
      </c>
      <c r="I286" s="36" t="s">
        <v>297</v>
      </c>
      <c r="J286" s="36" t="s">
        <v>298</v>
      </c>
      <c r="K286" s="36" t="s">
        <v>299</v>
      </c>
      <c r="L286" s="34" t="s">
        <v>141</v>
      </c>
      <c r="M286" s="106" t="s">
        <v>142</v>
      </c>
      <c r="N286" s="34" t="s">
        <v>143</v>
      </c>
      <c r="O286" s="34" t="s">
        <v>144</v>
      </c>
      <c r="P286" s="34" t="s">
        <v>145</v>
      </c>
      <c r="Q286" s="34" t="s">
        <v>146</v>
      </c>
      <c r="R286" s="106" t="s">
        <v>147</v>
      </c>
      <c r="S286" s="34" t="s">
        <v>148</v>
      </c>
      <c r="T286" s="34" t="s">
        <v>149</v>
      </c>
      <c r="U286" s="34" t="s">
        <v>150</v>
      </c>
      <c r="V286" s="34" t="s">
        <v>151</v>
      </c>
      <c r="W286" s="106" t="s">
        <v>152</v>
      </c>
      <c r="X286" s="34" t="s">
        <v>153</v>
      </c>
      <c r="Y286" s="34" t="s">
        <v>154</v>
      </c>
      <c r="Z286" s="34" t="s">
        <v>155</v>
      </c>
      <c r="AA286" s="34" t="s">
        <v>156</v>
      </c>
      <c r="AB286" s="106" t="s">
        <v>157</v>
      </c>
      <c r="AC286" s="34" t="s">
        <v>290</v>
      </c>
      <c r="AD286" s="34" t="s">
        <v>291</v>
      </c>
      <c r="AE286" s="34" t="s">
        <v>292</v>
      </c>
      <c r="AF286" s="34" t="s">
        <v>293</v>
      </c>
      <c r="AG286" s="106" t="s">
        <v>294</v>
      </c>
      <c r="AH286" s="34" t="s">
        <v>323</v>
      </c>
      <c r="AI286" s="34" t="s">
        <v>324</v>
      </c>
      <c r="AJ286" s="34" t="s">
        <v>325</v>
      </c>
      <c r="AK286" s="34" t="s">
        <v>326</v>
      </c>
      <c r="AL286" s="106" t="s">
        <v>327</v>
      </c>
    </row>
    <row r="287" spans="1:38" ht="17.25" outlineLevel="1">
      <c r="A287" s="297"/>
      <c r="B287" s="534" t="s">
        <v>79</v>
      </c>
      <c r="C287" s="535"/>
      <c r="D287" s="16"/>
      <c r="E287" s="16"/>
      <c r="F287" s="16"/>
      <c r="G287" s="16"/>
      <c r="H287" s="17"/>
      <c r="I287" s="16"/>
      <c r="J287" s="16"/>
      <c r="K287" s="16"/>
      <c r="L287" s="16"/>
      <c r="M287" s="17"/>
      <c r="N287" s="16"/>
      <c r="O287" s="16"/>
      <c r="P287" s="16"/>
      <c r="Q287" s="16"/>
      <c r="R287" s="17"/>
      <c r="S287" s="16"/>
      <c r="T287" s="16"/>
      <c r="U287" s="16"/>
      <c r="V287" s="16"/>
      <c r="W287" s="17"/>
      <c r="X287" s="16"/>
      <c r="Y287" s="16"/>
      <c r="Z287" s="16"/>
      <c r="AA287" s="16"/>
      <c r="AB287" s="17"/>
      <c r="AC287" s="16"/>
      <c r="AD287" s="16"/>
      <c r="AE287" s="16"/>
      <c r="AF287" s="16"/>
      <c r="AG287" s="17"/>
      <c r="AH287" s="16"/>
      <c r="AI287" s="16"/>
      <c r="AJ287" s="16"/>
      <c r="AK287" s="16"/>
      <c r="AL287" s="17"/>
    </row>
    <row r="288" spans="1:38" s="47" customFormat="1" outlineLevel="1">
      <c r="A288" s="362"/>
      <c r="B288" s="84" t="s">
        <v>85</v>
      </c>
      <c r="C288" s="85"/>
      <c r="D288" s="55">
        <f t="shared" ref="D288:K288" si="978">D247/D16</f>
        <v>1.4669742337208073E-2</v>
      </c>
      <c r="E288" s="360">
        <f t="shared" si="978"/>
        <v>1.5033540018078308E-2</v>
      </c>
      <c r="F288" s="321">
        <f t="shared" si="978"/>
        <v>9.2774439396160081E-3</v>
      </c>
      <c r="G288" s="321">
        <f t="shared" si="978"/>
        <v>7.7960575070401619E-3</v>
      </c>
      <c r="H288" s="361">
        <f t="shared" si="978"/>
        <v>1.1618870857004896E-2</v>
      </c>
      <c r="I288" s="321">
        <f t="shared" si="978"/>
        <v>1.2723506784461259E-2</v>
      </c>
      <c r="J288" s="321">
        <f t="shared" si="978"/>
        <v>9.3900628783961833E-3</v>
      </c>
      <c r="K288" s="321">
        <f t="shared" si="978"/>
        <v>9.8055470026763899E-3</v>
      </c>
      <c r="L288" s="73">
        <f>AVERAGE(K288,J288,I288,G288)</f>
        <v>9.9287935431434989E-3</v>
      </c>
      <c r="M288" s="96"/>
      <c r="N288" s="73">
        <f>AVERAGE(L288,K288,J288,I288)</f>
        <v>1.0461977552169332E-2</v>
      </c>
      <c r="O288" s="73">
        <f>AVERAGE(N288,L288,K288,J288)</f>
        <v>9.8965952440963519E-3</v>
      </c>
      <c r="P288" s="73">
        <f>AVERAGE(O288,N288,L288,K288)</f>
        <v>1.0023228335521394E-2</v>
      </c>
      <c r="Q288" s="73">
        <f>AVERAGE(P288,O288,N288,L288)</f>
        <v>1.0077648668732644E-2</v>
      </c>
      <c r="R288" s="96"/>
      <c r="S288" s="73">
        <f>AVERAGE(Q288,P288,O288,N288)</f>
        <v>1.011486245012993E-2</v>
      </c>
      <c r="T288" s="73">
        <f>AVERAGE(S288,Q288,P288,O288)</f>
        <v>1.002808367462008E-2</v>
      </c>
      <c r="U288" s="73">
        <f>AVERAGE(T288,S288,Q288,P288)</f>
        <v>1.0060955782251012E-2</v>
      </c>
      <c r="V288" s="73">
        <f>AVERAGE(U288,T288,S288,Q288)</f>
        <v>1.0070387643933417E-2</v>
      </c>
      <c r="W288" s="96"/>
      <c r="X288" s="73">
        <f>AVERAGE(V288,U288,T288,S288)</f>
        <v>1.006857238773361E-2</v>
      </c>
      <c r="Y288" s="73">
        <f>AVERAGE(X288,V288,U288,T288)</f>
        <v>1.005699987213453E-2</v>
      </c>
      <c r="Z288" s="73">
        <f>AVERAGE(Y288,X288,V288,U288)</f>
        <v>1.0064228921513143E-2</v>
      </c>
      <c r="AA288" s="73">
        <f>AVERAGE(Z288,Y288,X288,V288)</f>
        <v>1.0065047206328675E-2</v>
      </c>
      <c r="AB288" s="96"/>
      <c r="AC288" s="73">
        <f>AVERAGE(AA288,Z288,Y288,X288)</f>
        <v>1.0063712096927489E-2</v>
      </c>
      <c r="AD288" s="73">
        <f>AVERAGE(AC288,AA288,Z288,Y288)</f>
        <v>1.006249702422596E-2</v>
      </c>
      <c r="AE288" s="73">
        <f>AVERAGE(AD288,AC288,AA288,Z288)</f>
        <v>1.0063871312248817E-2</v>
      </c>
      <c r="AF288" s="73">
        <f>AVERAGE(AE288,AD288,AC288,AA288)</f>
        <v>1.0063781909932736E-2</v>
      </c>
      <c r="AG288" s="96"/>
      <c r="AH288" s="73">
        <f>AVERAGE(AF288,AE288,AD288,AC288)</f>
        <v>1.006346558583375E-2</v>
      </c>
      <c r="AI288" s="73">
        <f>AVERAGE(AH288,AF288,AE288,AD288)</f>
        <v>1.0063403958060315E-2</v>
      </c>
      <c r="AJ288" s="73">
        <f>AVERAGE(AI288,AH288,AF288,AE288)</f>
        <v>1.0063630691518905E-2</v>
      </c>
      <c r="AK288" s="73">
        <f>AVERAGE(AJ288,AI288,AH288,AF288)</f>
        <v>1.0063570536336426E-2</v>
      </c>
      <c r="AL288" s="96"/>
    </row>
    <row r="289" spans="1:38" s="47" customFormat="1" outlineLevel="1">
      <c r="A289" s="362"/>
      <c r="B289" s="84" t="s">
        <v>251</v>
      </c>
      <c r="C289" s="85"/>
      <c r="D289" s="55">
        <f>+D245/-D244</f>
        <v>1.1581818181818182</v>
      </c>
      <c r="E289" s="55">
        <f>+E245/-E244</f>
        <v>0.55639097744360888</v>
      </c>
      <c r="F289" s="321">
        <f t="shared" ref="F289:K289" si="979">+F245/-F244</f>
        <v>1.0682852807283763</v>
      </c>
      <c r="G289" s="321">
        <f t="shared" si="979"/>
        <v>0.69411764705882406</v>
      </c>
      <c r="H289" s="361">
        <f t="shared" si="979"/>
        <v>0.86512370311252995</v>
      </c>
      <c r="I289" s="321">
        <f t="shared" si="979"/>
        <v>1.0222575516693164</v>
      </c>
      <c r="J289" s="321">
        <f t="shared" si="979"/>
        <v>0.63295880149812733</v>
      </c>
      <c r="K289" s="321">
        <f t="shared" si="979"/>
        <v>1.0227272727272729</v>
      </c>
      <c r="L289" s="73">
        <v>1</v>
      </c>
      <c r="M289" s="96"/>
      <c r="N289" s="73">
        <v>1</v>
      </c>
      <c r="O289" s="73">
        <v>1</v>
      </c>
      <c r="P289" s="73">
        <v>1</v>
      </c>
      <c r="Q289" s="73">
        <v>1</v>
      </c>
      <c r="R289" s="96"/>
      <c r="S289" s="73">
        <v>1</v>
      </c>
      <c r="T289" s="73">
        <v>1</v>
      </c>
      <c r="U289" s="73">
        <v>1</v>
      </c>
      <c r="V289" s="73">
        <v>1</v>
      </c>
      <c r="W289" s="96"/>
      <c r="X289" s="73">
        <v>1</v>
      </c>
      <c r="Y289" s="73">
        <v>1</v>
      </c>
      <c r="Z289" s="73">
        <v>1</v>
      </c>
      <c r="AA289" s="73">
        <v>1</v>
      </c>
      <c r="AB289" s="96"/>
      <c r="AC289" s="73">
        <v>1</v>
      </c>
      <c r="AD289" s="73">
        <v>1</v>
      </c>
      <c r="AE289" s="73">
        <v>1</v>
      </c>
      <c r="AF289" s="73">
        <v>1</v>
      </c>
      <c r="AG289" s="96"/>
      <c r="AH289" s="73">
        <v>1</v>
      </c>
      <c r="AI289" s="73">
        <v>1</v>
      </c>
      <c r="AJ289" s="73">
        <v>1</v>
      </c>
      <c r="AK289" s="73">
        <v>1</v>
      </c>
      <c r="AL289" s="96"/>
    </row>
    <row r="290" spans="1:38" s="47" customFormat="1" outlineLevel="1">
      <c r="A290" s="362"/>
      <c r="B290" s="522" t="s">
        <v>62</v>
      </c>
      <c r="C290" s="523"/>
      <c r="D290" s="59"/>
      <c r="E290" s="59"/>
      <c r="F290" s="59"/>
      <c r="G290" s="59"/>
      <c r="H290" s="70"/>
      <c r="I290" s="59">
        <f t="shared" ref="I290:AB290" si="980">I257/D257-1</f>
        <v>-0.22820512820512895</v>
      </c>
      <c r="J290" s="59">
        <f t="shared" si="980"/>
        <v>-4.4869364754098413</v>
      </c>
      <c r="K290" s="59">
        <f t="shared" si="980"/>
        <v>-1.314434752864716</v>
      </c>
      <c r="L290" s="59">
        <f t="shared" si="980"/>
        <v>-0.15066685895588705</v>
      </c>
      <c r="M290" s="70">
        <f t="shared" si="980"/>
        <v>-0.79229902443262612</v>
      </c>
      <c r="N290" s="59">
        <f t="shared" si="980"/>
        <v>-0.18846392038858584</v>
      </c>
      <c r="O290" s="59">
        <f t="shared" si="980"/>
        <v>-1.444893664697362</v>
      </c>
      <c r="P290" s="59">
        <f t="shared" si="980"/>
        <v>-2.8199924998882899</v>
      </c>
      <c r="Q290" s="59">
        <f t="shared" si="980"/>
        <v>5.0616286004783184E-2</v>
      </c>
      <c r="R290" s="70">
        <f t="shared" si="980"/>
        <v>2.5809242899496212</v>
      </c>
      <c r="S290" s="59">
        <f t="shared" si="980"/>
        <v>0.17496241299853788</v>
      </c>
      <c r="T290" s="59">
        <f t="shared" si="980"/>
        <v>0.22146160094158773</v>
      </c>
      <c r="U290" s="59">
        <f t="shared" si="980"/>
        <v>0.37434186415956994</v>
      </c>
      <c r="V290" s="59">
        <f t="shared" si="980"/>
        <v>0.37400802347024675</v>
      </c>
      <c r="W290" s="70">
        <f t="shared" si="980"/>
        <v>0.27044218376175455</v>
      </c>
      <c r="X290" s="59">
        <f t="shared" si="980"/>
        <v>6.8585122192759806E-2</v>
      </c>
      <c r="Y290" s="59">
        <f t="shared" si="980"/>
        <v>8.0619289394046056E-3</v>
      </c>
      <c r="Z290" s="59">
        <f t="shared" si="980"/>
        <v>0.1081500157377524</v>
      </c>
      <c r="AA290" s="59">
        <f t="shared" si="980"/>
        <v>2.1697959137483069E-2</v>
      </c>
      <c r="AB290" s="70">
        <f t="shared" si="980"/>
        <v>5.3469422467705696E-2</v>
      </c>
      <c r="AC290" s="59">
        <f t="shared" ref="AC290" si="981">AC257/X257-1</f>
        <v>5.2189954165061669E-2</v>
      </c>
      <c r="AD290" s="59">
        <f t="shared" ref="AD290" si="982">AD257/Y257-1</f>
        <v>8.2217054895860286E-2</v>
      </c>
      <c r="AE290" s="59">
        <f t="shared" ref="AE290" si="983">AE257/Z257-1</f>
        <v>6.2536881666687805E-2</v>
      </c>
      <c r="AF290" s="59">
        <f t="shared" ref="AF290" si="984">AF257/AA257-1</f>
        <v>5.4948843979368389E-2</v>
      </c>
      <c r="AG290" s="70">
        <f t="shared" ref="AG290" si="985">AG257/AB257-1</f>
        <v>5.9508457886627175E-2</v>
      </c>
      <c r="AH290" s="59">
        <f t="shared" ref="AH290" si="986">AH257/AC257-1</f>
        <v>8.1647865025936461E-2</v>
      </c>
      <c r="AI290" s="59">
        <f t="shared" ref="AI290" si="987">AI257/AD257-1</f>
        <v>6.1995605218365446E-2</v>
      </c>
      <c r="AJ290" s="59">
        <f t="shared" ref="AJ290" si="988">AJ257/AE257-1</f>
        <v>7.9899509925860812E-2</v>
      </c>
      <c r="AK290" s="59">
        <f t="shared" ref="AK290" si="989">AK257/AF257-1</f>
        <v>6.0020647344857014E-2</v>
      </c>
      <c r="AL290" s="70">
        <f t="shared" ref="AL290" si="990">AL257/AG257-1</f>
        <v>7.2362674927215043E-2</v>
      </c>
    </row>
    <row r="291" spans="1:38" outlineLevel="1">
      <c r="A291" s="297"/>
      <c r="B291" s="95" t="s">
        <v>80</v>
      </c>
      <c r="C291" s="267"/>
      <c r="D291" s="55">
        <f t="shared" ref="D291:K291" si="991">-D260/D16</f>
        <v>6.5041385860961587E-2</v>
      </c>
      <c r="E291" s="55">
        <f t="shared" si="991"/>
        <v>6.5684517673924428E-2</v>
      </c>
      <c r="F291" s="321">
        <f t="shared" si="991"/>
        <v>6.3769602814011436E-2</v>
      </c>
      <c r="G291" s="321">
        <f t="shared" si="991"/>
        <v>7.7945753668297008E-2</v>
      </c>
      <c r="H291" s="358">
        <f t="shared" si="991"/>
        <v>6.8151467825535855E-2</v>
      </c>
      <c r="I291" s="359">
        <f t="shared" si="991"/>
        <v>5.555790393259219E-2</v>
      </c>
      <c r="J291" s="330">
        <f t="shared" si="991"/>
        <v>6.0710175625865198E-2</v>
      </c>
      <c r="K291" s="330">
        <f t="shared" si="991"/>
        <v>9.0026290234717338E-2</v>
      </c>
      <c r="L291" s="72">
        <v>6.0266666666666649E-2</v>
      </c>
      <c r="M291" s="104">
        <f>-M260/M16</f>
        <v>6.4331587779308308E-2</v>
      </c>
      <c r="N291" s="172">
        <f>AVERAGE(I291,J291,K291,L291)-0.5%</f>
        <v>6.1640259114960343E-2</v>
      </c>
      <c r="O291" s="72">
        <f>AVERAGE(J291,K291,L291,N291)-0.5%</f>
        <v>6.3160847910552376E-2</v>
      </c>
      <c r="P291" s="72">
        <f>AVERAGE(O291,N291,L291,K291)-0.5%</f>
        <v>6.3773515981724177E-2</v>
      </c>
      <c r="Q291" s="72">
        <f>AVERAGE(P291,O291,N291,L291)</f>
        <v>6.2210322418475891E-2</v>
      </c>
      <c r="R291" s="104">
        <f>-R260/R16</f>
        <v>6.2618899421405125E-2</v>
      </c>
      <c r="S291" s="172">
        <v>0.06</v>
      </c>
      <c r="T291" s="73">
        <v>0.06</v>
      </c>
      <c r="U291" s="73">
        <v>0.06</v>
      </c>
      <c r="V291" s="73">
        <v>0.06</v>
      </c>
      <c r="W291" s="118">
        <f>-W260/W16</f>
        <v>6.0000000000000012E-2</v>
      </c>
      <c r="X291" s="172">
        <v>0.05</v>
      </c>
      <c r="Y291" s="73">
        <v>0.05</v>
      </c>
      <c r="Z291" s="73">
        <v>0.05</v>
      </c>
      <c r="AA291" s="73">
        <v>0.05</v>
      </c>
      <c r="AB291" s="118">
        <f>-AB260/AB16</f>
        <v>4.9999999999999996E-2</v>
      </c>
      <c r="AC291" s="172">
        <f>AVERAGE(X291,Y291,Z291,AA291)</f>
        <v>0.05</v>
      </c>
      <c r="AD291" s="73">
        <f>AVERAGE(Y291,Z291,AA291,AC291)</f>
        <v>0.05</v>
      </c>
      <c r="AE291" s="73">
        <f>AVERAGE(AD291,AC291,AA291,Z291)</f>
        <v>0.05</v>
      </c>
      <c r="AF291" s="73">
        <f>AVERAGE(AE291,AD291,AC291,AA291)</f>
        <v>0.05</v>
      </c>
      <c r="AG291" s="118">
        <f>-AG260/AG16</f>
        <v>5.000000000000001E-2</v>
      </c>
      <c r="AH291" s="172">
        <f>AVERAGE(AC291,AD291,AE291,AF291)</f>
        <v>0.05</v>
      </c>
      <c r="AI291" s="73">
        <f>AVERAGE(AD291,AE291,AF291,AH291)</f>
        <v>0.05</v>
      </c>
      <c r="AJ291" s="73">
        <f>AVERAGE(AI291,AH291,AF291,AE291)</f>
        <v>0.05</v>
      </c>
      <c r="AK291" s="73">
        <f>AVERAGE(AJ291,AI291,AH291,AF291)</f>
        <v>0.05</v>
      </c>
      <c r="AL291" s="118">
        <f>-AL260/AL16</f>
        <v>4.9999999999999996E-2</v>
      </c>
    </row>
    <row r="292" spans="1:38" ht="17.25">
      <c r="A292" s="297"/>
      <c r="B292" s="19"/>
      <c r="C292" s="19"/>
      <c r="D292" s="31"/>
      <c r="E292" s="31"/>
      <c r="F292" s="31"/>
      <c r="G292" s="492"/>
      <c r="H292" s="30"/>
      <c r="I292" s="31"/>
      <c r="J292" s="31" t="s">
        <v>372</v>
      </c>
      <c r="K292" s="31"/>
      <c r="L292" s="31"/>
      <c r="M292" s="31"/>
      <c r="N292" s="31" t="s">
        <v>373</v>
      </c>
      <c r="O292" s="31"/>
      <c r="P292" s="31"/>
      <c r="Q292" s="31"/>
      <c r="R292" s="30"/>
      <c r="S292" s="31"/>
      <c r="T292" s="31"/>
      <c r="U292" s="31"/>
      <c r="V292" s="31"/>
      <c r="W292" s="30"/>
      <c r="X292" s="31"/>
      <c r="Y292" s="31"/>
      <c r="Z292" s="31"/>
      <c r="AA292" s="31"/>
      <c r="AB292" s="30"/>
      <c r="AC292" s="31"/>
      <c r="AD292" s="31"/>
      <c r="AE292" s="31"/>
      <c r="AF292" s="31"/>
      <c r="AG292" s="30"/>
      <c r="AH292" s="31"/>
      <c r="AI292" s="31"/>
      <c r="AJ292" s="31"/>
      <c r="AK292" s="31"/>
      <c r="AL292" s="30"/>
    </row>
    <row r="293" spans="1:38" ht="15.75">
      <c r="A293" s="297"/>
      <c r="B293" s="524" t="s">
        <v>19</v>
      </c>
      <c r="C293" s="550"/>
      <c r="D293" s="23"/>
      <c r="E293" s="23"/>
      <c r="F293" s="23"/>
      <c r="G293" s="493"/>
      <c r="H293" s="23" t="s">
        <v>364</v>
      </c>
      <c r="I293" s="23"/>
      <c r="J293" s="23"/>
      <c r="K293" s="23" t="s">
        <v>391</v>
      </c>
      <c r="M293" s="23"/>
      <c r="N293" s="23"/>
      <c r="O293" s="23" t="s">
        <v>391</v>
      </c>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row>
    <row r="294" spans="1:38" outlineLevel="1">
      <c r="A294" s="297"/>
      <c r="B294" s="65" t="s">
        <v>103</v>
      </c>
      <c r="C294" s="491">
        <v>37.4</v>
      </c>
      <c r="D294" s="464"/>
      <c r="E294" s="14"/>
      <c r="F294" s="14"/>
      <c r="G294" s="14" t="s">
        <v>387</v>
      </c>
      <c r="H294" s="14"/>
      <c r="I294" s="14"/>
      <c r="J294" s="517" t="s">
        <v>392</v>
      </c>
      <c r="K294" s="504">
        <f>R9</f>
        <v>5224.5438700181985</v>
      </c>
      <c r="L294" s="496"/>
      <c r="M294" s="14"/>
      <c r="N294" s="517" t="s">
        <v>392</v>
      </c>
      <c r="O294" s="504">
        <f>K294</f>
        <v>5224.5438700181985</v>
      </c>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row>
    <row r="295" spans="1:38" outlineLevel="1">
      <c r="A295" s="297"/>
      <c r="B295" s="65" t="s">
        <v>47</v>
      </c>
      <c r="C295" s="490">
        <v>40.5</v>
      </c>
      <c r="D295" s="465"/>
      <c r="G295" s="11" t="s">
        <v>388</v>
      </c>
      <c r="J295" s="497" t="s">
        <v>365</v>
      </c>
      <c r="K295" s="498">
        <f>C299</f>
        <v>68.559551052800231</v>
      </c>
      <c r="L295" s="499"/>
      <c r="M295" s="3"/>
      <c r="N295" s="497" t="s">
        <v>365</v>
      </c>
      <c r="O295" s="498">
        <f>G299</f>
        <v>73.913339020630644</v>
      </c>
    </row>
    <row r="296" spans="1:38" outlineLevel="1">
      <c r="A296" s="297"/>
      <c r="B296" s="65" t="s">
        <v>48</v>
      </c>
      <c r="C296" s="490">
        <v>33.799999999999997</v>
      </c>
      <c r="D296" s="465"/>
      <c r="G296" s="11" t="s">
        <v>389</v>
      </c>
      <c r="J296" s="503" t="s">
        <v>366</v>
      </c>
      <c r="K296" s="510">
        <v>1100</v>
      </c>
      <c r="L296" s="499"/>
      <c r="M296" s="3"/>
      <c r="N296" s="503" t="s">
        <v>366</v>
      </c>
      <c r="O296" s="510">
        <v>1100</v>
      </c>
    </row>
    <row r="297" spans="1:38" outlineLevel="1">
      <c r="A297" s="297"/>
      <c r="B297" s="51" t="s">
        <v>34</v>
      </c>
      <c r="C297" s="472">
        <v>39.5</v>
      </c>
      <c r="D297" s="465"/>
      <c r="G297" s="501">
        <v>34</v>
      </c>
      <c r="J297" s="503" t="s">
        <v>367</v>
      </c>
      <c r="K297" s="511">
        <f>K295*K296</f>
        <v>75415.506158080258</v>
      </c>
      <c r="L297" s="499"/>
      <c r="M297" s="3"/>
      <c r="N297" s="503" t="s">
        <v>367</v>
      </c>
      <c r="O297" s="511">
        <f>O295*O296</f>
        <v>81304.672922693702</v>
      </c>
    </row>
    <row r="298" spans="1:38" ht="17.25" outlineLevel="1">
      <c r="A298" s="297"/>
      <c r="B298" s="51" t="s">
        <v>104</v>
      </c>
      <c r="C298" s="159">
        <v>0</v>
      </c>
      <c r="D298" s="24"/>
      <c r="E298" s="24"/>
      <c r="F298" s="24"/>
      <c r="G298" s="24"/>
      <c r="H298" s="24"/>
      <c r="I298" s="24"/>
      <c r="J298" s="505" t="s">
        <v>368</v>
      </c>
      <c r="K298" s="508">
        <f>R209+Q206</f>
        <v>15145.6</v>
      </c>
      <c r="L298" s="500"/>
      <c r="M298" s="24"/>
      <c r="N298" s="505" t="s">
        <v>368</v>
      </c>
      <c r="O298" s="508">
        <f>K298</f>
        <v>15145.6</v>
      </c>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row>
    <row r="299" spans="1:38" outlineLevel="1">
      <c r="A299" s="297"/>
      <c r="B299" s="158" t="s">
        <v>51</v>
      </c>
      <c r="C299" s="173">
        <f>(C297*(L42+N42+O42+P42))</f>
        <v>68.559551052800231</v>
      </c>
      <c r="G299" s="502">
        <f>(G297*R42)</f>
        <v>73.913339020630644</v>
      </c>
      <c r="J299" s="503" t="s">
        <v>369</v>
      </c>
      <c r="K299" s="507">
        <f>R184+R185</f>
        <v>2532.3646349150445</v>
      </c>
      <c r="L299" s="499"/>
      <c r="M299" s="3"/>
      <c r="N299" s="503" t="s">
        <v>369</v>
      </c>
      <c r="O299" s="507">
        <f>K299</f>
        <v>2532.3646349150445</v>
      </c>
    </row>
    <row r="300" spans="1:38" ht="15" customHeight="1">
      <c r="A300" s="297"/>
      <c r="B300" s="151" t="s">
        <v>99</v>
      </c>
      <c r="C300" s="182">
        <f>C303-C326</f>
        <v>-5.0716044036282284</v>
      </c>
      <c r="J300" s="506" t="s">
        <v>370</v>
      </c>
      <c r="K300" s="502">
        <f>K298-K299</f>
        <v>12613.235365084956</v>
      </c>
      <c r="L300" s="499"/>
      <c r="M300" s="3"/>
      <c r="N300" s="506" t="s">
        <v>370</v>
      </c>
      <c r="O300" s="502">
        <f>O298-O299</f>
        <v>12613.235365084956</v>
      </c>
    </row>
    <row r="301" spans="1:38" ht="15.75">
      <c r="A301" s="297"/>
      <c r="B301" s="524" t="s">
        <v>26</v>
      </c>
      <c r="C301" s="550"/>
      <c r="J301" s="497" t="s">
        <v>371</v>
      </c>
      <c r="K301" s="511">
        <f>K297+K300</f>
        <v>88028.741523165212</v>
      </c>
      <c r="M301" s="3"/>
      <c r="N301" s="497" t="s">
        <v>371</v>
      </c>
      <c r="O301" s="511">
        <f>O297+O300</f>
        <v>93917.908287778657</v>
      </c>
    </row>
    <row r="302" spans="1:38" outlineLevel="1">
      <c r="A302" s="297"/>
      <c r="B302" s="108" t="s">
        <v>83</v>
      </c>
      <c r="C302" s="32"/>
      <c r="D302" s="464"/>
      <c r="J302" s="512" t="s">
        <v>393</v>
      </c>
      <c r="K302" s="514">
        <f>K301/K294</f>
        <v>16.849076917189056</v>
      </c>
      <c r="M302" s="3"/>
      <c r="N302" s="512" t="s">
        <v>393</v>
      </c>
      <c r="O302" s="514">
        <f>O301/O294</f>
        <v>17.976288576451655</v>
      </c>
    </row>
    <row r="303" spans="1:38" outlineLevel="1">
      <c r="A303" s="297"/>
      <c r="B303" s="109" t="s">
        <v>98</v>
      </c>
      <c r="C303" s="174">
        <v>75.256146061179436</v>
      </c>
      <c r="D303" s="465"/>
    </row>
    <row r="304" spans="1:38" ht="17.25" outlineLevel="1">
      <c r="A304" s="297"/>
      <c r="B304" s="109" t="s">
        <v>27</v>
      </c>
      <c r="C304" s="175">
        <f>K39</f>
        <v>1168.5</v>
      </c>
      <c r="D304" s="465"/>
    </row>
    <row r="305" spans="1:16" outlineLevel="1">
      <c r="A305" s="297"/>
      <c r="B305" s="113" t="s">
        <v>28</v>
      </c>
      <c r="C305" s="110">
        <f>C304*C303</f>
        <v>87936.806672488165</v>
      </c>
      <c r="D305" s="465"/>
      <c r="L305" s="142"/>
      <c r="M305" s="142" t="s">
        <v>374</v>
      </c>
      <c r="N305" s="503"/>
      <c r="O305" s="515"/>
      <c r="P305" s="516" t="s">
        <v>364</v>
      </c>
    </row>
    <row r="306" spans="1:16" outlineLevel="1">
      <c r="A306" s="297"/>
      <c r="B306" s="109" t="s">
        <v>41</v>
      </c>
      <c r="C306" s="489">
        <v>1.07</v>
      </c>
      <c r="D306" s="465"/>
      <c r="L306" s="509"/>
      <c r="M306" s="142" t="s">
        <v>375</v>
      </c>
      <c r="N306" s="503">
        <v>2.72</v>
      </c>
      <c r="O306" s="518">
        <v>32</v>
      </c>
      <c r="P306" s="517"/>
    </row>
    <row r="307" spans="1:16" outlineLevel="1">
      <c r="A307" s="297"/>
      <c r="B307" s="109" t="s">
        <v>105</v>
      </c>
      <c r="C307" s="486">
        <v>0.33700000000000002</v>
      </c>
      <c r="D307" s="465"/>
      <c r="L307" s="509"/>
      <c r="M307" s="142" t="s">
        <v>376</v>
      </c>
      <c r="N307" s="503">
        <v>3.2</v>
      </c>
      <c r="O307" s="499">
        <v>34</v>
      </c>
      <c r="P307" s="509"/>
    </row>
    <row r="308" spans="1:16" outlineLevel="1">
      <c r="A308" s="297"/>
      <c r="B308" s="109" t="s">
        <v>106</v>
      </c>
      <c r="C308" s="485">
        <v>0.24490000000000001</v>
      </c>
      <c r="D308" s="465"/>
      <c r="L308" s="509"/>
      <c r="M308" s="142" t="s">
        <v>377</v>
      </c>
      <c r="N308" s="503">
        <v>2.4</v>
      </c>
      <c r="O308" s="499">
        <v>29</v>
      </c>
      <c r="P308" s="509"/>
    </row>
    <row r="309" spans="1:16" outlineLevel="1">
      <c r="A309" s="297"/>
      <c r="B309" s="114" t="s">
        <v>29</v>
      </c>
      <c r="C309" s="488">
        <v>8.2533779307821339E-2</v>
      </c>
      <c r="D309" s="465"/>
      <c r="L309" s="509"/>
      <c r="M309" s="142" t="s">
        <v>378</v>
      </c>
      <c r="N309" s="506" t="s">
        <v>379</v>
      </c>
      <c r="O309" s="506" t="s">
        <v>380</v>
      </c>
      <c r="P309" s="142" t="s">
        <v>381</v>
      </c>
    </row>
    <row r="310" spans="1:16" outlineLevel="1">
      <c r="A310" s="297"/>
      <c r="B310" s="109" t="s">
        <v>100</v>
      </c>
      <c r="C310" s="487">
        <v>6.0000000000000001E-3</v>
      </c>
      <c r="D310" s="465"/>
      <c r="L310" s="509"/>
      <c r="M310" s="142" t="s">
        <v>382</v>
      </c>
      <c r="N310" s="519">
        <f>N306*$O$306</f>
        <v>87.04</v>
      </c>
      <c r="O310" s="519">
        <f>N306*$O$307</f>
        <v>92.48</v>
      </c>
      <c r="P310" s="519">
        <f>N306*$O$308</f>
        <v>78.88000000000001</v>
      </c>
    </row>
    <row r="311" spans="1:16" outlineLevel="1">
      <c r="A311" s="297"/>
      <c r="B311" s="113" t="s">
        <v>30</v>
      </c>
      <c r="C311" s="116">
        <f>C310+(C306*C309)</f>
        <v>9.431114385936884E-2</v>
      </c>
      <c r="D311" s="465"/>
      <c r="L311" s="509"/>
      <c r="M311" s="142" t="s">
        <v>383</v>
      </c>
      <c r="N311" s="519">
        <f>N307*$O$306</f>
        <v>102.4</v>
      </c>
      <c r="O311" s="519">
        <f>N307*$O$307</f>
        <v>108.80000000000001</v>
      </c>
      <c r="P311" s="519">
        <f t="shared" ref="P311:P312" si="992">N307*$O$308</f>
        <v>92.800000000000011</v>
      </c>
    </row>
    <row r="312" spans="1:16" outlineLevel="1">
      <c r="A312" s="297"/>
      <c r="B312" s="65" t="s">
        <v>31</v>
      </c>
      <c r="C312" s="111">
        <f>C305/(C305+K206+K209)</f>
        <v>0.83934389699170964</v>
      </c>
      <c r="D312" s="465"/>
      <c r="L312" s="509"/>
      <c r="M312" s="142" t="s">
        <v>384</v>
      </c>
      <c r="N312" s="519">
        <f t="shared" ref="N312" si="993">N308*$O$306</f>
        <v>76.8</v>
      </c>
      <c r="O312" s="519">
        <f>N308*$O$307</f>
        <v>81.599999999999994</v>
      </c>
      <c r="P312" s="519">
        <f t="shared" si="992"/>
        <v>69.599999999999994</v>
      </c>
    </row>
    <row r="313" spans="1:16" outlineLevel="1">
      <c r="A313" s="297"/>
      <c r="B313" s="65" t="s">
        <v>32</v>
      </c>
      <c r="C313" s="111">
        <f>K152*4</f>
        <v>3.1328917978792031E-2</v>
      </c>
      <c r="D313" s="465"/>
    </row>
    <row r="314" spans="1:16" outlineLevel="1">
      <c r="A314" s="297"/>
      <c r="B314" s="65" t="s">
        <v>2</v>
      </c>
      <c r="C314" s="79">
        <f>M150</f>
        <v>0.25910803139031219</v>
      </c>
      <c r="D314" s="465"/>
    </row>
    <row r="315" spans="1:16" outlineLevel="1">
      <c r="A315" s="297"/>
      <c r="B315" s="65" t="s">
        <v>33</v>
      </c>
      <c r="C315" s="111">
        <f>C313*(1-C314)</f>
        <v>2.3211343715718667E-2</v>
      </c>
      <c r="D315" s="465"/>
    </row>
    <row r="316" spans="1:16" outlineLevel="1">
      <c r="A316" s="297"/>
      <c r="B316" s="115" t="s">
        <v>84</v>
      </c>
      <c r="C316" s="112">
        <f>(C312*C311)+((1-C312)*C315)</f>
        <v>8.2888527043621721E-2</v>
      </c>
      <c r="D316" s="465"/>
    </row>
    <row r="317" spans="1:16" outlineLevel="1">
      <c r="A317" s="297"/>
      <c r="B317" s="536" t="s">
        <v>107</v>
      </c>
      <c r="C317" s="537"/>
      <c r="D317" s="465"/>
    </row>
    <row r="318" spans="1:16" outlineLevel="1">
      <c r="A318" s="297"/>
      <c r="B318" s="65" t="s">
        <v>42</v>
      </c>
      <c r="C318" s="181">
        <v>6.5000000000000002E-2</v>
      </c>
      <c r="D318" s="465"/>
    </row>
    <row r="319" spans="1:16" outlineLevel="1">
      <c r="A319" s="297"/>
      <c r="B319" s="65" t="s">
        <v>43</v>
      </c>
      <c r="C319" s="181">
        <v>6.5000000000000002E-2</v>
      </c>
      <c r="D319" s="465"/>
    </row>
    <row r="320" spans="1:16" outlineLevel="1">
      <c r="A320" s="297"/>
      <c r="B320" s="65" t="s">
        <v>82</v>
      </c>
      <c r="C320" s="181">
        <v>0.05</v>
      </c>
      <c r="D320" s="465"/>
    </row>
    <row r="321" spans="1:4" outlineLevel="1">
      <c r="A321" s="297"/>
      <c r="B321" s="65" t="s">
        <v>108</v>
      </c>
      <c r="C321" s="181">
        <f>(C312*(0.0623+(0.85*(0.312*0.1843))))+((1-C312)*C315)</f>
        <v>9.7044243282706555E-2</v>
      </c>
      <c r="D321" s="465"/>
    </row>
    <row r="322" spans="1:4" outlineLevel="1">
      <c r="A322" s="297"/>
      <c r="B322" s="117" t="s">
        <v>44</v>
      </c>
      <c r="C322" s="32"/>
      <c r="D322" s="465"/>
    </row>
    <row r="323" spans="1:4" outlineLevel="1">
      <c r="A323" s="297"/>
      <c r="B323" s="65" t="s">
        <v>87</v>
      </c>
      <c r="C323" s="121">
        <f>((((AL257*(1+C319))-(C320*AL16*(1+C318))+(C315*(AL206+AL209))))/(C321-C318))/(1+$C$321)^5</f>
        <v>91940.676220162219</v>
      </c>
      <c r="D323" s="465"/>
    </row>
    <row r="324" spans="1:4" outlineLevel="1">
      <c r="A324" s="297"/>
      <c r="B324" s="65" t="s">
        <v>86</v>
      </c>
      <c r="C324" s="121">
        <f>R279+W279+AB279+AG279+AL279</f>
        <v>14334.80019796554</v>
      </c>
      <c r="D324" s="465"/>
    </row>
    <row r="325" spans="1:4" ht="17.25" outlineLevel="1">
      <c r="A325" s="297"/>
      <c r="B325" s="65" t="s">
        <v>50</v>
      </c>
      <c r="C325" s="176">
        <f>+K283</f>
        <v>-10.62259306803594</v>
      </c>
      <c r="D325" s="465"/>
    </row>
    <row r="326" spans="1:4" outlineLevel="1">
      <c r="A326" s="297"/>
      <c r="B326" s="158" t="s">
        <v>52</v>
      </c>
      <c r="C326" s="160">
        <f>((C323+C324)/C304)+C325</f>
        <v>80.327750464807664</v>
      </c>
      <c r="D326" s="465"/>
    </row>
    <row r="327" spans="1:4" ht="13.5" customHeight="1">
      <c r="A327" s="297"/>
      <c r="C327" s="33"/>
    </row>
    <row r="328" spans="1:4" ht="15.75">
      <c r="A328" s="297"/>
      <c r="B328" s="524" t="s">
        <v>109</v>
      </c>
      <c r="C328" s="550"/>
      <c r="D328" s="464"/>
    </row>
    <row r="329" spans="1:4" outlineLevel="1">
      <c r="A329" s="297"/>
      <c r="B329" s="128" t="s">
        <v>386</v>
      </c>
      <c r="C329" s="513">
        <f>-0.0129</f>
        <v>-1.29E-2</v>
      </c>
      <c r="D329" s="465"/>
    </row>
    <row r="330" spans="1:4" outlineLevel="1">
      <c r="A330" s="297"/>
      <c r="B330" s="65" t="s">
        <v>63</v>
      </c>
      <c r="C330" s="130">
        <f>7.87%</f>
        <v>7.8700000000000006E-2</v>
      </c>
      <c r="D330" s="465"/>
    </row>
    <row r="331" spans="1:4" outlineLevel="1">
      <c r="A331" s="297"/>
      <c r="B331" s="65" t="s">
        <v>66</v>
      </c>
      <c r="C331" s="129">
        <f>C8</f>
        <v>74.443650758803955</v>
      </c>
      <c r="D331" s="465"/>
    </row>
    <row r="332" spans="1:4" outlineLevel="1">
      <c r="A332" s="297"/>
      <c r="B332" s="65" t="s">
        <v>64</v>
      </c>
      <c r="C332" s="129">
        <f>C331*(1+(C329+(2*C330)))</f>
        <v>85.20075829345113</v>
      </c>
      <c r="D332" s="465"/>
    </row>
    <row r="333" spans="1:4" outlineLevel="1">
      <c r="A333" s="297"/>
      <c r="B333" s="161" t="s">
        <v>65</v>
      </c>
      <c r="C333" s="162">
        <f>C331*(1+(C329-(2*C330)))</f>
        <v>61.765897034579638</v>
      </c>
      <c r="D333" s="465"/>
    </row>
    <row r="334" spans="1:4" ht="14.45" customHeight="1">
      <c r="D334" s="465"/>
    </row>
  </sheetData>
  <dataConsolidate/>
  <mergeCells count="123">
    <mergeCell ref="B162:C162"/>
    <mergeCell ref="B163:C163"/>
    <mergeCell ref="B164:C164"/>
    <mergeCell ref="A11:A12"/>
    <mergeCell ref="B47:C47"/>
    <mergeCell ref="B263:C263"/>
    <mergeCell ref="B262:C262"/>
    <mergeCell ref="B240:C240"/>
    <mergeCell ref="B223:C223"/>
    <mergeCell ref="B220:C220"/>
    <mergeCell ref="B158:C158"/>
    <mergeCell ref="B157:C157"/>
    <mergeCell ref="B150:C150"/>
    <mergeCell ref="B152:C152"/>
    <mergeCell ref="B140:C140"/>
    <mergeCell ref="B212:C212"/>
    <mergeCell ref="B149:C149"/>
    <mergeCell ref="B159:C159"/>
    <mergeCell ref="B148:C148"/>
    <mergeCell ref="B151:C151"/>
    <mergeCell ref="B156:C156"/>
    <mergeCell ref="B188:C188"/>
    <mergeCell ref="B186:C186"/>
    <mergeCell ref="B147:C147"/>
    <mergeCell ref="B146:C146"/>
    <mergeCell ref="B11:C11"/>
    <mergeCell ref="B328:C328"/>
    <mergeCell ref="B2:C2"/>
    <mergeCell ref="B274:C274"/>
    <mergeCell ref="B272:C272"/>
    <mergeCell ref="B271:C271"/>
    <mergeCell ref="B290:C290"/>
    <mergeCell ref="B287:C287"/>
    <mergeCell ref="B286:C286"/>
    <mergeCell ref="B285:C285"/>
    <mergeCell ref="B284:C284"/>
    <mergeCell ref="B279:C279"/>
    <mergeCell ref="B277:C277"/>
    <mergeCell ref="B283:C283"/>
    <mergeCell ref="B276:C276"/>
    <mergeCell ref="B275:C275"/>
    <mergeCell ref="B293:C293"/>
    <mergeCell ref="B161:C161"/>
    <mergeCell ref="B160:C160"/>
    <mergeCell ref="B260:C260"/>
    <mergeCell ref="B222:C222"/>
    <mergeCell ref="B197:C197"/>
    <mergeCell ref="B3:C3"/>
    <mergeCell ref="B4:C4"/>
    <mergeCell ref="B5:C5"/>
    <mergeCell ref="B12:C12"/>
    <mergeCell ref="B41:C41"/>
    <mergeCell ref="B40:C40"/>
    <mergeCell ref="B39:C39"/>
    <mergeCell ref="B38:C38"/>
    <mergeCell ref="B33:C33"/>
    <mergeCell ref="B16:C16"/>
    <mergeCell ref="B32:C32"/>
    <mergeCell ref="B31:C31"/>
    <mergeCell ref="B13:C13"/>
    <mergeCell ref="B14:C14"/>
    <mergeCell ref="B15:C15"/>
    <mergeCell ref="B17:C17"/>
    <mergeCell ref="B24:C24"/>
    <mergeCell ref="B317:C317"/>
    <mergeCell ref="B184:C184"/>
    <mergeCell ref="B183:C183"/>
    <mergeCell ref="B181:C181"/>
    <mergeCell ref="B257:C257"/>
    <mergeCell ref="B252:C252"/>
    <mergeCell ref="B253:C253"/>
    <mergeCell ref="B250:C250"/>
    <mergeCell ref="B249:C249"/>
    <mergeCell ref="B238:C238"/>
    <mergeCell ref="B230:C230"/>
    <mergeCell ref="B229:C229"/>
    <mergeCell ref="B226:C226"/>
    <mergeCell ref="B225:C225"/>
    <mergeCell ref="B219:C219"/>
    <mergeCell ref="B217:C217"/>
    <mergeCell ref="B216:C216"/>
    <mergeCell ref="B215:C215"/>
    <mergeCell ref="B261:C261"/>
    <mergeCell ref="B231:C231"/>
    <mergeCell ref="B301:C301"/>
    <mergeCell ref="B258:C258"/>
    <mergeCell ref="B199:C199"/>
    <mergeCell ref="B256:C256"/>
    <mergeCell ref="B68:C68"/>
    <mergeCell ref="B69:C69"/>
    <mergeCell ref="B48:C48"/>
    <mergeCell ref="B59:C59"/>
    <mergeCell ref="B63:C63"/>
    <mergeCell ref="B131:C131"/>
    <mergeCell ref="B117:C117"/>
    <mergeCell ref="B128:C128"/>
    <mergeCell ref="B129:C129"/>
    <mergeCell ref="B115:C115"/>
    <mergeCell ref="B114:C114"/>
    <mergeCell ref="B264:C264"/>
    <mergeCell ref="B171:C171"/>
    <mergeCell ref="B178:C178"/>
    <mergeCell ref="B168:C168"/>
    <mergeCell ref="B169:C169"/>
    <mergeCell ref="B227:C227"/>
    <mergeCell ref="B228:C228"/>
    <mergeCell ref="B46:C46"/>
    <mergeCell ref="B45:C45"/>
    <mergeCell ref="B56:C56"/>
    <mergeCell ref="B101:C101"/>
    <mergeCell ref="B102:C102"/>
    <mergeCell ref="B80:C80"/>
    <mergeCell ref="B81:C81"/>
    <mergeCell ref="B89:C89"/>
    <mergeCell ref="B92:C92"/>
    <mergeCell ref="B96:C96"/>
    <mergeCell ref="B97:C97"/>
    <mergeCell ref="B214:C214"/>
    <mergeCell ref="B213:C213"/>
    <mergeCell ref="B201:C201"/>
    <mergeCell ref="B200:C200"/>
    <mergeCell ref="B198:C198"/>
    <mergeCell ref="B64:C64"/>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7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A11E0-E4D5-4473-97D9-C605001D7A4C}">
  <dimension ref="A1"/>
  <sheetViews>
    <sheetView topLeftCell="A7" workbookViewId="0">
      <selection activeCell="O49" sqref="O49"/>
    </sheetView>
  </sheetViews>
  <sheetFormatPr defaultColWidth="8.85546875" defaultRowHeight="1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N41"/>
  <sheetViews>
    <sheetView showGridLines="0" zoomScaleNormal="100" workbookViewId="0">
      <selection activeCell="D22" sqref="D22"/>
    </sheetView>
  </sheetViews>
  <sheetFormatPr defaultColWidth="9.140625" defaultRowHeight="1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c r="B1" s="133" t="s">
        <v>329</v>
      </c>
    </row>
    <row r="2" spans="2:14">
      <c r="B2" s="133"/>
    </row>
    <row r="3" spans="2:14">
      <c r="B3" s="133"/>
    </row>
    <row r="4" spans="2:14">
      <c r="B4" s="6"/>
      <c r="I4" s="6"/>
      <c r="L4" s="6"/>
    </row>
    <row r="5" spans="2:14" ht="12.6" customHeight="1">
      <c r="B5" s="6"/>
    </row>
    <row r="6" spans="2:14" ht="21" customHeight="1">
      <c r="C6" s="8"/>
      <c r="D6" s="9"/>
      <c r="E6" s="9"/>
      <c r="F6" s="9"/>
      <c r="H6" s="6"/>
    </row>
    <row r="7" spans="2:14" s="5" customFormat="1" ht="21" customHeight="1">
      <c r="C7" s="9"/>
      <c r="D7" s="9"/>
      <c r="E7" s="9"/>
      <c r="F7" s="9"/>
      <c r="H7" s="591"/>
      <c r="I7" s="591"/>
      <c r="J7" s="591"/>
      <c r="K7" s="591"/>
      <c r="L7" s="591"/>
      <c r="M7" s="591"/>
      <c r="N7" s="591"/>
    </row>
    <row r="8" spans="2:14" ht="21" customHeight="1">
      <c r="D8" s="1"/>
      <c r="E8" s="1"/>
      <c r="F8" s="1"/>
      <c r="G8" s="7"/>
    </row>
    <row r="9" spans="2:14" ht="21" customHeight="1">
      <c r="D9" s="1"/>
      <c r="E9" s="1"/>
      <c r="F9" s="1"/>
      <c r="G9" s="7"/>
    </row>
    <row r="10" spans="2:14" ht="21" customHeight="1">
      <c r="D10" s="1"/>
      <c r="E10" s="1"/>
      <c r="F10" s="1"/>
      <c r="G10" s="7"/>
    </row>
    <row r="11" spans="2:14" ht="21" customHeight="1">
      <c r="D11" s="1"/>
      <c r="E11" s="1"/>
      <c r="F11" s="1"/>
      <c r="G11" s="7"/>
    </row>
    <row r="12" spans="2:14" ht="21" customHeight="1">
      <c r="D12" s="1"/>
      <c r="E12" s="1"/>
      <c r="F12" s="10"/>
      <c r="G12" s="7"/>
    </row>
    <row r="13" spans="2:14" ht="21" customHeight="1">
      <c r="D13" s="1"/>
      <c r="E13" s="2"/>
      <c r="F13" s="2"/>
      <c r="G13" s="7"/>
    </row>
    <row r="14" spans="2:14" ht="21" customHeight="1">
      <c r="B14" s="133"/>
      <c r="D14" s="1"/>
      <c r="E14" s="2"/>
      <c r="F14" s="2"/>
      <c r="G14" s="7"/>
    </row>
    <row r="15" spans="2:14" ht="21" customHeight="1">
      <c r="D15" s="1"/>
      <c r="E15" s="2"/>
      <c r="F15" s="2"/>
      <c r="G15" s="7"/>
    </row>
    <row r="16" spans="2:14" ht="21" customHeight="1">
      <c r="D16" s="1"/>
      <c r="E16" s="2"/>
      <c r="F16" s="2"/>
      <c r="G16" s="7"/>
    </row>
    <row r="27" spans="2:2">
      <c r="B27" s="133"/>
    </row>
    <row r="41" spans="2:2">
      <c r="B41" s="133"/>
    </row>
  </sheetData>
  <mergeCells count="1">
    <mergeCell ref="H7:N7"/>
  </mergeCells>
  <pageMargins left="0.7" right="0.7" top="0.75" bottom="0.75" header="0.3" footer="0.3"/>
  <pageSetup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G22"/>
  <sheetViews>
    <sheetView showGridLines="0" workbookViewId="0">
      <selection activeCell="E7" sqref="E7"/>
    </sheetView>
  </sheetViews>
  <sheetFormatPr defaultColWidth="8.85546875" defaultRowHeight="15"/>
  <cols>
    <col min="1" max="1" width="1.28515625" customWidth="1"/>
    <col min="2" max="2" width="12.28515625" customWidth="1"/>
    <col min="4" max="4" width="9.42578125" customWidth="1"/>
    <col min="7" max="7" width="9.42578125" bestFit="1" customWidth="1"/>
  </cols>
  <sheetData>
    <row r="1" spans="2:7">
      <c r="B1" t="s">
        <v>359</v>
      </c>
    </row>
    <row r="2" spans="2:7">
      <c r="B2" t="s">
        <v>88</v>
      </c>
    </row>
    <row r="3" spans="2:7" ht="45">
      <c r="B3" s="134" t="s">
        <v>89</v>
      </c>
      <c r="C3" s="134" t="s">
        <v>360</v>
      </c>
      <c r="D3" s="134" t="s">
        <v>361</v>
      </c>
      <c r="E3" s="134" t="s">
        <v>90</v>
      </c>
      <c r="F3" s="134" t="s">
        <v>91</v>
      </c>
      <c r="G3" s="134" t="s">
        <v>92</v>
      </c>
    </row>
    <row r="4" spans="2:7">
      <c r="B4" s="455">
        <v>43677</v>
      </c>
      <c r="C4" s="456">
        <v>92.400169000000005</v>
      </c>
      <c r="D4" s="177"/>
      <c r="E4" s="178"/>
      <c r="F4" s="179"/>
      <c r="G4" s="141"/>
    </row>
    <row r="5" spans="2:7">
      <c r="B5" s="455">
        <v>43707</v>
      </c>
      <c r="C5" s="456">
        <v>94.582076999999998</v>
      </c>
      <c r="D5" s="2">
        <v>2.3613679754200399E-2</v>
      </c>
      <c r="E5" s="138">
        <f>+C5/C4-1</f>
        <v>2.3613679754200367E-2</v>
      </c>
      <c r="F5" s="139">
        <f>E5-$E$17</f>
        <v>-4.6797539735911969E-2</v>
      </c>
      <c r="G5" s="149">
        <f>F5^2</f>
        <v>2.1900097253342598E-3</v>
      </c>
    </row>
    <row r="6" spans="2:7">
      <c r="B6" s="455">
        <v>43738</v>
      </c>
      <c r="C6" s="456">
        <v>86.608810000000005</v>
      </c>
      <c r="D6" s="2">
        <v>-8.4299977891159894E-2</v>
      </c>
      <c r="E6" s="138">
        <f>+C6/C5-E61</f>
        <v>0.91570002210884005</v>
      </c>
      <c r="F6" s="139">
        <f t="shared" ref="F6:F16" si="0">E6-$E$17</f>
        <v>0.84528880261872774</v>
      </c>
      <c r="G6" s="149">
        <f>F6^2</f>
        <v>0.71451315983260244</v>
      </c>
    </row>
    <row r="7" spans="2:7">
      <c r="B7" s="455">
        <v>43769</v>
      </c>
      <c r="C7" s="456">
        <v>82.827881000000005</v>
      </c>
      <c r="D7" s="2">
        <v>-4.3655247081676785E-2</v>
      </c>
      <c r="E7" s="138">
        <f t="shared" ref="E7:E16" si="1">+C7/C6-1</f>
        <v>-4.3655247081676785E-2</v>
      </c>
      <c r="F7" s="139">
        <f t="shared" si="0"/>
        <v>-0.11406646657178912</v>
      </c>
      <c r="G7" s="149">
        <f t="shared" ref="G7:G15" si="2">F7^2</f>
        <v>1.3011158796173086E-2</v>
      </c>
    </row>
    <row r="8" spans="2:7">
      <c r="B8" s="455">
        <v>43798</v>
      </c>
      <c r="C8" s="457">
        <v>84.098358000000005</v>
      </c>
      <c r="D8" s="2">
        <v>1.5338760145270358E-2</v>
      </c>
      <c r="E8" s="138">
        <f t="shared" si="1"/>
        <v>1.5338760145270358E-2</v>
      </c>
      <c r="F8" s="139">
        <f t="shared" si="0"/>
        <v>-5.5072459344841979E-2</v>
      </c>
      <c r="G8" s="149">
        <f t="shared" si="2"/>
        <v>3.0329757782892727E-3</v>
      </c>
    </row>
    <row r="9" spans="2:7">
      <c r="B9" s="455">
        <v>43830</v>
      </c>
      <c r="C9" s="457">
        <v>86.549553000000003</v>
      </c>
      <c r="D9" s="2">
        <v>2.9146764078318954E-2</v>
      </c>
      <c r="E9" s="138">
        <f t="shared" si="1"/>
        <v>2.9146764078318954E-2</v>
      </c>
      <c r="F9" s="139">
        <f t="shared" si="0"/>
        <v>-4.1264455411793383E-2</v>
      </c>
      <c r="G9" s="149">
        <f t="shared" si="2"/>
        <v>1.7027552804318841E-3</v>
      </c>
    </row>
    <row r="10" spans="2:7">
      <c r="B10" s="455">
        <v>43861</v>
      </c>
      <c r="C10" s="457">
        <v>83.507712999999995</v>
      </c>
      <c r="D10" s="2">
        <v>-3.5145646563882416E-2</v>
      </c>
      <c r="E10" s="138">
        <f t="shared" si="1"/>
        <v>-3.5145646563882416E-2</v>
      </c>
      <c r="F10" s="139">
        <f t="shared" si="0"/>
        <v>-0.10555686605399475</v>
      </c>
      <c r="G10" s="149">
        <f t="shared" si="2"/>
        <v>1.1142251971140989E-2</v>
      </c>
    </row>
    <row r="11" spans="2:7">
      <c r="B11" s="455">
        <v>43889</v>
      </c>
      <c r="C11" s="457">
        <v>77.567307</v>
      </c>
      <c r="D11" s="2">
        <v>-7.1136015903105809E-2</v>
      </c>
      <c r="E11" s="138">
        <f t="shared" si="1"/>
        <v>-7.1136015903105809E-2</v>
      </c>
      <c r="F11" s="139">
        <f t="shared" si="0"/>
        <v>-0.14154723539321815</v>
      </c>
      <c r="G11" s="149">
        <f t="shared" si="2"/>
        <v>2.0035619847463108E-2</v>
      </c>
    </row>
    <row r="12" spans="2:7">
      <c r="B12" s="455">
        <v>43921</v>
      </c>
      <c r="C12" s="457">
        <v>65.016891000000001</v>
      </c>
      <c r="D12" s="2">
        <v>-0.16180033167839636</v>
      </c>
      <c r="E12" s="138">
        <f t="shared" si="1"/>
        <v>-0.16180033167839636</v>
      </c>
      <c r="F12" s="139">
        <f t="shared" si="0"/>
        <v>-0.2322115511685087</v>
      </c>
      <c r="G12" s="149">
        <f t="shared" si="2"/>
        <v>5.3922204496084931E-2</v>
      </c>
    </row>
    <row r="13" spans="2:7">
      <c r="B13" s="455">
        <v>43951</v>
      </c>
      <c r="C13" s="457">
        <v>75.886009000000001</v>
      </c>
      <c r="D13" s="2">
        <v>0.1671737579700634</v>
      </c>
      <c r="E13" s="138">
        <f t="shared" si="1"/>
        <v>0.1671737579700634</v>
      </c>
      <c r="F13" s="139">
        <f t="shared" si="0"/>
        <v>9.676253847995106E-2</v>
      </c>
      <c r="G13" s="149">
        <f t="shared" si="2"/>
        <v>9.3629888530840089E-3</v>
      </c>
    </row>
    <row r="14" spans="2:7">
      <c r="B14" s="455">
        <v>43980</v>
      </c>
      <c r="C14" s="457">
        <v>77.568047000000007</v>
      </c>
      <c r="D14" s="2">
        <v>2.2165324308990986E-2</v>
      </c>
      <c r="E14" s="138">
        <f>+C14/C13-1</f>
        <v>2.2165324308990986E-2</v>
      </c>
      <c r="F14" s="139">
        <f t="shared" si="0"/>
        <v>-4.8245895181121351E-2</v>
      </c>
      <c r="G14" s="149">
        <f t="shared" si="2"/>
        <v>2.3276664018277485E-3</v>
      </c>
    </row>
    <row r="15" spans="2:7">
      <c r="B15" s="455">
        <v>44012</v>
      </c>
      <c r="C15" s="457">
        <v>73.191849000000005</v>
      </c>
      <c r="D15" s="2">
        <v>-5.6417534916149203E-2</v>
      </c>
      <c r="E15" s="138">
        <f t="shared" si="1"/>
        <v>-5.6417534916149203E-2</v>
      </c>
      <c r="F15" s="139">
        <f t="shared" si="0"/>
        <v>-0.12682875440626154</v>
      </c>
      <c r="G15" s="149">
        <f t="shared" si="2"/>
        <v>1.6085532944243808E-2</v>
      </c>
    </row>
    <row r="16" spans="2:7">
      <c r="B16" s="458">
        <v>44043</v>
      </c>
      <c r="C16" s="459">
        <v>76.115943999999999</v>
      </c>
      <c r="D16" s="460">
        <v>3.9951101658874499E-2</v>
      </c>
      <c r="E16" s="180">
        <f t="shared" si="1"/>
        <v>3.9951101658874499E-2</v>
      </c>
      <c r="F16" s="140">
        <f t="shared" si="0"/>
        <v>-3.0460117831237837E-2</v>
      </c>
      <c r="G16" s="150">
        <f>F16^2</f>
        <v>9.278187782928932E-4</v>
      </c>
    </row>
    <row r="17" spans="3:7">
      <c r="C17" s="135"/>
      <c r="D17" s="461" t="s">
        <v>93</v>
      </c>
      <c r="E17" s="462">
        <f>AVERAGE(E5:E16)</f>
        <v>7.0411219490112337E-2</v>
      </c>
      <c r="G17" s="136"/>
    </row>
    <row r="18" spans="3:7">
      <c r="C18" s="135"/>
      <c r="F18" s="142" t="s">
        <v>94</v>
      </c>
      <c r="G18" s="154">
        <f>SUM(G5:G16)</f>
        <v>0.84825414270496857</v>
      </c>
    </row>
    <row r="19" spans="3:7">
      <c r="C19" s="135"/>
      <c r="F19" s="142" t="s">
        <v>95</v>
      </c>
      <c r="G19" s="143">
        <f>G18/12</f>
        <v>7.0687845225414048E-2</v>
      </c>
    </row>
    <row r="20" spans="3:7">
      <c r="C20" s="135"/>
      <c r="E20" s="144"/>
      <c r="F20" s="145" t="s">
        <v>96</v>
      </c>
      <c r="G20" s="146">
        <f>SQRT(G19)</f>
        <v>0.26587185865641</v>
      </c>
    </row>
    <row r="21" spans="3:7">
      <c r="C21" s="135"/>
      <c r="F21" s="148" t="s">
        <v>97</v>
      </c>
      <c r="G21" s="147">
        <f>_xlfn.STDEV.P(E5:E16)-G20</f>
        <v>0</v>
      </c>
    </row>
    <row r="22" spans="3:7">
      <c r="C22" s="155"/>
      <c r="D22" s="137"/>
      <c r="E22" s="137"/>
      <c r="F22" s="156" t="s">
        <v>385</v>
      </c>
      <c r="G22" s="463">
        <f>E17</f>
        <v>7.0411219490112337E-2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Earnings Model</vt:lpstr>
      <vt:lpstr>Recon of ASRs</vt:lpstr>
      <vt:lpstr>Charts</vt:lpstr>
      <vt:lpstr>Std Dev</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Gutenberg Research</cp:lastModifiedBy>
  <cp:lastPrinted>2015-01-03T01:11:29Z</cp:lastPrinted>
  <dcterms:created xsi:type="dcterms:W3CDTF">2014-10-18T18:34:10Z</dcterms:created>
  <dcterms:modified xsi:type="dcterms:W3CDTF">2020-10-28T00:11:55Z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